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charts/chart27.xml" ContentType="application/vnd.openxmlformats-officedocument.drawingml.chart+xml"/>
  <Override PartName="/xl/charts/style9.xml" ContentType="application/vnd.ms-office.chartstyle+xml"/>
  <Override PartName="/xl/charts/colors9.xml" ContentType="application/vnd.ms-office.chartcolorstyle+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2D4DD640-EBD4-43E7-9731-637A4997B6C3}" xr6:coauthVersionLast="47" xr6:coauthVersionMax="47" xr10:uidLastSave="{00000000-0000-0000-0000-000000000000}"/>
  <bookViews>
    <workbookView xWindow="1950" yWindow="1950" windowWidth="21600" windowHeight="11385" firstSheet="6" activeTab="14"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G133" i="57" l="1"/>
  <c r="R88" i="57"/>
  <c r="S88" i="57" s="1"/>
  <c r="T88" i="57" s="1"/>
  <c r="U88" i="57" s="1"/>
  <c r="V88" i="57" s="1"/>
  <c r="W88" i="57" s="1"/>
  <c r="AA89" i="57"/>
  <c r="F92" i="56"/>
  <c r="AE139" i="57"/>
  <c r="AF139" i="57" s="1"/>
  <c r="AG139" i="57" s="1"/>
  <c r="H140" i="58" l="1"/>
  <c r="H129" i="58"/>
  <c r="K49" i="29" l="1"/>
  <c r="K48" i="29"/>
  <c r="J54" i="29"/>
  <c r="J53" i="29"/>
  <c r="K44" i="29" a="1"/>
  <c r="K44" i="29" s="1"/>
  <c r="E150" i="57"/>
  <c r="E151" i="57"/>
  <c r="E152" i="57"/>
  <c r="E153" i="57"/>
  <c r="E154" i="57"/>
  <c r="E155" i="57"/>
  <c r="E156" i="57"/>
  <c r="E149" i="57"/>
  <c r="H39" i="56"/>
  <c r="I39" i="56" s="1"/>
  <c r="S39" i="56" s="1"/>
  <c r="Q39" i="56"/>
  <c r="T39" i="56"/>
  <c r="U39" i="56" s="1"/>
  <c r="V39" i="56" s="1"/>
  <c r="W39" i="56" s="1"/>
  <c r="X39" i="56" s="1"/>
  <c r="AA24" i="56"/>
  <c r="AB24" i="56"/>
  <c r="AC24" i="56"/>
  <c r="AD24" i="56"/>
  <c r="Z24" i="56"/>
  <c r="Q24" i="56"/>
  <c r="R24" i="56"/>
  <c r="S24" i="56"/>
  <c r="T24" i="56"/>
  <c r="P24" i="56"/>
  <c r="J23" i="35"/>
  <c r="J24" i="35"/>
  <c r="J25" i="35"/>
  <c r="J26" i="35"/>
  <c r="J22" i="35"/>
  <c r="R32" i="56"/>
  <c r="R39" i="56" l="1"/>
  <c r="T14" i="29"/>
  <c r="T15" i="29"/>
  <c r="S15" i="29"/>
  <c r="S14" i="29"/>
  <c r="S3" i="29"/>
  <c r="T3" i="29"/>
  <c r="R3" i="29"/>
  <c r="E28" i="29"/>
  <c r="E29" i="29"/>
  <c r="E27" i="29"/>
  <c r="AW196" i="57" l="1"/>
  <c r="H197" i="57" a="1"/>
  <c r="H197" i="57" s="1"/>
  <c r="I197" i="57" a="1"/>
  <c r="I197" i="57" s="1"/>
  <c r="J197" i="57" a="1"/>
  <c r="J197" i="57" s="1"/>
  <c r="K197" i="57" a="1"/>
  <c r="K197" i="57" s="1"/>
  <c r="L197" i="57" a="1"/>
  <c r="L197" i="57" s="1"/>
  <c r="M197" i="57" a="1"/>
  <c r="M197" i="57" s="1"/>
  <c r="N197" i="57" a="1"/>
  <c r="N197" i="57" s="1"/>
  <c r="O197" i="57" a="1"/>
  <c r="O197" i="57" s="1"/>
  <c r="P197" i="57" a="1"/>
  <c r="P197" i="57" s="1"/>
  <c r="AX197" i="57"/>
  <c r="AX196" i="57"/>
  <c r="AW197" i="57"/>
  <c r="AU216" i="57"/>
  <c r="AT216" i="57"/>
  <c r="AU215" i="57"/>
  <c r="AT215" i="57"/>
  <c r="G211" i="57" a="1"/>
  <c r="G211" i="57" s="1"/>
  <c r="AU217" i="57" s="1"/>
  <c r="H211" i="57" a="1"/>
  <c r="H211" i="57" s="1"/>
  <c r="I211" i="57" a="1"/>
  <c r="I211" i="57" s="1"/>
  <c r="J211" i="57" a="1"/>
  <c r="J211" i="57" s="1"/>
  <c r="K211" i="57" a="1"/>
  <c r="K211" i="57" s="1"/>
  <c r="L211" i="57" a="1"/>
  <c r="L211" i="57" s="1"/>
  <c r="M211" i="57" a="1"/>
  <c r="M211" i="57" s="1"/>
  <c r="N211" i="57" a="1"/>
  <c r="N211" i="57" s="1"/>
  <c r="O211" i="57" a="1"/>
  <c r="O211" i="57" s="1"/>
  <c r="O73" i="57"/>
  <c r="O134" i="57"/>
  <c r="Y134" i="57" s="1"/>
  <c r="O133" i="57"/>
  <c r="O138" i="57"/>
  <c r="O137" i="57"/>
  <c r="O143" i="57"/>
  <c r="O144" i="57"/>
  <c r="O142" i="57"/>
  <c r="E132" i="57"/>
  <c r="AT217" i="57" l="1"/>
  <c r="O67" i="57" l="1"/>
  <c r="O48" i="57"/>
  <c r="O44" i="57"/>
  <c r="O43" i="57"/>
  <c r="O42" i="57"/>
  <c r="O41" i="57"/>
  <c r="O36" i="57"/>
  <c r="O37" i="57"/>
  <c r="O38" i="57"/>
  <c r="O35" i="57"/>
  <c r="O27" i="57"/>
  <c r="O26" i="57"/>
  <c r="O25" i="57"/>
  <c r="AM162" i="57"/>
  <c r="AO162" i="57"/>
  <c r="O103" i="57" l="1"/>
  <c r="O102" i="57"/>
  <c r="O99" i="57"/>
  <c r="O98" i="57"/>
  <c r="O95" i="57"/>
  <c r="O94" i="57"/>
  <c r="O84" i="57"/>
  <c r="O83" i="57"/>
  <c r="O79" i="57"/>
  <c r="O32" i="57" l="1"/>
  <c r="O31" i="57"/>
  <c r="O30" i="57"/>
  <c r="E69" i="57"/>
  <c r="O69" i="57" s="1"/>
  <c r="E68" i="57"/>
  <c r="O68" i="57" s="1"/>
  <c r="O64" i="57"/>
  <c r="O49" i="57"/>
  <c r="AF133" i="57"/>
  <c r="AF40" i="57"/>
  <c r="AF34" i="57"/>
  <c r="AF29" i="57"/>
  <c r="AF12" i="57"/>
  <c r="AF148" i="57" s="1"/>
  <c r="AE133" i="57"/>
  <c r="AE40" i="57"/>
  <c r="AE34" i="57"/>
  <c r="AE29" i="57"/>
  <c r="AE76" i="57"/>
  <c r="V160" i="57"/>
  <c r="V171" i="57" s="1"/>
  <c r="V148" i="57"/>
  <c r="V131" i="57"/>
  <c r="V113" i="57"/>
  <c r="V76" i="57"/>
  <c r="V72" i="57"/>
  <c r="V34" i="57"/>
  <c r="V40" i="57" s="1"/>
  <c r="V53" i="57" s="1"/>
  <c r="V18" i="57"/>
  <c r="U160" i="57"/>
  <c r="U171" i="57" s="1"/>
  <c r="U148" i="57"/>
  <c r="U131" i="57"/>
  <c r="U113" i="57"/>
  <c r="U76" i="57"/>
  <c r="U72" i="57"/>
  <c r="U34" i="57"/>
  <c r="U40" i="57" s="1"/>
  <c r="U53" i="57" s="1"/>
  <c r="U66" i="57" s="1"/>
  <c r="U18" i="57"/>
  <c r="L160" i="57"/>
  <c r="L148" i="57"/>
  <c r="L53" i="57"/>
  <c r="L63" i="57" s="1"/>
  <c r="L24" i="57"/>
  <c r="V24" i="57" s="1"/>
  <c r="V29" i="57" s="1"/>
  <c r="L12" i="57"/>
  <c r="L131" i="57" s="1"/>
  <c r="K160" i="57"/>
  <c r="K148" i="57"/>
  <c r="K53" i="57"/>
  <c r="K63" i="57" s="1"/>
  <c r="K24" i="57"/>
  <c r="K12" i="57"/>
  <c r="K131" i="57" s="1"/>
  <c r="L11" i="57" l="1"/>
  <c r="AF63" i="57"/>
  <c r="AF76" i="57"/>
  <c r="K11" i="57"/>
  <c r="AE160" i="57"/>
  <c r="AE171" i="57" s="1"/>
  <c r="AE24" i="57"/>
  <c r="AF24" i="57"/>
  <c r="AF160" i="57"/>
  <c r="AF171" i="57" s="1"/>
  <c r="AF53" i="57"/>
  <c r="AE63" i="57"/>
  <c r="AE53" i="57"/>
  <c r="AE148" i="57"/>
  <c r="K113" i="57"/>
  <c r="U24" i="57"/>
  <c r="U29" i="57" s="1"/>
  <c r="V66" i="57"/>
  <c r="V63" i="57"/>
  <c r="U63" i="57"/>
  <c r="L113" i="57"/>
  <c r="F108" i="56" a="1"/>
  <c r="F108" i="56" s="1"/>
  <c r="G108" i="56" a="1"/>
  <c r="G108" i="56" s="1"/>
  <c r="F129" i="56" a="1"/>
  <c r="F129" i="56" s="1"/>
  <c r="G129" i="56" a="1"/>
  <c r="G129" i="56" s="1"/>
  <c r="F137" i="56"/>
  <c r="G137" i="56"/>
  <c r="F138" i="56"/>
  <c r="G138" i="56"/>
  <c r="F139" i="56"/>
  <c r="G139" i="56"/>
  <c r="F140" i="56"/>
  <c r="G140" i="56"/>
  <c r="F141" i="56"/>
  <c r="G141" i="56"/>
  <c r="F142" i="56"/>
  <c r="G142" i="56"/>
  <c r="F143" i="56"/>
  <c r="G143" i="56"/>
  <c r="F144" i="56"/>
  <c r="G144" i="56"/>
  <c r="F145" i="56"/>
  <c r="G145" i="56"/>
  <c r="F146" i="56"/>
  <c r="G146" i="56"/>
  <c r="F147" i="56"/>
  <c r="G147" i="56"/>
  <c r="F148" i="56"/>
  <c r="G148" i="56"/>
  <c r="F149" i="56"/>
  <c r="G149" i="56"/>
  <c r="F172" i="56" a="1"/>
  <c r="F172" i="56" s="1"/>
  <c r="G172" i="56" a="1"/>
  <c r="G172" i="56" s="1"/>
  <c r="F175" i="56"/>
  <c r="G175" i="56"/>
  <c r="F176" i="56"/>
  <c r="G176" i="56"/>
  <c r="F177" i="56"/>
  <c r="G177" i="56"/>
  <c r="F178" i="56"/>
  <c r="G178" i="56"/>
  <c r="F179" i="56"/>
  <c r="G179" i="56"/>
  <c r="F180" i="56"/>
  <c r="G180" i="56"/>
  <c r="F181" i="56"/>
  <c r="G181" i="56"/>
  <c r="F182" i="56"/>
  <c r="G182" i="56"/>
  <c r="F183" i="56"/>
  <c r="G183" i="56"/>
  <c r="F184" i="56"/>
  <c r="G184" i="56"/>
  <c r="F14" i="56"/>
  <c r="F15" i="56" s="1"/>
  <c r="F16" i="56" s="1"/>
  <c r="F17" i="56" s="1"/>
  <c r="F18" i="56" s="1"/>
  <c r="F19" i="56" s="1"/>
  <c r="F20" i="56" s="1"/>
  <c r="F21" i="56" s="1"/>
  <c r="F22" i="56" s="1"/>
  <c r="F23" i="56" s="1"/>
  <c r="F93" i="56"/>
  <c r="F46" i="56" s="1"/>
  <c r="F94" i="56"/>
  <c r="F51" i="56" s="1"/>
  <c r="F95" i="56"/>
  <c r="F52" i="56" s="1"/>
  <c r="F96" i="56"/>
  <c r="F53" i="56" s="1"/>
  <c r="F97" i="56"/>
  <c r="F54" i="56" s="1"/>
  <c r="F98" i="56"/>
  <c r="F55" i="56" s="1"/>
  <c r="F99" i="56"/>
  <c r="F56" i="56" s="1"/>
  <c r="F100" i="56"/>
  <c r="F57" i="56" s="1"/>
  <c r="F101" i="56"/>
  <c r="F58" i="56" s="1"/>
  <c r="F102" i="56"/>
  <c r="F59" i="56" s="1"/>
  <c r="F103" i="56"/>
  <c r="F47" i="56" s="1"/>
  <c r="F104" i="56"/>
  <c r="F48" i="56" l="1"/>
  <c r="P48" i="56" s="1"/>
  <c r="F60" i="56"/>
  <c r="P60" i="56" s="1"/>
  <c r="N3" i="56" l="1"/>
  <c r="M3" i="56"/>
  <c r="N175" i="56"/>
  <c r="N172" i="56"/>
  <c r="N171" i="56"/>
  <c r="L91" i="56"/>
  <c r="L75" i="56"/>
  <c r="L12" i="56"/>
  <c r="L3" i="56"/>
  <c r="O175" i="56"/>
  <c r="O172" i="56"/>
  <c r="O171" i="56"/>
  <c r="M91" i="56"/>
  <c r="M75" i="56"/>
  <c r="M12" i="56"/>
  <c r="AH175" i="56"/>
  <c r="AH172" i="56"/>
  <c r="AH171" i="56"/>
  <c r="AA134" i="56"/>
  <c r="AA133" i="56"/>
  <c r="AF4" i="56"/>
  <c r="AI175" i="56"/>
  <c r="AI172" i="56"/>
  <c r="AI171" i="56"/>
  <c r="AB134" i="56"/>
  <c r="AB133" i="56"/>
  <c r="AG4" i="56"/>
  <c r="X175" i="56"/>
  <c r="X172" i="56"/>
  <c r="X171" i="56"/>
  <c r="Q134" i="56"/>
  <c r="Q133" i="56"/>
  <c r="V75" i="56"/>
  <c r="V91" i="56" s="1"/>
  <c r="V12" i="56"/>
  <c r="AF12" i="56" s="1"/>
  <c r="Y175" i="56"/>
  <c r="Y172" i="56"/>
  <c r="Y171" i="56"/>
  <c r="R134" i="56"/>
  <c r="R133" i="56"/>
  <c r="W75" i="56"/>
  <c r="W91" i="56" s="1"/>
  <c r="W12" i="56"/>
  <c r="AG12" i="56" s="1"/>
  <c r="G60" i="58"/>
  <c r="G61" i="58"/>
  <c r="G62" i="58"/>
  <c r="G63" i="58"/>
  <c r="G64" i="58"/>
  <c r="G59" i="58"/>
  <c r="G58" i="58"/>
  <c r="G57" i="58"/>
  <c r="G56" i="58"/>
  <c r="E6" i="58" a="1"/>
  <c r="E6" i="58" s="1"/>
  <c r="F6" i="58" a="1"/>
  <c r="F6" i="58" s="1"/>
  <c r="G6" i="58" a="1"/>
  <c r="G6" i="58" s="1"/>
  <c r="H6" i="58" a="1"/>
  <c r="H6" i="58" s="1"/>
  <c r="I6" i="58" a="1"/>
  <c r="I6" i="58" s="1"/>
  <c r="J6" i="58" a="1"/>
  <c r="J6" i="58" s="1"/>
  <c r="D6" i="58" a="1"/>
  <c r="D6" i="58" s="1"/>
  <c r="J43" i="60"/>
  <c r="K43" i="60"/>
  <c r="J44" i="60"/>
  <c r="K44" i="60"/>
  <c r="J33" i="60"/>
  <c r="K33" i="60"/>
  <c r="AM5" i="60"/>
  <c r="AL5" i="60"/>
  <c r="F5" i="60" a="1"/>
  <c r="F5" i="60" s="1"/>
  <c r="G5" i="60" a="1"/>
  <c r="G5" i="60" s="1"/>
  <c r="H5" i="60" a="1"/>
  <c r="H5" i="60" s="1"/>
  <c r="I5" i="60" a="1"/>
  <c r="I5" i="60" s="1"/>
  <c r="J5" i="60" a="1"/>
  <c r="J5" i="60" s="1"/>
  <c r="K5" i="60" a="1"/>
  <c r="K5" i="60" s="1"/>
  <c r="E5" i="60" a="1"/>
  <c r="E5" i="60" s="1"/>
  <c r="AF75" i="56" l="1"/>
  <c r="AF91" i="56" s="1"/>
  <c r="AG75" i="56"/>
  <c r="AG91" i="56" s="1"/>
  <c r="P81" i="55"/>
  <c r="P82" i="55"/>
  <c r="P83" i="55"/>
  <c r="P84" i="55"/>
  <c r="P85" i="55"/>
  <c r="P86" i="55"/>
  <c r="P87" i="55"/>
  <c r="P88" i="55"/>
  <c r="P89" i="55"/>
  <c r="P90" i="55"/>
  <c r="P92" i="55"/>
  <c r="P93" i="55"/>
  <c r="P94" i="55"/>
  <c r="P95" i="55"/>
  <c r="P96" i="55"/>
  <c r="P97" i="55"/>
  <c r="P98" i="55"/>
  <c r="P99" i="55"/>
  <c r="P100" i="55"/>
  <c r="P101" i="55"/>
  <c r="P102" i="55"/>
  <c r="P104" i="55"/>
  <c r="P105" i="55"/>
  <c r="P106" i="55"/>
  <c r="P107" i="55"/>
  <c r="P108" i="55"/>
  <c r="P109" i="55"/>
  <c r="P110" i="55"/>
  <c r="P111" i="55"/>
  <c r="P112" i="55"/>
  <c r="P113" i="55"/>
  <c r="P115" i="55"/>
  <c r="P116" i="55"/>
  <c r="P117" i="55"/>
  <c r="P118" i="55"/>
  <c r="P119" i="55"/>
  <c r="P120" i="55"/>
  <c r="P121" i="55"/>
  <c r="P122" i="55"/>
  <c r="P123" i="55"/>
  <c r="P124" i="55"/>
  <c r="P126" i="55"/>
  <c r="P127" i="55"/>
  <c r="P128" i="55"/>
  <c r="P129" i="55"/>
  <c r="P130" i="55"/>
  <c r="P131" i="55"/>
  <c r="P132" i="55"/>
  <c r="P133" i="55"/>
  <c r="P134" i="55"/>
  <c r="P135" i="55"/>
  <c r="P136" i="55"/>
  <c r="P80" i="55"/>
  <c r="H62" i="55"/>
  <c r="H61" i="55"/>
  <c r="H60" i="55"/>
  <c r="H59" i="55"/>
  <c r="H58" i="55"/>
  <c r="H57" i="55"/>
  <c r="H56" i="55"/>
  <c r="H55" i="55"/>
  <c r="H54" i="55"/>
  <c r="H53" i="55"/>
  <c r="H52" i="55"/>
  <c r="H51" i="55"/>
  <c r="H50" i="55"/>
  <c r="H49" i="55"/>
  <c r="H48" i="55"/>
  <c r="H47" i="55"/>
  <c r="AQ5" i="55"/>
  <c r="AQ4" i="55"/>
  <c r="E5" i="55" a="1"/>
  <c r="E5" i="55" s="1"/>
  <c r="F5" i="55" a="1"/>
  <c r="F5" i="55" s="1"/>
  <c r="G5" i="55" a="1"/>
  <c r="G5" i="55" s="1"/>
  <c r="H5" i="55" a="1"/>
  <c r="H5" i="55" s="1"/>
  <c r="D5" i="55" a="1"/>
  <c r="D5" i="55" s="1"/>
  <c r="AQ6" i="55" s="1"/>
  <c r="B22" i="35"/>
  <c r="B23" i="35"/>
  <c r="B24" i="35"/>
  <c r="B25" i="35"/>
  <c r="B26" i="35"/>
  <c r="AH89" i="44"/>
  <c r="AI89" i="44" s="1"/>
  <c r="AJ89" i="44" s="1"/>
  <c r="AK89" i="44" s="1"/>
  <c r="AH88" i="44"/>
  <c r="AI88" i="44" s="1"/>
  <c r="AJ88" i="44" s="1"/>
  <c r="AK88" i="44" s="1"/>
  <c r="AJ30" i="44"/>
  <c r="AK30" i="44"/>
  <c r="AI30" i="44"/>
  <c r="AH30" i="44"/>
  <c r="AH68" i="44"/>
  <c r="AI68" i="44" s="1"/>
  <c r="AJ68" i="44" s="1"/>
  <c r="AK68" i="44" s="1"/>
  <c r="AH69" i="44"/>
  <c r="AI69" i="44" s="1"/>
  <c r="AJ69" i="44" s="1"/>
  <c r="AK69" i="44" s="1"/>
  <c r="AH70" i="44"/>
  <c r="AI70" i="44" s="1"/>
  <c r="AH71" i="44"/>
  <c r="AH75" i="44"/>
  <c r="AI75" i="44" s="1"/>
  <c r="AJ75" i="44" s="1"/>
  <c r="AK75" i="44" s="1"/>
  <c r="AH87" i="44"/>
  <c r="AI87" i="44"/>
  <c r="AJ87" i="44"/>
  <c r="AK87" i="44"/>
  <c r="AJ70" i="44" l="1"/>
  <c r="AJ73" i="44" s="1"/>
  <c r="AI71" i="44"/>
  <c r="AI80" i="44" s="1"/>
  <c r="AI76" i="44"/>
  <c r="AK76" i="44"/>
  <c r="AJ76" i="44"/>
  <c r="AH74" i="44"/>
  <c r="AI73" i="44"/>
  <c r="AI72" i="44"/>
  <c r="AH72" i="44"/>
  <c r="AJ72" i="44"/>
  <c r="AH73" i="44"/>
  <c r="AK72" i="44"/>
  <c r="AK78" i="44"/>
  <c r="AI78" i="44"/>
  <c r="AJ78" i="44"/>
  <c r="AI79" i="44"/>
  <c r="J46" i="44"/>
  <c r="K46" i="44"/>
  <c r="L46" i="44"/>
  <c r="M46" i="44"/>
  <c r="N46" i="44"/>
  <c r="O46" i="44"/>
  <c r="P46" i="44"/>
  <c r="Q46" i="44"/>
  <c r="R46" i="44"/>
  <c r="S46" i="44"/>
  <c r="T46" i="44"/>
  <c r="U46" i="44"/>
  <c r="V46" i="44"/>
  <c r="W46" i="44"/>
  <c r="X46" i="44"/>
  <c r="Y46" i="44"/>
  <c r="Z46" i="44"/>
  <c r="AA46" i="44"/>
  <c r="AB46" i="44"/>
  <c r="AC46" i="44"/>
  <c r="AD46" i="44"/>
  <c r="AE46" i="44"/>
  <c r="AF46" i="44"/>
  <c r="AG46" i="44"/>
  <c r="AH46" i="44"/>
  <c r="AI46" i="44" s="1"/>
  <c r="AJ46" i="44" s="1"/>
  <c r="AK46" i="44" s="1"/>
  <c r="J47" i="44"/>
  <c r="K47" i="44"/>
  <c r="L47" i="44"/>
  <c r="M47" i="44"/>
  <c r="N47" i="44"/>
  <c r="O47" i="44"/>
  <c r="P47" i="44"/>
  <c r="Q47" i="44"/>
  <c r="R47" i="44"/>
  <c r="S47" i="44"/>
  <c r="T47" i="44"/>
  <c r="U47" i="44"/>
  <c r="V47" i="44"/>
  <c r="W47" i="44"/>
  <c r="X47" i="44"/>
  <c r="Y47" i="44"/>
  <c r="Z47" i="44"/>
  <c r="AA47" i="44"/>
  <c r="AB47" i="44"/>
  <c r="AC47" i="44"/>
  <c r="AD47" i="44"/>
  <c r="AE47" i="44"/>
  <c r="AF47" i="44"/>
  <c r="AG47" i="44"/>
  <c r="AH47" i="44"/>
  <c r="AI47" i="44" s="1"/>
  <c r="AJ47" i="44" s="1"/>
  <c r="AK47" i="44" s="1"/>
  <c r="J48" i="44"/>
  <c r="K48" i="44"/>
  <c r="L48" i="44"/>
  <c r="M48" i="44"/>
  <c r="N48" i="44"/>
  <c r="O48" i="44"/>
  <c r="P48" i="44"/>
  <c r="Q48" i="44"/>
  <c r="R48" i="44"/>
  <c r="S48" i="44"/>
  <c r="T48" i="44"/>
  <c r="U48" i="44"/>
  <c r="V48" i="44"/>
  <c r="W48" i="44"/>
  <c r="X48" i="44"/>
  <c r="Y48" i="44"/>
  <c r="Z48" i="44"/>
  <c r="AA48" i="44"/>
  <c r="AB48" i="44"/>
  <c r="AC48" i="44"/>
  <c r="AD48" i="44"/>
  <c r="AE48" i="44"/>
  <c r="AF48" i="44"/>
  <c r="AG48" i="44"/>
  <c r="AH48" i="44"/>
  <c r="AI48" i="44" s="1"/>
  <c r="AJ48" i="44" s="1"/>
  <c r="AK48" i="44" s="1"/>
  <c r="J49" i="44"/>
  <c r="K49" i="44"/>
  <c r="L49" i="44"/>
  <c r="M49" i="44"/>
  <c r="N49" i="44"/>
  <c r="O49" i="44"/>
  <c r="P49" i="44"/>
  <c r="Q49" i="44"/>
  <c r="R49" i="44"/>
  <c r="S49" i="44"/>
  <c r="T49" i="44"/>
  <c r="U49" i="44"/>
  <c r="V49" i="44"/>
  <c r="W49" i="44"/>
  <c r="X49" i="44"/>
  <c r="Y49" i="44"/>
  <c r="Z49" i="44"/>
  <c r="AA49" i="44"/>
  <c r="AB49" i="44"/>
  <c r="AC49" i="44"/>
  <c r="AD49" i="44"/>
  <c r="AE49" i="44"/>
  <c r="AF49" i="44"/>
  <c r="AG49" i="44"/>
  <c r="AH49" i="44"/>
  <c r="AI49" i="44" s="1"/>
  <c r="AJ49" i="44" s="1"/>
  <c r="AK49" i="44" s="1"/>
  <c r="J50" i="44"/>
  <c r="K50" i="44"/>
  <c r="L50" i="44"/>
  <c r="M50" i="44"/>
  <c r="N50" i="44"/>
  <c r="O50" i="44"/>
  <c r="P50" i="44"/>
  <c r="Q50" i="44"/>
  <c r="R50" i="44"/>
  <c r="S50" i="44"/>
  <c r="T50" i="44"/>
  <c r="U50" i="44"/>
  <c r="V50" i="44"/>
  <c r="W50" i="44"/>
  <c r="X50" i="44"/>
  <c r="Y50" i="44"/>
  <c r="Z50" i="44"/>
  <c r="AA50" i="44"/>
  <c r="AB50" i="44"/>
  <c r="AC50" i="44"/>
  <c r="AD50" i="44"/>
  <c r="AE50" i="44"/>
  <c r="AF50" i="44"/>
  <c r="AG50" i="44"/>
  <c r="AH50" i="44"/>
  <c r="AI50" i="44" s="1"/>
  <c r="AJ50" i="44" s="1"/>
  <c r="AK50" i="44" s="1"/>
  <c r="J51" i="44"/>
  <c r="K51" i="44"/>
  <c r="L51" i="44"/>
  <c r="M51" i="44"/>
  <c r="N51" i="44"/>
  <c r="O51" i="44"/>
  <c r="P51" i="44"/>
  <c r="Q51" i="44"/>
  <c r="R51" i="44"/>
  <c r="S51" i="44"/>
  <c r="T51" i="44"/>
  <c r="U51" i="44"/>
  <c r="V51" i="44"/>
  <c r="W51" i="44"/>
  <c r="X51" i="44"/>
  <c r="Y51" i="44"/>
  <c r="Z51" i="44"/>
  <c r="AA51" i="44"/>
  <c r="AB51" i="44"/>
  <c r="AC51" i="44"/>
  <c r="AD51" i="44"/>
  <c r="AE51" i="44"/>
  <c r="AF51" i="44"/>
  <c r="AG51" i="44"/>
  <c r="AH51" i="44"/>
  <c r="AI51" i="44" s="1"/>
  <c r="AJ51" i="44" s="1"/>
  <c r="AK51" i="44" s="1"/>
  <c r="J52" i="44"/>
  <c r="K52" i="44"/>
  <c r="L52" i="44"/>
  <c r="M52" i="44"/>
  <c r="N52" i="44"/>
  <c r="O52" i="44"/>
  <c r="P52" i="44"/>
  <c r="Q52" i="44"/>
  <c r="R52" i="44"/>
  <c r="S52" i="44"/>
  <c r="T52" i="44"/>
  <c r="U52" i="44"/>
  <c r="V52" i="44"/>
  <c r="W52" i="44"/>
  <c r="X52" i="44"/>
  <c r="Y52" i="44"/>
  <c r="Z52" i="44"/>
  <c r="AA52" i="44"/>
  <c r="AB52" i="44"/>
  <c r="AC52" i="44"/>
  <c r="AD52" i="44"/>
  <c r="AE52" i="44"/>
  <c r="AF52" i="44"/>
  <c r="AG52" i="44"/>
  <c r="AH52" i="44"/>
  <c r="AI52" i="44" s="1"/>
  <c r="AJ52" i="44" s="1"/>
  <c r="AK52" i="44" s="1"/>
  <c r="J53" i="44"/>
  <c r="K53" i="44"/>
  <c r="L53" i="44"/>
  <c r="M53" i="44"/>
  <c r="N53" i="44"/>
  <c r="O53" i="44"/>
  <c r="P53" i="44"/>
  <c r="Q53" i="44"/>
  <c r="R53" i="44"/>
  <c r="S53" i="44"/>
  <c r="T53" i="44"/>
  <c r="U53" i="44"/>
  <c r="V53" i="44"/>
  <c r="W53" i="44"/>
  <c r="X53" i="44"/>
  <c r="Y53" i="44"/>
  <c r="Z53" i="44"/>
  <c r="AA53" i="44"/>
  <c r="AB53" i="44"/>
  <c r="AC53" i="44"/>
  <c r="AD53" i="44"/>
  <c r="AE53" i="44"/>
  <c r="AF53" i="44"/>
  <c r="AG53" i="44"/>
  <c r="AH53" i="44"/>
  <c r="AI53" i="44" s="1"/>
  <c r="AJ53" i="44" s="1"/>
  <c r="AK53" i="44" s="1"/>
  <c r="J54" i="44"/>
  <c r="K54" i="44"/>
  <c r="L54" i="44"/>
  <c r="M54" i="44"/>
  <c r="N54" i="44"/>
  <c r="O54" i="44"/>
  <c r="P54" i="44"/>
  <c r="Q54" i="44"/>
  <c r="R54" i="44"/>
  <c r="S54" i="44"/>
  <c r="T54" i="44"/>
  <c r="U54" i="44"/>
  <c r="V54" i="44"/>
  <c r="W54" i="44"/>
  <c r="X54" i="44"/>
  <c r="Y54" i="44"/>
  <c r="Z54" i="44"/>
  <c r="AA54" i="44"/>
  <c r="AB54" i="44"/>
  <c r="AC54" i="44"/>
  <c r="AD54" i="44"/>
  <c r="AE54" i="44"/>
  <c r="AF54" i="44"/>
  <c r="AG54" i="44"/>
  <c r="AH54" i="44"/>
  <c r="AI54" i="44" s="1"/>
  <c r="AJ54" i="44" s="1"/>
  <c r="AK54" i="44" s="1"/>
  <c r="J55" i="44"/>
  <c r="K55" i="44"/>
  <c r="L55" i="44"/>
  <c r="M55" i="44"/>
  <c r="N55" i="44"/>
  <c r="O55" i="44"/>
  <c r="P55" i="44"/>
  <c r="Q55" i="44"/>
  <c r="R55" i="44"/>
  <c r="S55" i="44"/>
  <c r="T55" i="44"/>
  <c r="U55" i="44"/>
  <c r="V55" i="44"/>
  <c r="W55" i="44"/>
  <c r="X55" i="44"/>
  <c r="Y55" i="44"/>
  <c r="Z55" i="44"/>
  <c r="AA55" i="44"/>
  <c r="AB55" i="44"/>
  <c r="AC55" i="44"/>
  <c r="AD55" i="44"/>
  <c r="AE55" i="44"/>
  <c r="AF55" i="44"/>
  <c r="AG55" i="44"/>
  <c r="AH55" i="44"/>
  <c r="AI55" i="44" s="1"/>
  <c r="AJ55" i="44" s="1"/>
  <c r="AK55" i="44" s="1"/>
  <c r="J56" i="44"/>
  <c r="K56" i="44"/>
  <c r="L56" i="44"/>
  <c r="M56" i="44"/>
  <c r="N56" i="44"/>
  <c r="O56" i="44"/>
  <c r="P56" i="44"/>
  <c r="Q56" i="44"/>
  <c r="R56" i="44"/>
  <c r="S56" i="44"/>
  <c r="T56" i="44"/>
  <c r="U56" i="44"/>
  <c r="V56" i="44"/>
  <c r="W56" i="44"/>
  <c r="X56" i="44"/>
  <c r="Y56" i="44"/>
  <c r="Z56" i="44"/>
  <c r="AA56" i="44"/>
  <c r="AB56" i="44"/>
  <c r="AC56" i="44"/>
  <c r="AD56" i="44"/>
  <c r="AE56" i="44"/>
  <c r="AF56" i="44"/>
  <c r="AG56" i="44"/>
  <c r="AH56" i="44"/>
  <c r="AI56" i="44" s="1"/>
  <c r="AJ56" i="44" s="1"/>
  <c r="AK56" i="44" s="1"/>
  <c r="J57" i="44"/>
  <c r="K57" i="44"/>
  <c r="L57" i="44"/>
  <c r="M57" i="44"/>
  <c r="N57" i="44"/>
  <c r="O57" i="44"/>
  <c r="P57" i="44"/>
  <c r="Q57" i="44"/>
  <c r="R57" i="44"/>
  <c r="S57" i="44"/>
  <c r="T57" i="44"/>
  <c r="U57" i="44"/>
  <c r="V57" i="44"/>
  <c r="W57" i="44"/>
  <c r="X57" i="44"/>
  <c r="Y57" i="44"/>
  <c r="Z57" i="44"/>
  <c r="AA57" i="44"/>
  <c r="AB57" i="44"/>
  <c r="AC57" i="44"/>
  <c r="AD57" i="44"/>
  <c r="AE57" i="44"/>
  <c r="AF57" i="44"/>
  <c r="AG57" i="44"/>
  <c r="AH57" i="44"/>
  <c r="AI57" i="44" s="1"/>
  <c r="AJ57" i="44" s="1"/>
  <c r="AK57" i="44" s="1"/>
  <c r="J58" i="44"/>
  <c r="K58" i="44"/>
  <c r="L58" i="44"/>
  <c r="M58" i="44"/>
  <c r="N58" i="44"/>
  <c r="O58" i="44"/>
  <c r="P58" i="44"/>
  <c r="Q58" i="44"/>
  <c r="R58" i="44"/>
  <c r="S58" i="44"/>
  <c r="T58" i="44"/>
  <c r="U58" i="44"/>
  <c r="V58" i="44"/>
  <c r="W58" i="44"/>
  <c r="X58" i="44"/>
  <c r="Y58" i="44"/>
  <c r="Z58" i="44"/>
  <c r="AA58" i="44"/>
  <c r="AB58" i="44"/>
  <c r="AC58" i="44"/>
  <c r="AD58" i="44"/>
  <c r="AE58" i="44"/>
  <c r="AF58" i="44"/>
  <c r="AG58" i="44"/>
  <c r="AH58" i="44"/>
  <c r="AI58" i="44" s="1"/>
  <c r="AJ58" i="44" s="1"/>
  <c r="AK58" i="44" s="1"/>
  <c r="J59" i="44"/>
  <c r="K59" i="44"/>
  <c r="L59" i="44"/>
  <c r="M59" i="44"/>
  <c r="N59" i="44"/>
  <c r="O59" i="44"/>
  <c r="P59" i="44"/>
  <c r="Q59" i="44"/>
  <c r="R59" i="44"/>
  <c r="S59" i="44"/>
  <c r="T59" i="44"/>
  <c r="U59" i="44"/>
  <c r="V59" i="44"/>
  <c r="W59" i="44"/>
  <c r="X59" i="44"/>
  <c r="Y59" i="44"/>
  <c r="Z59" i="44"/>
  <c r="AA59" i="44"/>
  <c r="AB59" i="44"/>
  <c r="AC59" i="44"/>
  <c r="AD59" i="44"/>
  <c r="AE59" i="44"/>
  <c r="AF59" i="44"/>
  <c r="AG59" i="44"/>
  <c r="AH59" i="44"/>
  <c r="AI59" i="44" s="1"/>
  <c r="AJ59" i="44" s="1"/>
  <c r="AK59" i="44" s="1"/>
  <c r="J60" i="44"/>
  <c r="K60" i="44"/>
  <c r="L60" i="44"/>
  <c r="M60" i="44"/>
  <c r="N60" i="44"/>
  <c r="O60" i="44"/>
  <c r="P60" i="44"/>
  <c r="Q60" i="44"/>
  <c r="R60" i="44"/>
  <c r="S60" i="44"/>
  <c r="T60" i="44"/>
  <c r="U60" i="44"/>
  <c r="V60" i="44"/>
  <c r="W60" i="44"/>
  <c r="X60" i="44"/>
  <c r="Y60" i="44"/>
  <c r="Z60" i="44"/>
  <c r="AA60" i="44"/>
  <c r="AB60" i="44"/>
  <c r="AC60" i="44"/>
  <c r="AD60" i="44"/>
  <c r="AE60" i="44"/>
  <c r="AF60" i="44"/>
  <c r="AG60" i="44"/>
  <c r="AH60" i="44"/>
  <c r="AI60" i="44" s="1"/>
  <c r="AJ60" i="44" s="1"/>
  <c r="AK60" i="44" s="1"/>
  <c r="J61" i="44"/>
  <c r="K61" i="44"/>
  <c r="L61" i="44"/>
  <c r="M61" i="44"/>
  <c r="N61" i="44"/>
  <c r="O61" i="44"/>
  <c r="P61" i="44"/>
  <c r="Q61" i="44"/>
  <c r="R61" i="44"/>
  <c r="S61" i="44"/>
  <c r="T61" i="44"/>
  <c r="U61" i="44"/>
  <c r="V61" i="44"/>
  <c r="W61" i="44"/>
  <c r="X61" i="44"/>
  <c r="Y61" i="44"/>
  <c r="Z61" i="44"/>
  <c r="AA61" i="44"/>
  <c r="AB61" i="44"/>
  <c r="AC61" i="44"/>
  <c r="AD61" i="44"/>
  <c r="AE61" i="44"/>
  <c r="AF61" i="44"/>
  <c r="AG61" i="44"/>
  <c r="AH61" i="44"/>
  <c r="AI61" i="44" s="1"/>
  <c r="AJ61" i="44" s="1"/>
  <c r="AK61" i="44" s="1"/>
  <c r="J62" i="44"/>
  <c r="K62" i="44"/>
  <c r="L62" i="44"/>
  <c r="M62" i="44"/>
  <c r="N62" i="44"/>
  <c r="O62" i="44"/>
  <c r="P62" i="44"/>
  <c r="Q62" i="44"/>
  <c r="R62" i="44"/>
  <c r="S62" i="44"/>
  <c r="T62" i="44"/>
  <c r="U62" i="44"/>
  <c r="V62" i="44"/>
  <c r="W62" i="44"/>
  <c r="X62" i="44"/>
  <c r="Y62" i="44"/>
  <c r="Z62" i="44"/>
  <c r="AA62" i="44"/>
  <c r="AB62" i="44"/>
  <c r="AC62" i="44"/>
  <c r="AD62" i="44"/>
  <c r="AE62" i="44"/>
  <c r="AF62" i="44"/>
  <c r="AG62" i="44"/>
  <c r="AH62" i="44"/>
  <c r="AI62" i="44" s="1"/>
  <c r="AJ62" i="44" s="1"/>
  <c r="AK62" i="44" s="1"/>
  <c r="J63" i="44"/>
  <c r="K63" i="44"/>
  <c r="L63" i="44"/>
  <c r="M63" i="44"/>
  <c r="N63" i="44"/>
  <c r="O63" i="44"/>
  <c r="P63" i="44"/>
  <c r="Q63" i="44"/>
  <c r="R63" i="44"/>
  <c r="S63" i="44"/>
  <c r="T63" i="44"/>
  <c r="U63" i="44"/>
  <c r="V63" i="44"/>
  <c r="W63" i="44"/>
  <c r="X63" i="44"/>
  <c r="Y63" i="44"/>
  <c r="Z63" i="44"/>
  <c r="AA63" i="44"/>
  <c r="AB63" i="44"/>
  <c r="AC63" i="44"/>
  <c r="AD63" i="44"/>
  <c r="AE63" i="44"/>
  <c r="AF63" i="44"/>
  <c r="AG63" i="44"/>
  <c r="AH63" i="44"/>
  <c r="AI63" i="44" s="1"/>
  <c r="AJ63" i="44" s="1"/>
  <c r="AK63" i="44" s="1"/>
  <c r="J64" i="44"/>
  <c r="K64" i="44"/>
  <c r="L64" i="44"/>
  <c r="M64" i="44"/>
  <c r="N64" i="44"/>
  <c r="O64" i="44"/>
  <c r="P64" i="44"/>
  <c r="Q64" i="44"/>
  <c r="R64" i="44"/>
  <c r="S64" i="44"/>
  <c r="T64" i="44"/>
  <c r="U64" i="44"/>
  <c r="V64" i="44"/>
  <c r="W64" i="44"/>
  <c r="X64" i="44"/>
  <c r="Y64" i="44"/>
  <c r="Z64" i="44"/>
  <c r="AA64" i="44"/>
  <c r="AB64" i="44"/>
  <c r="AC64" i="44"/>
  <c r="AD64" i="44"/>
  <c r="AE64" i="44"/>
  <c r="AF64" i="44"/>
  <c r="AG64" i="44"/>
  <c r="AH64" i="44"/>
  <c r="AI64" i="44" s="1"/>
  <c r="AJ64" i="44" s="1"/>
  <c r="AK64" i="44" s="1"/>
  <c r="J65" i="44"/>
  <c r="K65" i="44"/>
  <c r="L65" i="44"/>
  <c r="M65" i="44"/>
  <c r="N65" i="44"/>
  <c r="O65" i="44"/>
  <c r="P65" i="44"/>
  <c r="Q65" i="44"/>
  <c r="R65" i="44"/>
  <c r="S65" i="44"/>
  <c r="T65" i="44"/>
  <c r="U65" i="44"/>
  <c r="V65" i="44"/>
  <c r="W65" i="44"/>
  <c r="X65" i="44"/>
  <c r="Y65" i="44"/>
  <c r="Z65" i="44"/>
  <c r="AA65" i="44"/>
  <c r="AB65" i="44"/>
  <c r="AC65" i="44"/>
  <c r="AD65" i="44"/>
  <c r="AE65" i="44"/>
  <c r="AF65" i="44"/>
  <c r="AG65" i="44"/>
  <c r="AH65" i="44"/>
  <c r="AI65" i="44" s="1"/>
  <c r="AJ65" i="44" s="1"/>
  <c r="AK65" i="44" s="1"/>
  <c r="K45" i="44"/>
  <c r="L45" i="44"/>
  <c r="M45" i="44"/>
  <c r="N45" i="44"/>
  <c r="O45" i="44"/>
  <c r="P45" i="44"/>
  <c r="Q45" i="44"/>
  <c r="R45" i="44"/>
  <c r="S45" i="44"/>
  <c r="T45" i="44"/>
  <c r="U45" i="44"/>
  <c r="V45" i="44"/>
  <c r="W45" i="44"/>
  <c r="X45" i="44"/>
  <c r="Y45" i="44"/>
  <c r="Z45" i="44"/>
  <c r="AA45" i="44"/>
  <c r="AB45" i="44"/>
  <c r="AC45" i="44"/>
  <c r="AD45" i="44"/>
  <c r="AE45" i="44"/>
  <c r="AF45" i="44"/>
  <c r="AG45" i="44"/>
  <c r="AH45" i="44"/>
  <c r="AI45" i="44" s="1"/>
  <c r="AJ45" i="44" s="1"/>
  <c r="AK45" i="44" s="1"/>
  <c r="J45" i="44"/>
  <c r="AJ79" i="44" l="1"/>
  <c r="AI74" i="44"/>
  <c r="AJ71" i="44"/>
  <c r="AK70" i="44"/>
  <c r="AI66" i="44"/>
  <c r="AK66" i="44"/>
  <c r="AJ66" i="44"/>
  <c r="AH66" i="44"/>
  <c r="AJ67" i="44" l="1"/>
  <c r="AK71" i="44"/>
  <c r="AK73" i="44"/>
  <c r="AK79" i="44"/>
  <c r="AJ74" i="44"/>
  <c r="AJ80" i="44"/>
  <c r="AI67" i="44"/>
  <c r="AK67" i="44"/>
  <c r="AK74" i="44" l="1"/>
  <c r="AK80" i="44"/>
  <c r="K28" i="44"/>
  <c r="J28" i="44"/>
  <c r="I28" i="44"/>
  <c r="H28" i="44"/>
  <c r="G28" i="44"/>
  <c r="F28" i="44"/>
  <c r="E28" i="44"/>
  <c r="D28" i="44"/>
  <c r="C28" i="44"/>
  <c r="D66" i="44"/>
  <c r="E66" i="44"/>
  <c r="F66" i="44"/>
  <c r="G66" i="44"/>
  <c r="H66" i="44"/>
  <c r="I66" i="44"/>
  <c r="C66"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P12" i="56" l="1"/>
  <c r="C53" i="55"/>
  <c r="B53" i="55"/>
  <c r="Q30" i="55" l="1"/>
  <c r="R30" i="55"/>
  <c r="L35" i="55" l="1"/>
  <c r="M35" i="55"/>
  <c r="N35" i="55"/>
  <c r="O35" i="55"/>
  <c r="P35" i="55"/>
  <c r="K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AK10" i="44" s="1"/>
  <c r="D35" i="55" l="1"/>
  <c r="A35" i="55"/>
  <c r="S36" i="55"/>
  <c r="R36" i="55"/>
  <c r="Q36" i="55"/>
  <c r="P36" i="55"/>
  <c r="O36" i="55"/>
  <c r="N36" i="55"/>
  <c r="M36" i="55"/>
  <c r="L36" i="55"/>
  <c r="K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L30" i="55" l="1"/>
  <c r="M30" i="55"/>
  <c r="N30" i="55"/>
  <c r="O30" i="55"/>
  <c r="P30" i="55"/>
  <c r="K30" i="55"/>
  <c r="F137" i="47" l="1"/>
  <c r="F138" i="47"/>
  <c r="C48" i="55"/>
  <c r="B48" i="55"/>
  <c r="P32" i="55"/>
  <c r="K32" i="55"/>
  <c r="L32" i="55" s="1"/>
  <c r="M32" i="55" s="1"/>
  <c r="N32" i="55" s="1"/>
  <c r="O32" i="55" s="1"/>
  <c r="L31" i="55" l="1"/>
  <c r="M31" i="55"/>
  <c r="N31" i="55"/>
  <c r="O31" i="55"/>
  <c r="P31" i="55"/>
  <c r="K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AH17" i="44" s="1"/>
  <c r="AI17" i="44" s="1"/>
  <c r="AJ17" i="44" s="1"/>
  <c r="AK17" i="44" s="1"/>
  <c r="D13" i="55" l="1"/>
  <c r="A32" i="55" s="1"/>
  <c r="G11" i="55" l="1"/>
  <c r="D11" i="55"/>
  <c r="A30" i="55" s="1"/>
  <c r="P43" i="55" l="1"/>
  <c r="O43" i="55"/>
  <c r="N43" i="55"/>
  <c r="M43" i="55"/>
  <c r="L43" i="55"/>
  <c r="K43" i="55"/>
  <c r="P42" i="55"/>
  <c r="O42" i="55"/>
  <c r="N42" i="55"/>
  <c r="M42" i="55"/>
  <c r="L42" i="55"/>
  <c r="K42"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K132" i="55"/>
  <c r="K131" i="55"/>
  <c r="K130" i="55"/>
  <c r="K129" i="55"/>
  <c r="K126" i="55"/>
  <c r="K122" i="55"/>
  <c r="K121" i="55"/>
  <c r="K120" i="55"/>
  <c r="K117" i="55"/>
  <c r="K116" i="55"/>
  <c r="K115" i="55"/>
  <c r="K112" i="55"/>
  <c r="K111" i="55"/>
  <c r="K109" i="55"/>
  <c r="K106" i="55"/>
  <c r="K101" i="55"/>
  <c r="K100" i="55"/>
  <c r="K99" i="55"/>
  <c r="K95" i="55"/>
  <c r="K93" i="55"/>
  <c r="K92" i="55"/>
  <c r="K89" i="55"/>
  <c r="K88" i="55"/>
  <c r="K84" i="55"/>
  <c r="K83" i="55"/>
  <c r="K82" i="55"/>
  <c r="K81" i="55"/>
  <c r="K85" i="55" l="1"/>
  <c r="K102" i="55"/>
  <c r="K86" i="55"/>
  <c r="K107" i="55"/>
  <c r="K118" i="55"/>
  <c r="K127" i="55"/>
  <c r="K108" i="55"/>
  <c r="K119" i="55"/>
  <c r="K128" i="55"/>
  <c r="K90" i="55"/>
  <c r="K133" i="55"/>
  <c r="K113" i="55"/>
  <c r="K124" i="55"/>
  <c r="K134" i="55"/>
  <c r="K97" i="55"/>
  <c r="K98" i="55"/>
  <c r="K136" i="55"/>
  <c r="K80" i="55"/>
  <c r="K96" i="55"/>
  <c r="K123" i="55"/>
  <c r="K87" i="55"/>
  <c r="K104" i="55"/>
  <c r="K135" i="55"/>
  <c r="K105" i="55"/>
  <c r="K94" i="55"/>
  <c r="K110" i="55"/>
  <c r="L37" i="55" l="1"/>
  <c r="M37" i="55"/>
  <c r="N37" i="55"/>
  <c r="O37" i="55"/>
  <c r="N38" i="55"/>
  <c r="L40" i="55"/>
  <c r="M40" i="55"/>
  <c r="N40" i="55"/>
  <c r="O40" i="55"/>
  <c r="L33" i="55" l="1"/>
  <c r="M33" i="55"/>
  <c r="N33" i="55"/>
  <c r="O33" i="55"/>
  <c r="P33" i="55"/>
  <c r="Q33" i="55"/>
  <c r="R33" i="55"/>
  <c r="S33" i="55"/>
  <c r="K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AI12" i="29" l="1"/>
  <c r="AI11" i="29"/>
  <c r="AM11" i="29" s="1"/>
  <c r="AM15" i="29" s="1"/>
  <c r="AK12" i="29"/>
  <c r="AK16" i="29" s="1"/>
  <c r="AM12" i="29"/>
  <c r="AM16" i="29" s="1"/>
  <c r="O16" i="29"/>
  <c r="J14" i="29"/>
  <c r="AL16" i="29" l="1"/>
  <c r="AK11" i="29"/>
  <c r="AK15" i="29" s="1"/>
  <c r="AL15" i="29" s="1"/>
  <c r="AG15" i="29"/>
  <c r="AG16" i="29" s="1"/>
  <c r="AC63" i="55" l="1"/>
  <c r="V63" i="55"/>
  <c r="W63" i="55"/>
  <c r="X63" i="55"/>
  <c r="Y63" i="55"/>
  <c r="Z63" i="55"/>
  <c r="AA63" i="55"/>
  <c r="AB63" i="55"/>
  <c r="U63" i="55"/>
  <c r="AD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AH78" i="44" s="1"/>
  <c r="M70" i="44"/>
  <c r="N70" i="44"/>
  <c r="O70" i="44"/>
  <c r="P70" i="44"/>
  <c r="Q70" i="44"/>
  <c r="R70" i="44"/>
  <c r="S70" i="44"/>
  <c r="T70" i="44"/>
  <c r="U70" i="44"/>
  <c r="V70" i="44"/>
  <c r="W70" i="44"/>
  <c r="X70" i="44"/>
  <c r="Y70" i="44"/>
  <c r="Z70" i="44"/>
  <c r="AA70" i="44"/>
  <c r="AB70" i="44"/>
  <c r="AC70" i="44"/>
  <c r="AD70" i="44"/>
  <c r="AE70" i="44"/>
  <c r="AF70" i="44"/>
  <c r="AG70" i="44"/>
  <c r="AH79" i="44" s="1"/>
  <c r="M71" i="44"/>
  <c r="N71" i="44"/>
  <c r="O71" i="44"/>
  <c r="P71" i="44"/>
  <c r="Q71" i="44"/>
  <c r="R71" i="44"/>
  <c r="S71" i="44"/>
  <c r="T71" i="44"/>
  <c r="U71" i="44"/>
  <c r="V71" i="44"/>
  <c r="W71" i="44"/>
  <c r="X71" i="44"/>
  <c r="Y71" i="44"/>
  <c r="Z71" i="44"/>
  <c r="AA71" i="44"/>
  <c r="AB71" i="44"/>
  <c r="AC71" i="44"/>
  <c r="AD71" i="44"/>
  <c r="AE71" i="44"/>
  <c r="AF71" i="44"/>
  <c r="AG71" i="44"/>
  <c r="AH80" i="44" s="1"/>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B46" i="44"/>
  <c r="B47" i="44" s="1"/>
  <c r="B48" i="44" s="1"/>
  <c r="B49" i="44" s="1"/>
  <c r="B50" i="44" s="1"/>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AH44" i="44" s="1"/>
  <c r="AI44" i="44" s="1"/>
  <c r="AJ44" i="44" s="1"/>
  <c r="AK44" i="44" s="1"/>
  <c r="L30" i="44"/>
  <c r="AH76" i="44" l="1"/>
  <c r="L75" i="44"/>
  <c r="M76" i="44" s="1"/>
  <c r="P75" i="44"/>
  <c r="P76" i="44" s="1"/>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AK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AH11" i="44" s="1"/>
  <c r="AI11" i="44" s="1"/>
  <c r="AJ11" i="44" s="1"/>
  <c r="AK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AH20" i="44" s="1"/>
  <c r="AI20" i="44" s="1"/>
  <c r="AJ20" i="44" s="1"/>
  <c r="AK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AH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AH12" i="44" s="1"/>
  <c r="AI12" i="44" s="1"/>
  <c r="AJ12" i="44" s="1"/>
  <c r="AK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AH25" i="44" s="1"/>
  <c r="AI25" i="44" s="1"/>
  <c r="AJ25" i="44" s="1"/>
  <c r="AK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AH18" i="44" s="1"/>
  <c r="AI18" i="44" s="1"/>
  <c r="AJ18" i="44" s="1"/>
  <c r="AK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H21" i="44" s="1"/>
  <c r="AI21" i="44" s="1"/>
  <c r="AJ21" i="44" s="1"/>
  <c r="AK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AJ26" i="44" s="1"/>
  <c r="AK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AH22" i="44" s="1"/>
  <c r="AI22" i="44" s="1"/>
  <c r="AJ22" i="44" s="1"/>
  <c r="AK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AH27" i="44" s="1"/>
  <c r="AI27" i="44" s="1"/>
  <c r="AJ27" i="44" s="1"/>
  <c r="AK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AH9" i="44" s="1"/>
  <c r="AI9" i="44" s="1"/>
  <c r="AJ9" i="44" s="1"/>
  <c r="AK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AH19" i="44" s="1"/>
  <c r="AI19" i="44" s="1"/>
  <c r="AJ19" i="44" s="1"/>
  <c r="AK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H24" i="44" s="1"/>
  <c r="AI24" i="44" s="1"/>
  <c r="AJ24" i="44" s="1"/>
  <c r="AK24" i="44" s="1"/>
  <c r="AE66" i="44"/>
  <c r="K72" i="44"/>
  <c r="O79" i="44"/>
  <c r="X78" i="44"/>
  <c r="K76" i="44"/>
  <c r="S66" i="44"/>
  <c r="U66" i="44"/>
  <c r="AG66" i="44"/>
  <c r="AH67" i="44" s="1"/>
  <c r="L66" i="44"/>
  <c r="X66" i="44"/>
  <c r="AC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H7" i="44" s="1"/>
  <c r="AI7" i="44" s="1"/>
  <c r="AD66" i="44"/>
  <c r="R66" i="44"/>
  <c r="T66" i="44"/>
  <c r="AF66" i="44"/>
  <c r="O76" i="44"/>
  <c r="M66" i="44"/>
  <c r="V66" i="44"/>
  <c r="R76" i="44"/>
  <c r="AF76" i="44"/>
  <c r="AD76" i="44"/>
  <c r="T76" i="44"/>
  <c r="AB76" i="44"/>
  <c r="F44" i="29" a="1"/>
  <c r="F44" i="29" s="1"/>
  <c r="AH16" i="44" l="1"/>
  <c r="AI16" i="44" s="1"/>
  <c r="M8" i="56" s="1" a="1"/>
  <c r="M8" i="56" s="1"/>
  <c r="W8" i="56" s="1"/>
  <c r="L8" i="56" a="1"/>
  <c r="L8" i="56" s="1"/>
  <c r="V8" i="56" s="1"/>
  <c r="AH23" i="44"/>
  <c r="AI23" i="44" s="1"/>
  <c r="L7" i="56" a="1"/>
  <c r="L7" i="56" s="1"/>
  <c r="V7" i="56" s="1"/>
  <c r="AH15" i="44"/>
  <c r="AI15" i="44" s="1"/>
  <c r="L9" i="56" a="1"/>
  <c r="L9" i="56" s="1"/>
  <c r="V9" i="56" s="1"/>
  <c r="AJ23" i="44"/>
  <c r="AK23" i="44" s="1"/>
  <c r="N7" i="56" s="1" a="1"/>
  <c r="N7" i="56" s="1"/>
  <c r="X7" i="56" s="1"/>
  <c r="M7" i="56" a="1"/>
  <c r="M7" i="56" s="1"/>
  <c r="W7" i="56" s="1"/>
  <c r="AJ15" i="44"/>
  <c r="AK15" i="44" s="1"/>
  <c r="N9" i="56" s="1" a="1"/>
  <c r="N9" i="56" s="1"/>
  <c r="X9" i="56" s="1"/>
  <c r="M9" i="56" a="1"/>
  <c r="M9" i="56" s="1"/>
  <c r="W9" i="56" s="1"/>
  <c r="AI8" i="44"/>
  <c r="AJ8" i="44" s="1"/>
  <c r="AK8" i="44" s="1"/>
  <c r="AJ7" i="44"/>
  <c r="Q76" i="44"/>
  <c r="L76" i="44"/>
  <c r="L37" i="44"/>
  <c r="L38"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AJ16" i="44" l="1"/>
  <c r="AK16" i="44" s="1"/>
  <c r="N8" i="56" s="1" a="1"/>
  <c r="N8" i="56" s="1"/>
  <c r="X8" i="56" s="1"/>
  <c r="AH28" i="44"/>
  <c r="AI28" i="44"/>
  <c r="AK7" i="44"/>
  <c r="M37" i="44"/>
  <c r="N37" i="44" s="1"/>
  <c r="N38" i="44" s="1"/>
  <c r="L31" i="44"/>
  <c r="L34" i="44" s="1"/>
  <c r="L33" i="44"/>
  <c r="L36" i="44" s="1"/>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J172" i="56" a="1"/>
  <c r="J172" i="56" s="1"/>
  <c r="I172" i="56" a="1"/>
  <c r="I172" i="56" s="1"/>
  <c r="E172" i="56" a="1"/>
  <c r="E172" i="56" s="1"/>
  <c r="D172" i="56" a="1"/>
  <c r="D172" i="56" s="1"/>
  <c r="K129" i="56" a="1"/>
  <c r="K129" i="56" s="1"/>
  <c r="J129" i="56" a="1"/>
  <c r="J129" i="56" s="1"/>
  <c r="I129" i="56" a="1"/>
  <c r="I129" i="56" s="1"/>
  <c r="H129" i="56" a="1"/>
  <c r="H129" i="56" s="1"/>
  <c r="E129" i="56" a="1"/>
  <c r="E129" i="56" s="1"/>
  <c r="D129" i="56" a="1"/>
  <c r="D129" i="56" s="1"/>
  <c r="C129" i="56" a="1"/>
  <c r="C129" i="56" s="1"/>
  <c r="L108" i="56" a="1"/>
  <c r="L108" i="56" s="1"/>
  <c r="K108" i="56" a="1"/>
  <c r="K108" i="56" s="1"/>
  <c r="J108" i="56" a="1"/>
  <c r="J108" i="56" s="1"/>
  <c r="I108" i="56" a="1"/>
  <c r="I108" i="56" s="1"/>
  <c r="H108" i="56" a="1"/>
  <c r="H108" i="56" s="1"/>
  <c r="E108" i="56" a="1"/>
  <c r="E108" i="56" s="1"/>
  <c r="D108" i="56" a="1"/>
  <c r="D108" i="56" s="1"/>
  <c r="J44" i="29" a="1"/>
  <c r="J44" i="29" s="1"/>
  <c r="I44" i="29" a="1"/>
  <c r="I44" i="29" s="1"/>
  <c r="G44" i="29" a="1"/>
  <c r="G44" i="29" s="1"/>
  <c r="E44" i="29" a="1"/>
  <c r="E44" i="29" s="1"/>
  <c r="D44" i="29" a="1"/>
  <c r="D44" i="29" s="1"/>
  <c r="C44" i="29" a="1"/>
  <c r="C44" i="29" s="1"/>
  <c r="AJ28" i="44" l="1"/>
  <c r="AJ29" i="44" s="1"/>
  <c r="AK28" i="44"/>
  <c r="AI29" i="44"/>
  <c r="K50" i="29"/>
  <c r="K51" i="29" s="1"/>
  <c r="N173" i="56"/>
  <c r="N174" i="56" s="1"/>
  <c r="O173" i="56"/>
  <c r="O174" i="56" s="1"/>
  <c r="AH173" i="56"/>
  <c r="AH174" i="56" s="1"/>
  <c r="AA135" i="56"/>
  <c r="AA136" i="56" s="1"/>
  <c r="AI173" i="56"/>
  <c r="AI174" i="56" s="1"/>
  <c r="AB135" i="56"/>
  <c r="AB136" i="56" s="1"/>
  <c r="X173" i="56"/>
  <c r="X174" i="56" s="1"/>
  <c r="Q135" i="56"/>
  <c r="Q136" i="56" s="1"/>
  <c r="Y173" i="56"/>
  <c r="Y174" i="56" s="1"/>
  <c r="R135" i="56"/>
  <c r="R136" i="56" s="1"/>
  <c r="O37" i="44"/>
  <c r="P37" i="44" s="1"/>
  <c r="M38" i="44"/>
  <c r="M32" i="44"/>
  <c r="M33" i="44"/>
  <c r="M31" i="44"/>
  <c r="O82" i="44"/>
  <c r="N32" i="44"/>
  <c r="N31" i="44"/>
  <c r="P81" i="44"/>
  <c r="O83" i="44"/>
  <c r="N33" i="44"/>
  <c r="N57" i="58"/>
  <c r="H145" i="58" s="1"/>
  <c r="E147" i="58" s="1"/>
  <c r="AK29" i="44" l="1"/>
  <c r="E141" i="58"/>
  <c r="E140" i="58"/>
  <c r="E138" i="58"/>
  <c r="E146" i="58"/>
  <c r="E143" i="58"/>
  <c r="E145" i="58"/>
  <c r="E144" i="58"/>
  <c r="E142" i="58"/>
  <c r="E139" i="58"/>
  <c r="H134" i="58"/>
  <c r="H124" i="58"/>
  <c r="E125" i="58" s="1"/>
  <c r="H69" i="58"/>
  <c r="J91" i="58"/>
  <c r="K91" i="58"/>
  <c r="O38" i="44"/>
  <c r="P83" i="44"/>
  <c r="O33" i="44"/>
  <c r="Q37" i="44"/>
  <c r="P38" i="44"/>
  <c r="O31" i="44"/>
  <c r="Q81" i="44"/>
  <c r="P82" i="44"/>
  <c r="O32" i="44"/>
  <c r="E117" i="58" l="1"/>
  <c r="E118" i="58"/>
  <c r="E119" i="58"/>
  <c r="E120" i="58"/>
  <c r="E124" i="58"/>
  <c r="E121" i="58"/>
  <c r="E116" i="58"/>
  <c r="E123" i="58"/>
  <c r="E122" i="58"/>
  <c r="H135" i="58"/>
  <c r="H146" i="58"/>
  <c r="E136" i="58"/>
  <c r="Q82" i="44"/>
  <c r="P32" i="44"/>
  <c r="P31" i="44"/>
  <c r="R81" i="44"/>
  <c r="R37" i="44"/>
  <c r="Q38" i="44"/>
  <c r="Q83" i="44"/>
  <c r="P33" i="44"/>
  <c r="BI122" i="58" l="1"/>
  <c r="BH122" i="58"/>
  <c r="BJ122" i="58"/>
  <c r="AZ122" i="58"/>
  <c r="AY122" i="58"/>
  <c r="BK122" i="58"/>
  <c r="BL122" i="58"/>
  <c r="BG122" i="58"/>
  <c r="BA122" i="58"/>
  <c r="BM122" i="58"/>
  <c r="BF122" i="58"/>
  <c r="BB122" i="58"/>
  <c r="BN122" i="58"/>
  <c r="BO122" i="58"/>
  <c r="BQ122" i="58"/>
  <c r="BC122" i="58"/>
  <c r="BD122" i="58"/>
  <c r="BP122" i="58"/>
  <c r="BE122" i="58"/>
  <c r="BR122" i="58"/>
  <c r="BE118" i="58"/>
  <c r="BQ118" i="58"/>
  <c r="BF118" i="58"/>
  <c r="BR118" i="58"/>
  <c r="BG118" i="58"/>
  <c r="BH118" i="58"/>
  <c r="BI118" i="58"/>
  <c r="BC118" i="58"/>
  <c r="BP118" i="58"/>
  <c r="BJ118" i="58"/>
  <c r="AY118" i="58"/>
  <c r="BK118" i="58"/>
  <c r="BD118" i="58"/>
  <c r="AZ118" i="58"/>
  <c r="BL118" i="58"/>
  <c r="BO118" i="58"/>
  <c r="BA118" i="58"/>
  <c r="BM118" i="58"/>
  <c r="BB118" i="58"/>
  <c r="BN118" i="58"/>
  <c r="E130" i="58"/>
  <c r="E127" i="58"/>
  <c r="E135" i="58"/>
  <c r="E131" i="58"/>
  <c r="E134" i="58"/>
  <c r="E133" i="58"/>
  <c r="E132" i="58"/>
  <c r="E129" i="58"/>
  <c r="E128" i="58"/>
  <c r="BA123" i="58"/>
  <c r="BM123" i="58"/>
  <c r="BC123" i="58"/>
  <c r="BP123" i="58"/>
  <c r="BB123" i="58"/>
  <c r="BN123" i="58"/>
  <c r="BO123" i="58"/>
  <c r="BD123" i="58"/>
  <c r="BE123" i="58"/>
  <c r="BQ123" i="58"/>
  <c r="BF123" i="58"/>
  <c r="BR123" i="58"/>
  <c r="AY123" i="58"/>
  <c r="AZ123" i="58"/>
  <c r="BG123" i="58"/>
  <c r="BI123" i="58"/>
  <c r="BJ123" i="58"/>
  <c r="BH123" i="58"/>
  <c r="BK123" i="58"/>
  <c r="BL123" i="58"/>
  <c r="BI116" i="58"/>
  <c r="BJ116" i="58"/>
  <c r="AY116" i="58"/>
  <c r="BK116" i="58"/>
  <c r="AZ116" i="58"/>
  <c r="BL116" i="58"/>
  <c r="BA116" i="58"/>
  <c r="BM116" i="58"/>
  <c r="BB116" i="58"/>
  <c r="BN116" i="58"/>
  <c r="BC116" i="58"/>
  <c r="BO116" i="58"/>
  <c r="BD116" i="58"/>
  <c r="BP116" i="58"/>
  <c r="BE116" i="58"/>
  <c r="BQ116" i="58"/>
  <c r="BF116" i="58"/>
  <c r="BR116" i="58"/>
  <c r="BG116" i="58"/>
  <c r="BH116" i="58"/>
  <c r="BE121" i="58"/>
  <c r="BQ121" i="58"/>
  <c r="BH121" i="58"/>
  <c r="BF121" i="58"/>
  <c r="BR121" i="58"/>
  <c r="BG121" i="58"/>
  <c r="BD121" i="58"/>
  <c r="BI121" i="58"/>
  <c r="BC121" i="58"/>
  <c r="BJ121" i="58"/>
  <c r="AY121" i="58"/>
  <c r="BK121" i="58"/>
  <c r="BO121" i="58"/>
  <c r="AZ121" i="58"/>
  <c r="BL121" i="58"/>
  <c r="BN121" i="58"/>
  <c r="BP121" i="58"/>
  <c r="BA121" i="58"/>
  <c r="BM121" i="58"/>
  <c r="BB121" i="58"/>
  <c r="BE124" i="58"/>
  <c r="BQ124" i="58"/>
  <c r="BF124" i="58"/>
  <c r="BR124" i="58"/>
  <c r="BG124" i="58"/>
  <c r="BN124" i="58"/>
  <c r="BC124" i="58"/>
  <c r="BH124" i="58"/>
  <c r="BP124" i="58"/>
  <c r="BI124" i="58"/>
  <c r="BL124" i="58"/>
  <c r="BM124" i="58"/>
  <c r="BD124" i="58"/>
  <c r="BJ124" i="58"/>
  <c r="AY124" i="58"/>
  <c r="BK124" i="58"/>
  <c r="AZ124" i="58"/>
  <c r="BA124" i="58"/>
  <c r="BB124" i="58"/>
  <c r="BO124" i="58"/>
  <c r="BA120" i="58"/>
  <c r="BM120" i="58"/>
  <c r="BK120" i="58"/>
  <c r="BB120" i="58"/>
  <c r="BN120" i="58"/>
  <c r="BC120" i="58"/>
  <c r="BO120" i="58"/>
  <c r="BD120" i="58"/>
  <c r="BP120" i="58"/>
  <c r="BE120" i="58"/>
  <c r="BQ120" i="58"/>
  <c r="BF120" i="58"/>
  <c r="BR120" i="58"/>
  <c r="BG120" i="58"/>
  <c r="BH120" i="58"/>
  <c r="BI120" i="58"/>
  <c r="AY120" i="58"/>
  <c r="AZ120" i="58"/>
  <c r="BJ120" i="58"/>
  <c r="BL120" i="58"/>
  <c r="BI119" i="58"/>
  <c r="BJ119" i="58"/>
  <c r="BG119" i="58"/>
  <c r="BH119" i="58"/>
  <c r="AY119" i="58"/>
  <c r="BK119" i="58"/>
  <c r="AZ119" i="58"/>
  <c r="BL119" i="58"/>
  <c r="BA119" i="58"/>
  <c r="BM119" i="58"/>
  <c r="BB119" i="58"/>
  <c r="BN119" i="58"/>
  <c r="BC119" i="58"/>
  <c r="BO119" i="58"/>
  <c r="BD119" i="58"/>
  <c r="BP119" i="58"/>
  <c r="BE119" i="58"/>
  <c r="BQ119" i="58"/>
  <c r="BF119" i="58"/>
  <c r="BR119" i="58"/>
  <c r="BA117" i="58"/>
  <c r="BM117" i="58"/>
  <c r="AZ117" i="58"/>
  <c r="BB117" i="58"/>
  <c r="BN117" i="58"/>
  <c r="BC117" i="58"/>
  <c r="BO117" i="58"/>
  <c r="BD117" i="58"/>
  <c r="BP117" i="58"/>
  <c r="BE117" i="58"/>
  <c r="BQ117" i="58"/>
  <c r="BF117" i="58"/>
  <c r="BR117" i="58"/>
  <c r="BG117" i="58"/>
  <c r="BK117" i="58"/>
  <c r="BH117" i="58"/>
  <c r="BL117" i="58"/>
  <c r="BI117" i="58"/>
  <c r="AY117" i="58"/>
  <c r="BJ117" i="58"/>
  <c r="R83" i="44"/>
  <c r="Q33" i="44"/>
  <c r="S37" i="44"/>
  <c r="R38" i="44"/>
  <c r="Q31" i="44"/>
  <c r="S81" i="44"/>
  <c r="R82" i="44"/>
  <c r="Q32" i="44"/>
  <c r="BK133" i="58" l="1"/>
  <c r="S82" i="44"/>
  <c r="R32" i="44"/>
  <c r="T37" i="44"/>
  <c r="S38" i="44"/>
  <c r="R31" i="44"/>
  <c r="T81" i="44"/>
  <c r="S83" i="44"/>
  <c r="R33" i="44"/>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T83" i="44" l="1"/>
  <c r="S33" i="44"/>
  <c r="S31" i="44"/>
  <c r="U81" i="44"/>
  <c r="U37" i="44"/>
  <c r="T38" i="44"/>
  <c r="T82" i="44"/>
  <c r="S32" i="44"/>
  <c r="L22" i="60" a="1"/>
  <c r="L22" i="60" s="1"/>
  <c r="L23" i="60" a="1"/>
  <c r="L23" i="60" s="1"/>
  <c r="L24" i="60" a="1"/>
  <c r="L24" i="60" s="1"/>
  <c r="L45" i="60" a="1"/>
  <c r="L45" i="60" s="1"/>
  <c r="M24" i="60" a="1"/>
  <c r="M24" i="60" s="1"/>
  <c r="M45" i="60" a="1"/>
  <c r="M45" i="60" s="1"/>
  <c r="M23" i="60" a="1"/>
  <c r="M23" i="60" s="1"/>
  <c r="M22" i="60" a="1"/>
  <c r="M22" i="60" s="1"/>
  <c r="N24" i="60" a="1"/>
  <c r="N24" i="60" s="1"/>
  <c r="N45" i="60" a="1"/>
  <c r="N45" i="60" s="1"/>
  <c r="N22" i="60" a="1"/>
  <c r="N22" i="60" s="1"/>
  <c r="N23" i="60" a="1"/>
  <c r="N23" i="60" s="1"/>
  <c r="O24" i="60" a="1"/>
  <c r="O24" i="60" s="1"/>
  <c r="O45" i="60" a="1"/>
  <c r="O45" i="60" s="1"/>
  <c r="O22" i="60" a="1"/>
  <c r="O22" i="60" s="1"/>
  <c r="O23" i="60" a="1"/>
  <c r="O23" i="60" s="1"/>
  <c r="A1"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K6" i="60"/>
  <c r="AL6" i="60"/>
  <c r="AM6" i="60"/>
  <c r="E33" i="60"/>
  <c r="F33" i="60"/>
  <c r="G33" i="60"/>
  <c r="H33" i="60"/>
  <c r="I33" i="60"/>
  <c r="B34" i="60"/>
  <c r="C34" i="60"/>
  <c r="C98" i="60" s="1"/>
  <c r="B35" i="60"/>
  <c r="C35" i="60"/>
  <c r="B36" i="60"/>
  <c r="C36" i="60"/>
  <c r="B37" i="60"/>
  <c r="C37" i="60"/>
  <c r="B38" i="60"/>
  <c r="C38" i="60"/>
  <c r="E43" i="60"/>
  <c r="E19" i="57" s="1"/>
  <c r="F43" i="60"/>
  <c r="G43" i="60"/>
  <c r="H43" i="60"/>
  <c r="I43" i="60"/>
  <c r="M19" i="57" s="1"/>
  <c r="E44" i="60"/>
  <c r="E20" i="57" s="1"/>
  <c r="F44" i="60"/>
  <c r="G20" i="57" s="1"/>
  <c r="G44" i="60"/>
  <c r="I20" i="57" s="1"/>
  <c r="H44" i="60"/>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E75" i="60"/>
  <c r="Y75" i="60" s="1"/>
  <c r="D92" i="60"/>
  <c r="D93" i="60"/>
  <c r="A99" i="60"/>
  <c r="B99" i="60"/>
  <c r="C99" i="60"/>
  <c r="D99" i="60"/>
  <c r="L99" i="60" s="1"/>
  <c r="E99" i="60"/>
  <c r="F99" i="60"/>
  <c r="G99" i="60"/>
  <c r="H99" i="60"/>
  <c r="I99" i="60"/>
  <c r="A100" i="60"/>
  <c r="B100" i="60"/>
  <c r="C100" i="60"/>
  <c r="D100" i="60"/>
  <c r="L100" i="60" s="1"/>
  <c r="A101" i="60"/>
  <c r="B101" i="60"/>
  <c r="C101" i="60"/>
  <c r="D101" i="60"/>
  <c r="L101" i="60" s="1"/>
  <c r="A102" i="60"/>
  <c r="B102" i="60"/>
  <c r="C102" i="60"/>
  <c r="D102" i="60"/>
  <c r="L102" i="60" s="1"/>
  <c r="A103" i="60"/>
  <c r="B103" i="60"/>
  <c r="C103" i="60"/>
  <c r="D103" i="60"/>
  <c r="L103" i="60" s="1"/>
  <c r="A104" i="60"/>
  <c r="B104" i="60"/>
  <c r="C104" i="60"/>
  <c r="D104" i="60"/>
  <c r="L104" i="60" s="1"/>
  <c r="A105" i="60"/>
  <c r="B105" i="60"/>
  <c r="C105" i="60"/>
  <c r="D105" i="60"/>
  <c r="L105" i="60" s="1"/>
  <c r="A106" i="60"/>
  <c r="B106" i="60"/>
  <c r="C106" i="60"/>
  <c r="D106" i="60"/>
  <c r="L106" i="60" s="1"/>
  <c r="A107" i="60"/>
  <c r="B107" i="60"/>
  <c r="C107" i="60"/>
  <c r="D107" i="60"/>
  <c r="L107" i="60" s="1"/>
  <c r="A108" i="60"/>
  <c r="B108" i="60"/>
  <c r="C108" i="60"/>
  <c r="D108" i="60"/>
  <c r="L108" i="60" s="1"/>
  <c r="A109" i="60"/>
  <c r="B109" i="60"/>
  <c r="C109" i="60"/>
  <c r="D109" i="60"/>
  <c r="A110" i="60"/>
  <c r="B110" i="60"/>
  <c r="C110" i="60"/>
  <c r="D110" i="60"/>
  <c r="L110" i="60" s="1"/>
  <c r="A111" i="60"/>
  <c r="B111" i="60"/>
  <c r="C111" i="60"/>
  <c r="D111" i="60"/>
  <c r="L111" i="60" s="1"/>
  <c r="A112" i="60"/>
  <c r="B112" i="60"/>
  <c r="C112" i="60"/>
  <c r="D112" i="60"/>
  <c r="L112" i="60" s="1"/>
  <c r="A113" i="60"/>
  <c r="B113" i="60"/>
  <c r="C113" i="60"/>
  <c r="D113" i="60"/>
  <c r="L113" i="60" s="1"/>
  <c r="A114" i="60"/>
  <c r="B114" i="60"/>
  <c r="C114" i="60"/>
  <c r="D114" i="60"/>
  <c r="L114" i="60" s="1"/>
  <c r="A115" i="60"/>
  <c r="B115" i="60"/>
  <c r="C115" i="60"/>
  <c r="D115" i="60"/>
  <c r="L115" i="60" s="1"/>
  <c r="A116" i="60"/>
  <c r="B116" i="60"/>
  <c r="C116" i="60"/>
  <c r="D116" i="60"/>
  <c r="A117" i="60"/>
  <c r="B117" i="60"/>
  <c r="C117" i="60"/>
  <c r="D117" i="60"/>
  <c r="L117" i="60" s="1"/>
  <c r="A118" i="60"/>
  <c r="B118" i="60"/>
  <c r="C118" i="60"/>
  <c r="D118" i="60"/>
  <c r="L118" i="60" s="1"/>
  <c r="A119" i="60"/>
  <c r="B119" i="60"/>
  <c r="C119" i="60"/>
  <c r="D119" i="60"/>
  <c r="L119" i="60" s="1"/>
  <c r="AM7" i="60" l="1"/>
  <c r="J20" i="57"/>
  <c r="L20" i="57"/>
  <c r="K20" i="57"/>
  <c r="F20" i="57"/>
  <c r="K19" i="57"/>
  <c r="L19" i="57"/>
  <c r="D83" i="60"/>
  <c r="D91" i="60" s="1"/>
  <c r="L116" i="60"/>
  <c r="D82" i="60"/>
  <c r="D90" i="60" s="1"/>
  <c r="L109" i="60"/>
  <c r="U82" i="44"/>
  <c r="T32" i="44"/>
  <c r="V37" i="44"/>
  <c r="U38" i="44"/>
  <c r="T31" i="44"/>
  <c r="V81" i="44"/>
  <c r="U83" i="44"/>
  <c r="T33" i="44"/>
  <c r="I49" i="60"/>
  <c r="F49" i="60"/>
  <c r="H48" i="60"/>
  <c r="J19" i="57"/>
  <c r="G48" i="60"/>
  <c r="I19" i="57"/>
  <c r="F48" i="60"/>
  <c r="G19" i="57"/>
  <c r="F19" i="57" s="1"/>
  <c r="G49" i="60"/>
  <c r="H49" i="60"/>
  <c r="AK7" i="60"/>
  <c r="AL7" i="60"/>
  <c r="AY111" i="60"/>
  <c r="AY113" i="60"/>
  <c r="AY112" i="60"/>
  <c r="AY106" i="60"/>
  <c r="AY104" i="60"/>
  <c r="AY101" i="60"/>
  <c r="AY117" i="60"/>
  <c r="AY119" i="60"/>
  <c r="AY114" i="60"/>
  <c r="AY99" i="60"/>
  <c r="AY118" i="60"/>
  <c r="AY108" i="60"/>
  <c r="AY105" i="60"/>
  <c r="AY109" i="60"/>
  <c r="AY103" i="60"/>
  <c r="AY115" i="60"/>
  <c r="AY110" i="60"/>
  <c r="AL21" i="60"/>
  <c r="E76" i="60"/>
  <c r="Y76" i="60" s="1"/>
  <c r="V6" i="60"/>
  <c r="V7" i="60" s="1"/>
  <c r="AI6" i="60"/>
  <c r="AI7" i="60" s="1"/>
  <c r="W6" i="60"/>
  <c r="W7" i="60" s="1"/>
  <c r="AJ6" i="60"/>
  <c r="AJ7" i="60" s="1"/>
  <c r="L6" i="60"/>
  <c r="L7" i="60" s="1"/>
  <c r="Y6" i="60"/>
  <c r="Y7" i="60" s="1"/>
  <c r="AD6" i="60"/>
  <c r="AD7" i="60" s="1"/>
  <c r="R6" i="60"/>
  <c r="R7" i="60" s="1"/>
  <c r="AF6" i="60"/>
  <c r="AF7" i="60" s="1"/>
  <c r="M6" i="60"/>
  <c r="M7" i="60" s="1"/>
  <c r="N6" i="60"/>
  <c r="N7" i="60" s="1"/>
  <c r="O6" i="60"/>
  <c r="O7" i="60" s="1"/>
  <c r="P6" i="60"/>
  <c r="P7" i="60" s="1"/>
  <c r="T6" i="60"/>
  <c r="T7" i="60" s="1"/>
  <c r="AB6" i="60"/>
  <c r="AB7" i="60" s="1"/>
  <c r="AC6" i="60"/>
  <c r="AC7" i="60" s="1"/>
  <c r="AG6" i="60"/>
  <c r="AG7" i="60" s="1"/>
  <c r="Z6" i="60"/>
  <c r="Z7" i="60" s="1"/>
  <c r="AA6" i="60"/>
  <c r="AA7" i="60" s="1"/>
  <c r="AY116" i="60"/>
  <c r="D81" i="60"/>
  <c r="D89" i="60" s="1"/>
  <c r="AY102" i="60"/>
  <c r="I48" i="60"/>
  <c r="Z75" i="60"/>
  <c r="AA75" i="60" s="1"/>
  <c r="AB75" i="60" s="1"/>
  <c r="AC75" i="60" s="1"/>
  <c r="AD75" i="60" s="1"/>
  <c r="AE75" i="60" s="1"/>
  <c r="AF75" i="60" s="1"/>
  <c r="AG75" i="60" s="1"/>
  <c r="AH75" i="60" s="1"/>
  <c r="AI75" i="60" s="1"/>
  <c r="AJ75" i="60" s="1"/>
  <c r="AK75" i="60" s="1"/>
  <c r="AL75" i="60" s="1"/>
  <c r="AM75" i="60" s="1"/>
  <c r="S6" i="60"/>
  <c r="S7" i="60" s="1"/>
  <c r="AE6" i="60"/>
  <c r="AE7" i="60" s="1"/>
  <c r="Q6" i="60"/>
  <c r="Q7" i="60" s="1"/>
  <c r="X6" i="60"/>
  <c r="X7" i="60" s="1"/>
  <c r="AH6" i="60"/>
  <c r="AH7" i="60" s="1"/>
  <c r="U6" i="60"/>
  <c r="U7" i="60" s="1"/>
  <c r="AM21" i="60" l="1"/>
  <c r="U31" i="44"/>
  <c r="V83" i="44"/>
  <c r="U33" i="44"/>
  <c r="W81" i="44"/>
  <c r="V38" i="44"/>
  <c r="W37" i="44"/>
  <c r="Z76" i="60"/>
  <c r="AA76" i="60" s="1"/>
  <c r="AB76" i="60" s="1"/>
  <c r="AC76" i="60" s="1"/>
  <c r="AD76" i="60" s="1"/>
  <c r="AE76" i="60" s="1"/>
  <c r="AF76" i="60" s="1"/>
  <c r="AG76" i="60" s="1"/>
  <c r="AH76" i="60" s="1"/>
  <c r="AI76" i="60" s="1"/>
  <c r="AJ76" i="60" s="1"/>
  <c r="AK76" i="60" s="1"/>
  <c r="AL76" i="60" s="1"/>
  <c r="AM76" i="60" s="1"/>
  <c r="V82" i="44"/>
  <c r="U32" i="44"/>
  <c r="O30" i="60" a="1"/>
  <c r="O30" i="60" s="1"/>
  <c r="P30" i="60" s="1" a="1"/>
  <c r="P30" i="60" s="1"/>
  <c r="Q30" i="60" s="1" a="1"/>
  <c r="Q30" i="60" s="1"/>
  <c r="R30" i="60" s="1" a="1"/>
  <c r="R30" i="60" s="1"/>
  <c r="S30" i="60" s="1" a="1"/>
  <c r="S30" i="60" s="1"/>
  <c r="T30" i="60" s="1" a="1"/>
  <c r="T30" i="60" s="1"/>
  <c r="U30" i="60" s="1" a="1"/>
  <c r="U30" i="60" s="1"/>
  <c r="V30" i="60" s="1" a="1"/>
  <c r="V30" i="60" s="1"/>
  <c r="W30" i="60" s="1" a="1"/>
  <c r="W30" i="60" s="1"/>
  <c r="X30" i="60" s="1" a="1"/>
  <c r="X30" i="60" s="1"/>
  <c r="O29" i="60" a="1"/>
  <c r="O29" i="60" s="1"/>
  <c r="P29" i="60" s="1" a="1"/>
  <c r="P29" i="60" s="1"/>
  <c r="Q29" i="60" s="1" a="1"/>
  <c r="Q29" i="60" s="1"/>
  <c r="R29" i="60" s="1" a="1"/>
  <c r="R29" i="60" s="1"/>
  <c r="S29" i="60" s="1" a="1"/>
  <c r="S29" i="60" s="1"/>
  <c r="T29" i="60" s="1" a="1"/>
  <c r="T29" i="60" s="1"/>
  <c r="U29" i="60" s="1" a="1"/>
  <c r="U29" i="60" s="1"/>
  <c r="V29" i="60" s="1" a="1"/>
  <c r="V29" i="60" s="1"/>
  <c r="W29" i="60" s="1" a="1"/>
  <c r="W29" i="60" s="1"/>
  <c r="X29" i="60" s="1" a="1"/>
  <c r="X29" i="60" s="1"/>
  <c r="Y30" i="60" a="1"/>
  <c r="Y30" i="60" s="1"/>
  <c r="Z30" i="60" s="1" a="1"/>
  <c r="Z30" i="60" s="1"/>
  <c r="AA30" i="60" s="1" a="1"/>
  <c r="AA30" i="60" s="1"/>
  <c r="AB30" i="60" s="1" a="1"/>
  <c r="AB30" i="60" s="1"/>
  <c r="AC30" i="60" s="1" a="1"/>
  <c r="AC30" i="60" s="1"/>
  <c r="AD30" i="60" s="1" a="1"/>
  <c r="AD30" i="60" s="1"/>
  <c r="AE30" i="60" s="1" a="1"/>
  <c r="AE30" i="60" s="1"/>
  <c r="AF30" i="60" s="1" a="1"/>
  <c r="AF30" i="60" s="1"/>
  <c r="AG30" i="60" s="1" a="1"/>
  <c r="AG30" i="60" s="1"/>
  <c r="AH30" i="60" s="1" a="1"/>
  <c r="AH30" i="60" s="1"/>
  <c r="Y29" i="60" a="1"/>
  <c r="Y29" i="60" s="1"/>
  <c r="Z29" i="60" s="1" a="1"/>
  <c r="Z29" i="60" s="1"/>
  <c r="AA29" i="60" s="1" a="1"/>
  <c r="AA29" i="60" s="1"/>
  <c r="AB29" i="60" s="1" a="1"/>
  <c r="AB29" i="60" s="1"/>
  <c r="AC29" i="60" s="1" a="1"/>
  <c r="AC29" i="60" s="1"/>
  <c r="AD29" i="60" s="1" a="1"/>
  <c r="AD29" i="60" s="1"/>
  <c r="AE29" i="60" s="1" a="1"/>
  <c r="AE29" i="60" s="1"/>
  <c r="AF29" i="60" s="1" a="1"/>
  <c r="AF29" i="60" s="1"/>
  <c r="AG29" i="60" s="1" a="1"/>
  <c r="AG29" i="60" s="1"/>
  <c r="AH29" i="60" s="1" a="1"/>
  <c r="AH29" i="60" s="1"/>
  <c r="AI29" i="60" a="1"/>
  <c r="AI29" i="60" s="1"/>
  <c r="AI30" i="60" a="1"/>
  <c r="AI30" i="60" s="1"/>
  <c r="AK29" i="60" a="1"/>
  <c r="AK29" i="60" s="1"/>
  <c r="AK30" i="60" a="1"/>
  <c r="AK30" i="60" s="1"/>
  <c r="AL30" i="60" s="1"/>
  <c r="AM30" i="60" s="1"/>
  <c r="AL29" i="60" l="1"/>
  <c r="AM29" i="60" s="1"/>
  <c r="AJ29" i="60"/>
  <c r="X37" i="44"/>
  <c r="W38" i="44"/>
  <c r="W83" i="44"/>
  <c r="V33" i="44"/>
  <c r="W82" i="44"/>
  <c r="V32" i="44"/>
  <c r="V31" i="44"/>
  <c r="X81" i="44"/>
  <c r="AJ30" i="60"/>
  <c r="W31" i="44" l="1"/>
  <c r="Y37" i="44"/>
  <c r="X38" i="44"/>
  <c r="Y81" i="44"/>
  <c r="X82" i="44"/>
  <c r="W32" i="44"/>
  <c r="X83" i="44"/>
  <c r="W33" i="44"/>
  <c r="M97" i="60"/>
  <c r="L73" i="60"/>
  <c r="L80" i="60" s="1"/>
  <c r="X31" i="44" l="1"/>
  <c r="Z81" i="44"/>
  <c r="Y83" i="44"/>
  <c r="X33" i="44"/>
  <c r="Y82" i="44"/>
  <c r="X32" i="44"/>
  <c r="Y38" i="44"/>
  <c r="Z37" i="44"/>
  <c r="M73" i="60"/>
  <c r="M80" i="60" s="1"/>
  <c r="N97" i="60"/>
  <c r="Y31" i="44" l="1"/>
  <c r="Z83" i="44"/>
  <c r="Y33" i="44"/>
  <c r="Z38" i="44"/>
  <c r="AA37" i="44"/>
  <c r="Z82" i="44"/>
  <c r="Y32" i="44"/>
  <c r="AA81" i="44"/>
  <c r="N73" i="60"/>
  <c r="N80" i="60" s="1"/>
  <c r="O97" i="60"/>
  <c r="Z31" i="44" l="1"/>
  <c r="AA82" i="44"/>
  <c r="Z32" i="44"/>
  <c r="AB37" i="44"/>
  <c r="AA38" i="44"/>
  <c r="AB81" i="44"/>
  <c r="AA83" i="44"/>
  <c r="Z33" i="44"/>
  <c r="O73" i="60"/>
  <c r="O80" i="60" s="1"/>
  <c r="P97" i="60"/>
  <c r="AA31" i="44" l="1"/>
  <c r="AC81" i="44"/>
  <c r="AC37" i="44"/>
  <c r="AB38" i="44"/>
  <c r="AB83" i="44"/>
  <c r="AA33" i="44"/>
  <c r="AB82" i="44"/>
  <c r="AA32" i="44"/>
  <c r="P73" i="60"/>
  <c r="P80" i="60" s="1"/>
  <c r="Q97" i="60"/>
  <c r="AB31" i="44" l="1"/>
  <c r="AC83" i="44"/>
  <c r="AB33" i="44"/>
  <c r="AC82" i="44"/>
  <c r="AB32" i="44"/>
  <c r="AC38" i="44"/>
  <c r="AD37" i="44"/>
  <c r="AD81" i="44"/>
  <c r="Q73" i="60"/>
  <c r="Q80" i="60" s="1"/>
  <c r="R97" i="60"/>
  <c r="AC31" i="44" l="1"/>
  <c r="AD38" i="44"/>
  <c r="AE37" i="44"/>
  <c r="AE81" i="44"/>
  <c r="AD82" i="44"/>
  <c r="AC32" i="44"/>
  <c r="AD83" i="44"/>
  <c r="AC33" i="44"/>
  <c r="R73" i="60"/>
  <c r="R80" i="60" s="1"/>
  <c r="S97" i="60"/>
  <c r="AE83" i="44" l="1"/>
  <c r="AD33" i="44"/>
  <c r="AE82" i="44"/>
  <c r="AD32" i="44"/>
  <c r="AE38" i="44"/>
  <c r="AF37" i="44"/>
  <c r="AD31" i="44"/>
  <c r="AF81" i="44"/>
  <c r="S73" i="60"/>
  <c r="S80" i="60" s="1"/>
  <c r="T97" i="60"/>
  <c r="AE31" i="44" l="1"/>
  <c r="AG81" i="44"/>
  <c r="AH81" i="44" s="1"/>
  <c r="AF38" i="44"/>
  <c r="AG37" i="44"/>
  <c r="AK45" i="60" s="1" a="1"/>
  <c r="AK45" i="60" s="1"/>
  <c r="AF82" i="44"/>
  <c r="AE32" i="44"/>
  <c r="AF83" i="44"/>
  <c r="AE33" i="44"/>
  <c r="T73" i="60"/>
  <c r="T80" i="60" s="1"/>
  <c r="U97" i="60"/>
  <c r="AI81" i="44" l="1"/>
  <c r="AG38" i="44"/>
  <c r="AH37" i="44"/>
  <c r="AL45" i="60" s="1" a="1"/>
  <c r="AL45" i="60" s="1"/>
  <c r="AF31" i="44"/>
  <c r="AG83" i="44"/>
  <c r="AH83" i="44" s="1"/>
  <c r="AF33" i="44"/>
  <c r="AG82" i="44"/>
  <c r="AH82" i="44" s="1"/>
  <c r="AF32" i="44"/>
  <c r="U73" i="60"/>
  <c r="U80" i="60" s="1"/>
  <c r="V97" i="60"/>
  <c r="AH32" i="44" l="1"/>
  <c r="AH35" i="44" s="1"/>
  <c r="AL23" i="60" s="1" a="1"/>
  <c r="AL23" i="60" s="1"/>
  <c r="AI82" i="44"/>
  <c r="AH33" i="44"/>
  <c r="AH36" i="44" s="1"/>
  <c r="AL24" i="60" s="1" a="1"/>
  <c r="AL24" i="60" s="1"/>
  <c r="AI83" i="44"/>
  <c r="AJ81" i="44"/>
  <c r="AH31" i="44"/>
  <c r="AH34" i="44" s="1"/>
  <c r="AL22" i="60" s="1" a="1"/>
  <c r="AL22" i="60" s="1"/>
  <c r="AH38" i="44"/>
  <c r="AI37" i="44"/>
  <c r="AM45" i="60" s="1" a="1"/>
  <c r="AM45" i="60" s="1"/>
  <c r="AG32" i="44"/>
  <c r="AG31" i="44"/>
  <c r="AG33" i="44"/>
  <c r="W97" i="60"/>
  <c r="V73" i="60"/>
  <c r="V80" i="60" s="1"/>
  <c r="AI33" i="44" l="1"/>
  <c r="AI36" i="44" s="1"/>
  <c r="AJ83" i="44"/>
  <c r="AI31" i="44"/>
  <c r="AI34" i="44" s="1"/>
  <c r="AK81" i="44"/>
  <c r="AI32" i="44"/>
  <c r="AI35" i="44" s="1"/>
  <c r="AJ82" i="44"/>
  <c r="AJ37" i="44"/>
  <c r="AI38" i="44"/>
  <c r="W73" i="60"/>
  <c r="W80" i="60" s="1"/>
  <c r="X97" i="60"/>
  <c r="L13" i="57" l="1" a="1"/>
  <c r="L13" i="57" s="1"/>
  <c r="AM22" i="60" a="1"/>
  <c r="AM22" i="60" s="1"/>
  <c r="L14" i="57" a="1"/>
  <c r="L14" i="57" s="1"/>
  <c r="AM23" i="60" a="1"/>
  <c r="AM23" i="60" s="1"/>
  <c r="L15" i="57" a="1"/>
  <c r="L15" i="57" s="1"/>
  <c r="AM24" i="60" a="1"/>
  <c r="AM24" i="60" s="1"/>
  <c r="AK82" i="44"/>
  <c r="AJ32" i="44"/>
  <c r="AJ35" i="44" s="1"/>
  <c r="AJ31" i="44"/>
  <c r="AJ34" i="44" s="1"/>
  <c r="AJ33" i="44"/>
  <c r="AJ36" i="44" s="1"/>
  <c r="AK83" i="44"/>
  <c r="AK37" i="44"/>
  <c r="AK38" i="44" s="1"/>
  <c r="AJ38" i="44"/>
  <c r="X73" i="60"/>
  <c r="X80" i="60" s="1"/>
  <c r="Y97" i="60"/>
  <c r="AK33" i="44" l="1"/>
  <c r="AK36" i="44" s="1"/>
  <c r="V15" i="57"/>
  <c r="AF15" i="57"/>
  <c r="V14" i="57"/>
  <c r="AF14" i="57"/>
  <c r="AF13" i="57"/>
  <c r="V13" i="57"/>
  <c r="L16" i="57"/>
  <c r="AK31" i="44"/>
  <c r="AK34" i="44" s="1"/>
  <c r="AK32" i="44"/>
  <c r="AK35" i="44" s="1"/>
  <c r="Z97" i="60"/>
  <c r="Y73" i="60"/>
  <c r="V16" i="57" l="1"/>
  <c r="AF16" i="57"/>
  <c r="U75" i="60"/>
  <c r="W75" i="60"/>
  <c r="P75" i="60"/>
  <c r="X75" i="60"/>
  <c r="Q75" i="60"/>
  <c r="R75" i="60"/>
  <c r="V75" i="60"/>
  <c r="S75" i="60"/>
  <c r="T75" i="60"/>
  <c r="V76" i="60"/>
  <c r="W76" i="60"/>
  <c r="X76" i="60"/>
  <c r="S76" i="60"/>
  <c r="U76" i="60"/>
  <c r="P76" i="60"/>
  <c r="Q76" i="60"/>
  <c r="R76" i="60"/>
  <c r="T76" i="60"/>
  <c r="Y80" i="60"/>
  <c r="Z73" i="60"/>
  <c r="Z80" i="60" s="1"/>
  <c r="AA97" i="60"/>
  <c r="AA73" i="60" l="1"/>
  <c r="AA80" i="60" s="1"/>
  <c r="AB97" i="60"/>
  <c r="AB73" i="60" l="1"/>
  <c r="AB80" i="60" s="1"/>
  <c r="AC97" i="60"/>
  <c r="AC73" i="60" l="1"/>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M97" i="60" l="1"/>
  <c r="AM73" i="60" s="1"/>
  <c r="AM80" i="60" s="1"/>
  <c r="AL73" i="60"/>
  <c r="AL80" i="60" s="1"/>
  <c r="T75" i="56" l="1"/>
  <c r="T91" i="56" s="1"/>
  <c r="R75" i="56"/>
  <c r="R91" i="56" s="1"/>
  <c r="S75" i="56"/>
  <c r="S91" i="56" s="1"/>
  <c r="D3" i="56"/>
  <c r="S12" i="56"/>
  <c r="AC12" i="56" s="1"/>
  <c r="AC4" i="56"/>
  <c r="Q75" i="56"/>
  <c r="Q91" i="56" s="1"/>
  <c r="D3" i="57"/>
  <c r="B27" i="57" s="1"/>
  <c r="B43" i="57" s="1"/>
  <c r="B44" i="57" s="1"/>
  <c r="Q12" i="56"/>
  <c r="AA12" i="56" s="1"/>
  <c r="C14" i="29" l="1"/>
  <c r="C15" i="29" s="1"/>
  <c r="AC75" i="56"/>
  <c r="AC91" i="56" s="1"/>
  <c r="AA75" i="56"/>
  <c r="AA91" i="56" s="1"/>
  <c r="Y138" i="57"/>
  <c r="Y137" i="57"/>
  <c r="Y94" i="57"/>
  <c r="Z94" i="57"/>
  <c r="Y98" i="57"/>
  <c r="Z98" i="57"/>
  <c r="Y102" i="57"/>
  <c r="Z102" i="57"/>
  <c r="AA103" i="57"/>
  <c r="W76" i="57"/>
  <c r="T76" i="57"/>
  <c r="S76" i="57"/>
  <c r="Z79" i="57"/>
  <c r="AA79" i="57"/>
  <c r="AB79" i="57"/>
  <c r="Z88" i="57"/>
  <c r="AA88" i="57"/>
  <c r="AB88" i="57" s="1"/>
  <c r="AC88" i="57" s="1"/>
  <c r="AD88" i="57" s="1"/>
  <c r="AE88" i="57" s="1"/>
  <c r="AF88" i="57" s="1"/>
  <c r="AG88" i="57" s="1"/>
  <c r="Z89" i="57"/>
  <c r="AB89" i="57"/>
  <c r="AG12" i="57"/>
  <c r="AG63" i="57" s="1"/>
  <c r="U7" i="29" l="1"/>
  <c r="AL9" i="29" s="1"/>
  <c r="AG24" i="57"/>
  <c r="AG53" i="57"/>
  <c r="AG76" i="57"/>
  <c r="AG148" i="57"/>
  <c r="AG160" i="57"/>
  <c r="AG171" i="57" s="1"/>
  <c r="AC12" i="57"/>
  <c r="P138" i="57"/>
  <c r="F185" i="57"/>
  <c r="G185" i="57"/>
  <c r="H185" i="57"/>
  <c r="E160" i="57"/>
  <c r="F160" i="57"/>
  <c r="G160" i="57"/>
  <c r="H160" i="57"/>
  <c r="I160" i="57"/>
  <c r="J160" i="57"/>
  <c r="M160" i="57"/>
  <c r="E148" i="57"/>
  <c r="F148" i="57"/>
  <c r="G148" i="57"/>
  <c r="H148" i="57"/>
  <c r="I148" i="57"/>
  <c r="J148" i="57"/>
  <c r="M148" i="57"/>
  <c r="F171" i="57"/>
  <c r="G171" i="57"/>
  <c r="H171" i="57"/>
  <c r="W160" i="57"/>
  <c r="W171" i="57" s="1"/>
  <c r="T160" i="57"/>
  <c r="T171" i="57" s="1"/>
  <c r="S160" i="57"/>
  <c r="S171" i="57" s="1"/>
  <c r="W148" i="57"/>
  <c r="T148" i="57"/>
  <c r="S148" i="57"/>
  <c r="W131" i="57"/>
  <c r="T131" i="57"/>
  <c r="S131" i="57"/>
  <c r="W72" i="57"/>
  <c r="T72" i="57"/>
  <c r="S72" i="57"/>
  <c r="S113" i="57"/>
  <c r="T113" i="57"/>
  <c r="W113" i="57"/>
  <c r="P137" i="57"/>
  <c r="Q102" i="57"/>
  <c r="R102" i="57" s="1"/>
  <c r="S102" i="57" s="1"/>
  <c r="T102" i="57" s="1"/>
  <c r="U102" i="57" s="1"/>
  <c r="V102" i="57" s="1"/>
  <c r="W102" i="57" s="1"/>
  <c r="Q98" i="57"/>
  <c r="Q94" i="57"/>
  <c r="AA94" i="57" l="1"/>
  <c r="AB94" i="57" s="1"/>
  <c r="AC94" i="57" s="1"/>
  <c r="AD94" i="57" s="1"/>
  <c r="AE94" i="57" s="1"/>
  <c r="R94" i="57"/>
  <c r="S94" i="57" s="1"/>
  <c r="T94" i="57" s="1"/>
  <c r="U94" i="57" s="1"/>
  <c r="V94" i="57" s="1"/>
  <c r="W94" i="57" s="1"/>
  <c r="AA98" i="57"/>
  <c r="AB98" i="57" s="1"/>
  <c r="AC98" i="57" s="1"/>
  <c r="AD98" i="57" s="1"/>
  <c r="AE98" i="57" s="1"/>
  <c r="R98" i="57"/>
  <c r="S98" i="57" s="1"/>
  <c r="T98" i="57" s="1"/>
  <c r="U98" i="57" s="1"/>
  <c r="V98" i="57" s="1"/>
  <c r="W98" i="57" s="1"/>
  <c r="K15" i="29"/>
  <c r="L15" i="29" s="1"/>
  <c r="M15" i="29" s="1"/>
  <c r="N15" i="29" s="1"/>
  <c r="O15" i="29" s="1"/>
  <c r="AK9" i="29"/>
  <c r="P15" i="29" s="1"/>
  <c r="K14" i="29"/>
  <c r="L14" i="29" s="1"/>
  <c r="M14" i="29" s="1"/>
  <c r="N14" i="29" s="1"/>
  <c r="O14" i="29" s="1"/>
  <c r="AJ9" i="29"/>
  <c r="Q15" i="29"/>
  <c r="Q14" i="29"/>
  <c r="Q137" i="57"/>
  <c r="Z137" i="57"/>
  <c r="Q138" i="57"/>
  <c r="Z138" i="57"/>
  <c r="Y79" i="57"/>
  <c r="Y95" i="57"/>
  <c r="Y103" i="57"/>
  <c r="Y104" i="57" s="1"/>
  <c r="AC53" i="57"/>
  <c r="AC76" i="57"/>
  <c r="AC160" i="57"/>
  <c r="AC171" i="57" s="1"/>
  <c r="AC63" i="57"/>
  <c r="AC148" i="57"/>
  <c r="AC24" i="57"/>
  <c r="Q104" i="57"/>
  <c r="AA102" i="57"/>
  <c r="AF98" i="57" l="1"/>
  <c r="AE100" i="57"/>
  <c r="AA104" i="57"/>
  <c r="AB102" i="57"/>
  <c r="AC102" i="57" s="1"/>
  <c r="AD102" i="57" s="1"/>
  <c r="AE102" i="57" s="1"/>
  <c r="AF94" i="57"/>
  <c r="AE96" i="57"/>
  <c r="P14" i="29"/>
  <c r="P103" i="57"/>
  <c r="O96" i="57"/>
  <c r="Y96" i="57" s="1"/>
  <c r="O104" i="57"/>
  <c r="P99" i="57"/>
  <c r="Y99" i="57"/>
  <c r="R138" i="57"/>
  <c r="AB138" i="57" s="1"/>
  <c r="AA138" i="57"/>
  <c r="O100" i="57"/>
  <c r="Y100" i="57" s="1"/>
  <c r="P95" i="57"/>
  <c r="P84" i="57"/>
  <c r="Y84" i="57"/>
  <c r="R137" i="57"/>
  <c r="AB137" i="57" s="1"/>
  <c r="AC137" i="57" s="1"/>
  <c r="AA137" i="57"/>
  <c r="P83" i="57"/>
  <c r="Y83" i="57"/>
  <c r="AC138" i="57" l="1"/>
  <c r="AD137" i="57"/>
  <c r="AG94" i="57"/>
  <c r="AF96" i="57"/>
  <c r="AF102" i="57"/>
  <c r="AE104" i="57"/>
  <c r="AG98" i="57"/>
  <c r="AF100" i="57"/>
  <c r="P104" i="57"/>
  <c r="Z103" i="57"/>
  <c r="Z104" i="57" s="1"/>
  <c r="Q95" i="57"/>
  <c r="Z95" i="57"/>
  <c r="P96" i="57"/>
  <c r="Z96" i="57" s="1"/>
  <c r="Q83" i="57"/>
  <c r="R83" i="57" s="1"/>
  <c r="Z83" i="57"/>
  <c r="Z99" i="57"/>
  <c r="P100" i="57"/>
  <c r="Z100" i="57" s="1"/>
  <c r="Q99" i="57"/>
  <c r="Q84" i="57"/>
  <c r="Z84" i="57"/>
  <c r="AD138" i="57" l="1"/>
  <c r="AE137" i="57"/>
  <c r="AG102" i="57"/>
  <c r="AF104" i="57"/>
  <c r="R84" i="57"/>
  <c r="AA84" i="57"/>
  <c r="R99" i="57"/>
  <c r="AA99" i="57"/>
  <c r="Q100" i="57"/>
  <c r="AA100" i="57" s="1"/>
  <c r="AA83" i="57"/>
  <c r="Q96" i="57"/>
  <c r="AA96" i="57" s="1"/>
  <c r="AA95" i="57"/>
  <c r="R95" i="57"/>
  <c r="W18" i="57"/>
  <c r="T18" i="57"/>
  <c r="S18" i="57"/>
  <c r="AD12" i="57"/>
  <c r="I53" i="57"/>
  <c r="I63" i="57" s="1"/>
  <c r="J53" i="57"/>
  <c r="J63" i="57" s="1"/>
  <c r="M53" i="57"/>
  <c r="G91" i="56"/>
  <c r="H91" i="56"/>
  <c r="I91" i="56"/>
  <c r="G75" i="56"/>
  <c r="H75" i="56"/>
  <c r="I75" i="56"/>
  <c r="F12" i="56"/>
  <c r="G12" i="56"/>
  <c r="H12" i="56"/>
  <c r="I12" i="56"/>
  <c r="J12" i="56"/>
  <c r="G3" i="56"/>
  <c r="H3" i="56"/>
  <c r="I3" i="56"/>
  <c r="F40" i="57"/>
  <c r="F47" i="57" s="1"/>
  <c r="G40" i="57"/>
  <c r="H40" i="57"/>
  <c r="H47" i="57" s="1"/>
  <c r="F34" i="57"/>
  <c r="Z34" i="57" s="1"/>
  <c r="G34" i="57"/>
  <c r="H34" i="57"/>
  <c r="AB34" i="57" s="1"/>
  <c r="F29" i="57"/>
  <c r="Z29" i="57" s="1"/>
  <c r="G29" i="57"/>
  <c r="H29" i="57"/>
  <c r="AB29" i="57" s="1"/>
  <c r="E24" i="57"/>
  <c r="O24" i="57" s="1"/>
  <c r="O29" i="57" s="1"/>
  <c r="O34" i="57" s="1"/>
  <c r="O40" i="57" s="1"/>
  <c r="O53" i="57" s="1"/>
  <c r="F24" i="57"/>
  <c r="P24" i="57" s="1"/>
  <c r="P29" i="57" s="1"/>
  <c r="P34" i="57" s="1"/>
  <c r="P40" i="57" s="1"/>
  <c r="P53" i="57" s="1"/>
  <c r="G24" i="57"/>
  <c r="H24" i="57"/>
  <c r="R24" i="57" s="1"/>
  <c r="R29" i="57" s="1"/>
  <c r="R34" i="57" s="1"/>
  <c r="R40" i="57" s="1"/>
  <c r="R53" i="57" s="1"/>
  <c r="I24" i="57"/>
  <c r="J24" i="57"/>
  <c r="M24" i="57"/>
  <c r="E12" i="57"/>
  <c r="O12" i="57" s="1"/>
  <c r="F12" i="57"/>
  <c r="G12" i="57"/>
  <c r="H12" i="57"/>
  <c r="I12" i="57"/>
  <c r="J12" i="57"/>
  <c r="M12" i="57"/>
  <c r="M11" i="57" s="1"/>
  <c r="AF137" i="57" l="1"/>
  <c r="AE138" i="57"/>
  <c r="AB47" i="57"/>
  <c r="R47" i="57"/>
  <c r="M13" i="57" a="1"/>
  <c r="M13" i="57" s="1"/>
  <c r="M14" i="57" a="1"/>
  <c r="M14" i="57" s="1"/>
  <c r="M15" i="57" a="1"/>
  <c r="M15" i="57" s="1"/>
  <c r="Z47" i="57"/>
  <c r="P47" i="57"/>
  <c r="G53" i="57"/>
  <c r="G63" i="57" s="1"/>
  <c r="G47" i="57"/>
  <c r="Y12" i="57"/>
  <c r="O76" i="57"/>
  <c r="S84" i="57"/>
  <c r="V84" i="57" s="1"/>
  <c r="AB84" i="57"/>
  <c r="S95" i="57"/>
  <c r="AB95" i="57"/>
  <c r="R96" i="57"/>
  <c r="AB96" i="57" s="1"/>
  <c r="H53" i="57"/>
  <c r="H63" i="57" s="1"/>
  <c r="AB40" i="57"/>
  <c r="F53" i="57"/>
  <c r="F63" i="57" s="1"/>
  <c r="Z40" i="57"/>
  <c r="AD63" i="57"/>
  <c r="AD76" i="57"/>
  <c r="AD53" i="57"/>
  <c r="AD160" i="57"/>
  <c r="AD171" i="57" s="1"/>
  <c r="AD24" i="57"/>
  <c r="AD148" i="57"/>
  <c r="S99" i="57"/>
  <c r="AB99" i="57"/>
  <c r="R100" i="57"/>
  <c r="AB100" i="57" s="1"/>
  <c r="R66" i="57"/>
  <c r="R63" i="57"/>
  <c r="P66" i="57"/>
  <c r="P63" i="57"/>
  <c r="O66" i="57"/>
  <c r="O63" i="57"/>
  <c r="M131" i="57"/>
  <c r="M113" i="57"/>
  <c r="J113" i="57"/>
  <c r="J131" i="57"/>
  <c r="I131" i="57"/>
  <c r="I113" i="57"/>
  <c r="H18" i="57"/>
  <c r="R18" i="57" s="1"/>
  <c r="H131" i="57"/>
  <c r="H113" i="57"/>
  <c r="M63" i="57"/>
  <c r="G11" i="57"/>
  <c r="G131" i="57"/>
  <c r="G113" i="57"/>
  <c r="R12" i="57"/>
  <c r="F18" i="57"/>
  <c r="P18" i="57" s="1"/>
  <c r="F131" i="57"/>
  <c r="F113" i="57"/>
  <c r="Q12" i="57"/>
  <c r="Q76" i="57" s="1"/>
  <c r="O113" i="57"/>
  <c r="O131" i="57"/>
  <c r="O148" i="57"/>
  <c r="O72" i="57"/>
  <c r="O160" i="57"/>
  <c r="O171" i="57" s="1"/>
  <c r="E131" i="57"/>
  <c r="E113" i="57"/>
  <c r="P12" i="57"/>
  <c r="P76" i="57" s="1"/>
  <c r="F11" i="57"/>
  <c r="H11" i="57"/>
  <c r="G18" i="57"/>
  <c r="Q18" i="57" s="1"/>
  <c r="L41" i="29"/>
  <c r="J56" i="29" s="1"/>
  <c r="AG137" i="57" l="1"/>
  <c r="AG138" i="57" s="1"/>
  <c r="AF138" i="57"/>
  <c r="W15" i="57"/>
  <c r="AG15" i="57"/>
  <c r="W14" i="57"/>
  <c r="AG14" i="57"/>
  <c r="AG13" i="57"/>
  <c r="W13" i="57"/>
  <c r="Q47" i="57"/>
  <c r="AA47" i="57"/>
  <c r="U99" i="57"/>
  <c r="U100" i="57" s="1"/>
  <c r="V99" i="57"/>
  <c r="V100" i="57" s="1"/>
  <c r="U95" i="57"/>
  <c r="U96" i="57" s="1"/>
  <c r="V95" i="57"/>
  <c r="V96" i="57" s="1"/>
  <c r="T84" i="57"/>
  <c r="W84" i="57" s="1"/>
  <c r="U84" i="57"/>
  <c r="F13" i="57" a="1"/>
  <c r="F13" i="57" s="1"/>
  <c r="F15" i="57" a="1"/>
  <c r="F15" i="57" s="1"/>
  <c r="F14" i="57" a="1"/>
  <c r="F14" i="57" s="1"/>
  <c r="G15" i="57" a="1"/>
  <c r="G15" i="57" s="1"/>
  <c r="G14" i="57" a="1"/>
  <c r="G14" i="57" s="1"/>
  <c r="G13" i="57" a="1"/>
  <c r="G13" i="57" s="1"/>
  <c r="Y160" i="57"/>
  <c r="Y171" i="57" s="1"/>
  <c r="Y24" i="57"/>
  <c r="Y63" i="57"/>
  <c r="Y148" i="57"/>
  <c r="Y76" i="57"/>
  <c r="Y53" i="57"/>
  <c r="R76" i="57"/>
  <c r="AB12" i="57"/>
  <c r="T99" i="57"/>
  <c r="S100" i="57"/>
  <c r="S96" i="57"/>
  <c r="T95" i="57"/>
  <c r="Q148" i="57"/>
  <c r="Q131" i="57"/>
  <c r="Q113" i="57"/>
  <c r="Q160" i="57"/>
  <c r="Q72" i="57"/>
  <c r="AA12" i="57"/>
  <c r="P160" i="57"/>
  <c r="P171" i="57" s="1"/>
  <c r="P148" i="57"/>
  <c r="P131" i="57"/>
  <c r="P113" i="57"/>
  <c r="P72" i="57"/>
  <c r="Z12" i="57"/>
  <c r="R131" i="57"/>
  <c r="R160" i="57"/>
  <c r="R171" i="57" s="1"/>
  <c r="R113" i="57"/>
  <c r="R148" i="57"/>
  <c r="R72" i="57"/>
  <c r="Z160" i="57" l="1"/>
  <c r="Z171" i="57" s="1"/>
  <c r="Z53" i="57"/>
  <c r="Z63" i="57"/>
  <c r="Z24" i="57"/>
  <c r="Z148" i="57"/>
  <c r="Z76" i="57"/>
  <c r="W99" i="57"/>
  <c r="W100" i="57" s="1"/>
  <c r="T100" i="57"/>
  <c r="AB53" i="57"/>
  <c r="AB148" i="57"/>
  <c r="AB76" i="57"/>
  <c r="AB63" i="57"/>
  <c r="AB24" i="57"/>
  <c r="AB160" i="57"/>
  <c r="AB171" i="57" s="1"/>
  <c r="AA53" i="57"/>
  <c r="AA63" i="57"/>
  <c r="AA148" i="57"/>
  <c r="AA76" i="57"/>
  <c r="AA24" i="57"/>
  <c r="AA160" i="57"/>
  <c r="AA171" i="57" s="1"/>
  <c r="W95" i="57"/>
  <c r="W96" i="57" s="1"/>
  <c r="T96" i="57"/>
  <c r="Q171" i="57"/>
  <c r="O3" i="29"/>
  <c r="M3" i="29"/>
  <c r="D1" i="57" l="1"/>
  <c r="B25" i="57" l="1"/>
  <c r="C13" i="45"/>
  <c r="B41" i="57" l="1"/>
  <c r="M30" i="44"/>
  <c r="N30" i="44"/>
  <c r="O30" i="44"/>
  <c r="P30" i="44"/>
  <c r="Q30" i="44"/>
  <c r="R30" i="44"/>
  <c r="S30" i="44"/>
  <c r="T30" i="44"/>
  <c r="U30" i="44"/>
  <c r="V30" i="44"/>
  <c r="W30" i="44"/>
  <c r="X30" i="44"/>
  <c r="Y30" i="44"/>
  <c r="Z30" i="44"/>
  <c r="AA30" i="44"/>
  <c r="AB30" i="44"/>
  <c r="AC30" i="44"/>
  <c r="AD30" i="44"/>
  <c r="AE30" i="44"/>
  <c r="AF30" i="44"/>
  <c r="AG30" i="44"/>
  <c r="M35" i="60"/>
  <c r="P45" i="60" a="1"/>
  <c r="P45" i="60" s="1"/>
  <c r="Q45" i="60" a="1"/>
  <c r="Q45" i="60" s="1"/>
  <c r="R45" i="60" a="1"/>
  <c r="R45" i="60" s="1"/>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V74" i="44" l="1"/>
  <c r="V72" i="44"/>
  <c r="V73" i="44"/>
  <c r="V35" i="44"/>
  <c r="Z23" i="60" s="1" a="1"/>
  <c r="Z23" i="60" s="1"/>
  <c r="Z35" i="60" s="1"/>
  <c r="V36" i="44"/>
  <c r="V34" i="44"/>
  <c r="X73" i="44"/>
  <c r="X72" i="44"/>
  <c r="X74" i="44"/>
  <c r="X34" i="44"/>
  <c r="AB22" i="60" s="1" a="1"/>
  <c r="AB22" i="60" s="1"/>
  <c r="X35" i="44"/>
  <c r="AB23" i="60" s="1" a="1"/>
  <c r="AB23" i="60" s="1"/>
  <c r="X36" i="44"/>
  <c r="AG72" i="44"/>
  <c r="AG73" i="44"/>
  <c r="AG74" i="44"/>
  <c r="AG34" i="44"/>
  <c r="AG35" i="44"/>
  <c r="AG36" i="44"/>
  <c r="U72" i="44"/>
  <c r="U73" i="44"/>
  <c r="U74" i="44"/>
  <c r="U34" i="44"/>
  <c r="U35" i="44"/>
  <c r="U36" i="44"/>
  <c r="AF72" i="44"/>
  <c r="AF73" i="44"/>
  <c r="AF74" i="44"/>
  <c r="AF34" i="44"/>
  <c r="AJ22" i="60" s="1" a="1"/>
  <c r="AJ22" i="60" s="1"/>
  <c r="AF36" i="44"/>
  <c r="AJ24" i="60" s="1" a="1"/>
  <c r="AJ24" i="60" s="1"/>
  <c r="AF35" i="44"/>
  <c r="AJ23" i="60" s="1" a="1"/>
  <c r="AJ23" i="60" s="1"/>
  <c r="T72" i="44"/>
  <c r="T74" i="44"/>
  <c r="T73" i="44"/>
  <c r="T36" i="44"/>
  <c r="X24" i="60" s="1" a="1"/>
  <c r="X24" i="60" s="1"/>
  <c r="T34" i="44"/>
  <c r="X22" i="60" s="1" a="1"/>
  <c r="X22" i="60" s="1"/>
  <c r="T35" i="44"/>
  <c r="X23" i="60" s="1" a="1"/>
  <c r="X23" i="60" s="1"/>
  <c r="X35" i="60" s="1"/>
  <c r="AE74" i="44"/>
  <c r="AE73" i="44"/>
  <c r="AE72" i="44"/>
  <c r="AE34" i="44"/>
  <c r="AE36" i="44"/>
  <c r="AE35" i="44"/>
  <c r="AI23" i="60" s="1" a="1"/>
  <c r="AI23" i="60" s="1"/>
  <c r="S73" i="44"/>
  <c r="S74" i="44"/>
  <c r="S72" i="44"/>
  <c r="S35" i="44"/>
  <c r="W23" i="60" s="1" a="1"/>
  <c r="W23" i="60" s="1"/>
  <c r="S36" i="44"/>
  <c r="W24" i="60" s="1" a="1"/>
  <c r="W24" i="60" s="1"/>
  <c r="S34" i="44"/>
  <c r="W22" i="60" s="1" a="1"/>
  <c r="W22" i="60" s="1"/>
  <c r="AD72" i="44"/>
  <c r="AD73" i="44"/>
  <c r="AD74" i="44"/>
  <c r="AD35" i="44"/>
  <c r="AH23" i="60" s="1" a="1"/>
  <c r="AH23" i="60" s="1"/>
  <c r="AD34" i="44"/>
  <c r="AH22" i="60" s="1" a="1"/>
  <c r="AH22" i="60" s="1"/>
  <c r="K22" i="60" s="1"/>
  <c r="AD36" i="44"/>
  <c r="AH24" i="60" s="1" a="1"/>
  <c r="AH24" i="60" s="1"/>
  <c r="K24" i="60" s="1"/>
  <c r="K36" i="60" s="1"/>
  <c r="R73" i="44"/>
  <c r="R72" i="44"/>
  <c r="R74" i="44"/>
  <c r="R36" i="44"/>
  <c r="V24" i="60" s="1" a="1"/>
  <c r="V24" i="60" s="1"/>
  <c r="R35" i="44"/>
  <c r="R34" i="44"/>
  <c r="V22" i="60" s="1" a="1"/>
  <c r="V22" i="60" s="1"/>
  <c r="V34" i="60" s="1"/>
  <c r="V37" i="60" s="1"/>
  <c r="AC73" i="44"/>
  <c r="AC74" i="44"/>
  <c r="AC72" i="44"/>
  <c r="AC34" i="44"/>
  <c r="AG22" i="60" s="1" a="1"/>
  <c r="AG22" i="60" s="1"/>
  <c r="J22" i="60" s="1"/>
  <c r="AC35" i="44"/>
  <c r="AC36" i="44"/>
  <c r="Q73" i="44"/>
  <c r="Q74" i="44"/>
  <c r="Q72" i="44"/>
  <c r="Q35" i="44"/>
  <c r="U23" i="60" s="1" a="1"/>
  <c r="U23" i="60" s="1"/>
  <c r="Q34" i="44"/>
  <c r="U22" i="60" s="1" a="1"/>
  <c r="U22" i="60" s="1"/>
  <c r="U34" i="60" s="1"/>
  <c r="U37" i="60" s="1"/>
  <c r="Q36" i="44"/>
  <c r="W73" i="44"/>
  <c r="W74" i="44"/>
  <c r="W72" i="44"/>
  <c r="W34" i="44"/>
  <c r="AA22" i="60" s="1" a="1"/>
  <c r="AA22" i="60" s="1"/>
  <c r="AA34" i="60" s="1"/>
  <c r="AA37" i="60" s="1"/>
  <c r="W36" i="44"/>
  <c r="W35" i="44"/>
  <c r="AA23" i="60" s="1" a="1"/>
  <c r="AA23" i="60" s="1"/>
  <c r="AA35" i="60" s="1"/>
  <c r="AB72" i="44"/>
  <c r="AB73" i="44"/>
  <c r="AB74" i="44"/>
  <c r="AB34" i="44"/>
  <c r="AF22" i="60" s="1" a="1"/>
  <c r="AF22" i="60" s="1"/>
  <c r="AB36" i="44"/>
  <c r="AB35" i="44"/>
  <c r="AF23" i="60" s="1" a="1"/>
  <c r="AF23" i="60" s="1"/>
  <c r="P72" i="44"/>
  <c r="P73" i="44"/>
  <c r="P74" i="44"/>
  <c r="P36" i="44"/>
  <c r="T24" i="60" s="1" a="1"/>
  <c r="T24" i="60" s="1"/>
  <c r="T36" i="60" s="1"/>
  <c r="P35" i="44"/>
  <c r="T23" i="60" s="1" a="1"/>
  <c r="T23" i="60" s="1"/>
  <c r="P34" i="44"/>
  <c r="T22" i="60" s="1" a="1"/>
  <c r="T22" i="60" s="1"/>
  <c r="AA72" i="44"/>
  <c r="AA74" i="44"/>
  <c r="AA73" i="44"/>
  <c r="AA34" i="44"/>
  <c r="AE22" i="60" s="1" a="1"/>
  <c r="AE22" i="60" s="1"/>
  <c r="AA35" i="44"/>
  <c r="AE23" i="60" s="1" a="1"/>
  <c r="AE23" i="60" s="1"/>
  <c r="AE35" i="60" s="1"/>
  <c r="AE38" i="60" s="1"/>
  <c r="AA36" i="44"/>
  <c r="AE24" i="60" s="1" a="1"/>
  <c r="AE24" i="60" s="1"/>
  <c r="O74" i="44"/>
  <c r="O72" i="44"/>
  <c r="O73" i="44"/>
  <c r="O35" i="44"/>
  <c r="S23" i="60" s="1" a="1"/>
  <c r="S23" i="60" s="1"/>
  <c r="O34" i="44"/>
  <c r="S22" i="60" s="1" a="1"/>
  <c r="S22" i="60" s="1"/>
  <c r="O36" i="44"/>
  <c r="S24" i="60" s="1" a="1"/>
  <c r="S24" i="60" s="1"/>
  <c r="Z72" i="44"/>
  <c r="Z74" i="44"/>
  <c r="Z73" i="44"/>
  <c r="Z34" i="44"/>
  <c r="AD22" i="60" s="1" a="1"/>
  <c r="AD22" i="60" s="1"/>
  <c r="Z36" i="44"/>
  <c r="Z35" i="44"/>
  <c r="AD23" i="60" s="1" a="1"/>
  <c r="AD23" i="60" s="1"/>
  <c r="N74" i="44"/>
  <c r="N72" i="44"/>
  <c r="N73" i="44"/>
  <c r="N34" i="44"/>
  <c r="R22" i="60" s="1" a="1"/>
  <c r="R22" i="60" s="1"/>
  <c r="N36" i="44"/>
  <c r="R24" i="60" s="1" a="1"/>
  <c r="R24" i="60" s="1"/>
  <c r="N35" i="44"/>
  <c r="R23" i="60" s="1" a="1"/>
  <c r="R23" i="60" s="1"/>
  <c r="Y72" i="44"/>
  <c r="Y73" i="44"/>
  <c r="Y74" i="44"/>
  <c r="Y34" i="44"/>
  <c r="AC22" i="60" s="1" a="1"/>
  <c r="AC22" i="60" s="1"/>
  <c r="Y35" i="44"/>
  <c r="AC23" i="60" s="1" a="1"/>
  <c r="AC23" i="60" s="1"/>
  <c r="AC35" i="60" s="1"/>
  <c r="Y36" i="44"/>
  <c r="AC24" i="60" s="1" a="1"/>
  <c r="AC24" i="60" s="1"/>
  <c r="M72" i="44"/>
  <c r="M73" i="44"/>
  <c r="M74" i="44"/>
  <c r="M34" i="44"/>
  <c r="Q22" i="60" s="1" a="1"/>
  <c r="Q22" i="60" s="1"/>
  <c r="M35" i="44"/>
  <c r="Q23" i="60" s="1" a="1"/>
  <c r="Q23" i="60" s="1"/>
  <c r="Q35" i="60" s="1"/>
  <c r="M36" i="44"/>
  <c r="F45" i="60"/>
  <c r="G45" i="60"/>
  <c r="H45" i="60"/>
  <c r="E45" i="60"/>
  <c r="E21" i="57" s="1"/>
  <c r="M38" i="60"/>
  <c r="L35" i="60"/>
  <c r="L38" i="60" s="1"/>
  <c r="L36" i="60"/>
  <c r="C11" i="45"/>
  <c r="C10" i="45"/>
  <c r="C9" i="45"/>
  <c r="C8" i="45"/>
  <c r="C7" i="45"/>
  <c r="K15" i="57" l="1" a="1"/>
  <c r="K15" i="57" s="1"/>
  <c r="AK24" i="60" a="1"/>
  <c r="AK24" i="60" s="1"/>
  <c r="K14" i="57" a="1"/>
  <c r="K14" i="57" s="1"/>
  <c r="AK23" i="60" a="1"/>
  <c r="AK23" i="60" s="1"/>
  <c r="K13" i="57" a="1"/>
  <c r="K13" i="57" s="1"/>
  <c r="AK22" i="60" a="1"/>
  <c r="AK22" i="60" s="1"/>
  <c r="H23" i="60"/>
  <c r="H35" i="60" s="1"/>
  <c r="H38" i="60" s="1"/>
  <c r="K34" i="60"/>
  <c r="K37" i="60" s="1"/>
  <c r="AH35" i="60"/>
  <c r="AH38" i="60" s="1"/>
  <c r="K23" i="60"/>
  <c r="J34" i="60"/>
  <c r="J37" i="60" s="1"/>
  <c r="AI35" i="60"/>
  <c r="AI38" i="60" s="1"/>
  <c r="AI22" i="60" a="1"/>
  <c r="AI22" i="60" s="1"/>
  <c r="H22" i="60" s="1"/>
  <c r="AG24" i="60" a="1"/>
  <c r="AG24" i="60" s="1"/>
  <c r="V23" i="60" a="1"/>
  <c r="V23" i="60" s="1"/>
  <c r="V35" i="60" s="1"/>
  <c r="V38" i="60" s="1"/>
  <c r="H15" i="57" a="1"/>
  <c r="H15" i="57" s="1"/>
  <c r="R15" i="57" s="1"/>
  <c r="P24" i="60" a="1"/>
  <c r="P24" i="60" s="1"/>
  <c r="P36" i="60" s="1"/>
  <c r="AB24" i="60" a="1"/>
  <c r="AB24" i="60" s="1"/>
  <c r="AB36" i="60" s="1"/>
  <c r="Y22" i="60" a="1"/>
  <c r="Y22" i="60" s="1"/>
  <c r="Y34" i="60" s="1"/>
  <c r="Y37" i="60" s="1"/>
  <c r="AG23" i="60" a="1"/>
  <c r="AG23" i="60" s="1"/>
  <c r="P22" i="60" a="1"/>
  <c r="P22" i="60" s="1"/>
  <c r="H13" i="57" a="1"/>
  <c r="H13" i="57" s="1"/>
  <c r="AK34" i="60"/>
  <c r="AK37" i="60" s="1"/>
  <c r="Q24" i="60" a="1"/>
  <c r="Q24" i="60" s="1"/>
  <c r="Q36" i="60" s="1"/>
  <c r="Y23" i="60" a="1"/>
  <c r="Y23" i="60" s="1"/>
  <c r="Y35" i="60" s="1"/>
  <c r="H14" i="57" a="1"/>
  <c r="H14" i="57" s="1"/>
  <c r="P23" i="60" a="1"/>
  <c r="P23" i="60" s="1"/>
  <c r="Z24" i="60" a="1"/>
  <c r="Z24" i="60" s="1"/>
  <c r="Z36" i="60" s="1"/>
  <c r="AF24" i="60" a="1"/>
  <c r="AF24" i="60" s="1"/>
  <c r="AF36" i="60" s="1"/>
  <c r="Y24" i="60" a="1"/>
  <c r="Y24" i="60" s="1"/>
  <c r="AA24" i="60" a="1"/>
  <c r="AA24" i="60" s="1"/>
  <c r="AA36" i="60" s="1"/>
  <c r="AD24" i="60" a="1"/>
  <c r="AD24" i="60" s="1"/>
  <c r="AD36" i="60" s="1"/>
  <c r="Z22" i="60" a="1"/>
  <c r="Z22" i="60" s="1"/>
  <c r="Z34" i="60" s="1"/>
  <c r="Z37" i="60" s="1"/>
  <c r="AI24" i="60" a="1"/>
  <c r="AI24" i="60" s="1"/>
  <c r="U24" i="60" a="1"/>
  <c r="U24" i="60" s="1"/>
  <c r="U36" i="60" s="1"/>
  <c r="AC34" i="60"/>
  <c r="AC37" i="60" s="1"/>
  <c r="AC25" i="60"/>
  <c r="AC19" i="60" s="1"/>
  <c r="S35" i="60"/>
  <c r="S38" i="60" s="1"/>
  <c r="N34" i="60"/>
  <c r="N37" i="60" s="1"/>
  <c r="E66" i="60"/>
  <c r="E67" i="60"/>
  <c r="E64" i="60"/>
  <c r="E69" i="60"/>
  <c r="E65" i="60"/>
  <c r="E68" i="60"/>
  <c r="E63" i="60"/>
  <c r="AC36" i="60"/>
  <c r="AA14" i="57"/>
  <c r="Q14" i="57"/>
  <c r="AA38" i="60"/>
  <c r="G68" i="60"/>
  <c r="I21" i="57"/>
  <c r="G63" i="60"/>
  <c r="G66" i="60"/>
  <c r="G67" i="60"/>
  <c r="G64" i="60"/>
  <c r="G69" i="60"/>
  <c r="G65" i="60"/>
  <c r="G50" i="60"/>
  <c r="AE36" i="60"/>
  <c r="W36" i="60"/>
  <c r="S25" i="60"/>
  <c r="S18" i="60" s="1"/>
  <c r="S34" i="60"/>
  <c r="S37" i="60" s="1"/>
  <c r="W35" i="60"/>
  <c r="W38" i="60" s="1"/>
  <c r="T34" i="60"/>
  <c r="T37" i="60" s="1"/>
  <c r="T25" i="60"/>
  <c r="T19" i="60" s="1"/>
  <c r="AE34" i="60"/>
  <c r="AE37" i="60" s="1"/>
  <c r="AE25" i="60"/>
  <c r="AE18" i="60" s="1"/>
  <c r="O35" i="60"/>
  <c r="F23" i="60"/>
  <c r="AB34" i="60"/>
  <c r="AB37" i="60" s="1"/>
  <c r="AF34" i="60"/>
  <c r="AF37" i="60" s="1"/>
  <c r="L34" i="60"/>
  <c r="L37" i="60" s="1"/>
  <c r="L25" i="60"/>
  <c r="L17" i="60" s="1"/>
  <c r="AA13" i="57"/>
  <c r="Q13" i="57"/>
  <c r="G16" i="57"/>
  <c r="T35" i="60"/>
  <c r="AF35" i="60"/>
  <c r="AG34" i="60"/>
  <c r="AG37" i="60" s="1"/>
  <c r="R34" i="60"/>
  <c r="R37" i="60" s="1"/>
  <c r="R25" i="60"/>
  <c r="R17" i="60" s="1"/>
  <c r="AJ25" i="60"/>
  <c r="AJ19" i="60" s="1"/>
  <c r="AJ34" i="60"/>
  <c r="AJ37" i="60" s="1"/>
  <c r="F22" i="60"/>
  <c r="O25" i="60"/>
  <c r="O17" i="60" s="1"/>
  <c r="O34" i="60"/>
  <c r="O37" i="60" s="1"/>
  <c r="Z13" i="57"/>
  <c r="P13" i="57"/>
  <c r="R36" i="60"/>
  <c r="G21" i="57"/>
  <c r="F21" i="57" s="1"/>
  <c r="F50" i="60"/>
  <c r="F63" i="60"/>
  <c r="F65" i="60"/>
  <c r="F67" i="60"/>
  <c r="F68" i="60"/>
  <c r="F66" i="60"/>
  <c r="F69" i="60"/>
  <c r="F64" i="60"/>
  <c r="AH25" i="60"/>
  <c r="AH18" i="60" s="1"/>
  <c r="AH34" i="60"/>
  <c r="AH37" i="60" s="1"/>
  <c r="AB35" i="60"/>
  <c r="X36" i="60"/>
  <c r="AH36" i="60"/>
  <c r="AJ35" i="60"/>
  <c r="N36" i="60"/>
  <c r="M34" i="60"/>
  <c r="M25" i="60"/>
  <c r="M18" i="60" s="1"/>
  <c r="Q38" i="60"/>
  <c r="J21" i="57"/>
  <c r="H66" i="60"/>
  <c r="H69" i="60"/>
  <c r="H65" i="60"/>
  <c r="H63" i="60"/>
  <c r="H50" i="60"/>
  <c r="H64" i="60"/>
  <c r="H67" i="60"/>
  <c r="H68" i="60"/>
  <c r="AJ36" i="60"/>
  <c r="AD35" i="60"/>
  <c r="M36" i="60"/>
  <c r="Z38" i="60"/>
  <c r="X38" i="60"/>
  <c r="V36" i="60"/>
  <c r="U35" i="60"/>
  <c r="U38" i="60" s="1"/>
  <c r="X34" i="60"/>
  <c r="X37" i="60" s="1"/>
  <c r="X25" i="60"/>
  <c r="X19" i="60" s="1"/>
  <c r="W34" i="60"/>
  <c r="W37" i="60" s="1"/>
  <c r="W25" i="60"/>
  <c r="W18" i="60" s="1"/>
  <c r="AA15" i="57"/>
  <c r="Q15" i="57"/>
  <c r="AC38" i="60"/>
  <c r="P14" i="57"/>
  <c r="Z14" i="57"/>
  <c r="Q34" i="60"/>
  <c r="AD34" i="60"/>
  <c r="AD37" i="60" s="1"/>
  <c r="R35" i="60"/>
  <c r="S36" i="60"/>
  <c r="O36" i="60"/>
  <c r="F24" i="60"/>
  <c r="I45" i="60"/>
  <c r="K21" i="57" s="1"/>
  <c r="N35" i="60"/>
  <c r="AW162" i="57"/>
  <c r="AU162" i="57"/>
  <c r="AS162" i="57"/>
  <c r="AN162" i="57"/>
  <c r="AK162" i="57"/>
  <c r="AL161" i="57"/>
  <c r="AL162" i="57" s="1"/>
  <c r="U13" i="57" l="1"/>
  <c r="K16" i="57"/>
  <c r="AE13" i="57"/>
  <c r="U14" i="57"/>
  <c r="AE14" i="57"/>
  <c r="U15" i="57"/>
  <c r="AE15" i="57"/>
  <c r="K35" i="60"/>
  <c r="K38" i="60" s="1"/>
  <c r="AG35" i="60"/>
  <c r="AG38" i="60" s="1"/>
  <c r="J23" i="60"/>
  <c r="AG36" i="60"/>
  <c r="J24" i="60"/>
  <c r="J36" i="60" s="1"/>
  <c r="K25" i="60"/>
  <c r="K31" i="60" s="1"/>
  <c r="K45" i="60"/>
  <c r="M21" i="57" s="1"/>
  <c r="J45" i="60"/>
  <c r="L21" i="57" s="1"/>
  <c r="Q25" i="60"/>
  <c r="Q17" i="60" s="1"/>
  <c r="I22" i="60"/>
  <c r="I34" i="60" s="1"/>
  <c r="I37" i="60" s="1"/>
  <c r="AA25" i="60"/>
  <c r="AA17" i="60" s="1"/>
  <c r="AD25" i="60"/>
  <c r="AD19" i="60" s="1"/>
  <c r="AK36" i="60"/>
  <c r="G22" i="60"/>
  <c r="G34" i="60" s="1"/>
  <c r="G37" i="60" s="1"/>
  <c r="AK35" i="60"/>
  <c r="AK38" i="60" s="1"/>
  <c r="AK25" i="60"/>
  <c r="AK18" i="60" s="1"/>
  <c r="V25" i="60"/>
  <c r="V19" i="60" s="1"/>
  <c r="I24" i="60"/>
  <c r="I36" i="60" s="1"/>
  <c r="AB15" i="57"/>
  <c r="Y25" i="60"/>
  <c r="Y18" i="60" s="1"/>
  <c r="AI25" i="60"/>
  <c r="AI19" i="60" s="1"/>
  <c r="AI34" i="60"/>
  <c r="AI37" i="60" s="1"/>
  <c r="Y36" i="60"/>
  <c r="G24" i="60"/>
  <c r="G36" i="60" s="1"/>
  <c r="G23" i="60"/>
  <c r="AI36" i="60"/>
  <c r="H24" i="60"/>
  <c r="H36" i="60" s="1"/>
  <c r="AF25" i="60"/>
  <c r="AF19" i="60" s="1"/>
  <c r="AB25" i="60"/>
  <c r="AB19" i="60" s="1"/>
  <c r="AG25" i="60"/>
  <c r="AG17" i="60" s="1"/>
  <c r="Z25" i="60"/>
  <c r="I23" i="60"/>
  <c r="I35" i="60" s="1"/>
  <c r="I38" i="60" s="1"/>
  <c r="U25" i="60"/>
  <c r="AI64" i="60" a="1"/>
  <c r="AI64" i="60" s="1"/>
  <c r="O67" i="60" a="1"/>
  <c r="O67" i="60" s="1"/>
  <c r="P67" i="60" s="1" a="1"/>
  <c r="P67" i="60" s="1"/>
  <c r="Q67" i="60" s="1" a="1"/>
  <c r="Q67" i="60" s="1"/>
  <c r="R67" i="60" s="1" a="1"/>
  <c r="R67" i="60" s="1"/>
  <c r="S67" i="60" s="1" a="1"/>
  <c r="S67" i="60" s="1"/>
  <c r="T67" i="60" s="1" a="1"/>
  <c r="T67" i="60" s="1"/>
  <c r="U67" i="60" s="1" a="1"/>
  <c r="U67" i="60" s="1"/>
  <c r="V67" i="60" s="1" a="1"/>
  <c r="V67" i="60" s="1"/>
  <c r="W67" i="60" s="1" a="1"/>
  <c r="W67" i="60" s="1"/>
  <c r="X67" i="60" s="1" a="1"/>
  <c r="X67" i="60" s="1"/>
  <c r="Y69" i="60" a="1"/>
  <c r="Y69" i="60" s="1"/>
  <c r="Z69" i="60" s="1"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O65" i="60" a="1"/>
  <c r="O65" i="60" s="1"/>
  <c r="P65" i="60" s="1" a="1"/>
  <c r="P65" i="60" s="1"/>
  <c r="Q65" i="60" s="1" a="1"/>
  <c r="Q65" i="60" s="1"/>
  <c r="R65" i="60" s="1" a="1"/>
  <c r="R65" i="60" s="1"/>
  <c r="S65" i="60" s="1" a="1"/>
  <c r="S65" i="60" s="1"/>
  <c r="T65" i="60" s="1" a="1"/>
  <c r="T65" i="60" s="1"/>
  <c r="U65" i="60" s="1" a="1"/>
  <c r="U65" i="60" s="1"/>
  <c r="V65" i="60" s="1" a="1"/>
  <c r="V65" i="60" s="1"/>
  <c r="W65" i="60" s="1" a="1"/>
  <c r="W65" i="60" s="1"/>
  <c r="X65" i="60" s="1" a="1"/>
  <c r="X65" i="60" s="1"/>
  <c r="Y64" i="60" a="1"/>
  <c r="Y64" i="60" s="1"/>
  <c r="Z64" i="60" s="1"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O63" i="60" a="1"/>
  <c r="O63" i="60" s="1"/>
  <c r="P63" i="60" s="1" a="1"/>
  <c r="P63" i="60" s="1"/>
  <c r="Q63" i="60" s="1" a="1"/>
  <c r="Q63" i="60" s="1"/>
  <c r="R63" i="60" s="1" a="1"/>
  <c r="R63" i="60" s="1"/>
  <c r="S63" i="60" s="1" a="1"/>
  <c r="S63" i="60" s="1"/>
  <c r="T63" i="60" s="1" a="1"/>
  <c r="T63" i="60" s="1"/>
  <c r="U63" i="60" s="1" a="1"/>
  <c r="U63" i="60" s="1"/>
  <c r="V63" i="60" s="1" a="1"/>
  <c r="V63" i="60" s="1"/>
  <c r="W63" i="60" s="1" a="1"/>
  <c r="W63" i="60" s="1"/>
  <c r="X63" i="60" s="1" a="1"/>
  <c r="X63" i="60" s="1"/>
  <c r="Y67" i="60" a="1"/>
  <c r="Y67" i="60" s="1"/>
  <c r="Z67" i="60" s="1"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AI65" i="60" a="1"/>
  <c r="AI65" i="60" s="1"/>
  <c r="Y66" i="60" a="1"/>
  <c r="Y66" i="60" s="1"/>
  <c r="Z66" i="60" s="1"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AI63" i="60" a="1"/>
  <c r="AI63" i="60" s="1"/>
  <c r="AI69" i="60" a="1"/>
  <c r="AI69" i="60" s="1"/>
  <c r="Y63" i="60" a="1"/>
  <c r="Y63" i="60" s="1"/>
  <c r="Z63" i="60" s="1"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I66" i="60" a="1"/>
  <c r="AI66" i="60" s="1"/>
  <c r="Y68" i="60" a="1"/>
  <c r="Y68" i="60" s="1"/>
  <c r="Z68" i="60" s="1"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O64" i="60" a="1"/>
  <c r="O64" i="60" s="1"/>
  <c r="P64" i="60" s="1" a="1"/>
  <c r="P64" i="60" s="1"/>
  <c r="Q64" i="60" s="1" a="1"/>
  <c r="Q64" i="60" s="1"/>
  <c r="R64" i="60" s="1" a="1"/>
  <c r="R64" i="60" s="1"/>
  <c r="S64" i="60" s="1" a="1"/>
  <c r="S64" i="60" s="1"/>
  <c r="T64" i="60" s="1" a="1"/>
  <c r="T64" i="60" s="1"/>
  <c r="U64" i="60" s="1" a="1"/>
  <c r="U64" i="60" s="1"/>
  <c r="V64" i="60" s="1" a="1"/>
  <c r="V64" i="60" s="1"/>
  <c r="W64" i="60" s="1" a="1"/>
  <c r="W64" i="60" s="1"/>
  <c r="X64" i="60" s="1" a="1"/>
  <c r="X64" i="60" s="1"/>
  <c r="O69" i="60" a="1"/>
  <c r="O69" i="60" s="1"/>
  <c r="P69" i="60" s="1" a="1"/>
  <c r="P69" i="60" s="1"/>
  <c r="Q69" i="60" s="1" a="1"/>
  <c r="Q69" i="60" s="1"/>
  <c r="R69" i="60" s="1" a="1"/>
  <c r="R69" i="60" s="1"/>
  <c r="S69" i="60" s="1" a="1"/>
  <c r="S69" i="60" s="1"/>
  <c r="T69" i="60" s="1" a="1"/>
  <c r="T69" i="60" s="1"/>
  <c r="U69" i="60" s="1" a="1"/>
  <c r="U69" i="60" s="1"/>
  <c r="V69" i="60" s="1" a="1"/>
  <c r="V69" i="60" s="1"/>
  <c r="W69" i="60" s="1" a="1"/>
  <c r="W69" i="60" s="1"/>
  <c r="X69" i="60" s="1" a="1"/>
  <c r="X69" i="60" s="1"/>
  <c r="AI68" i="60" a="1"/>
  <c r="AI68" i="60" s="1"/>
  <c r="O66" i="60" a="1"/>
  <c r="O66" i="60" s="1"/>
  <c r="P66" i="60" s="1" a="1"/>
  <c r="P66" i="60" s="1"/>
  <c r="Q66" i="60" s="1" a="1"/>
  <c r="Q66" i="60" s="1"/>
  <c r="R66" i="60" s="1" a="1"/>
  <c r="R66" i="60" s="1"/>
  <c r="S66" i="60" s="1" a="1"/>
  <c r="S66" i="60" s="1"/>
  <c r="T66" i="60" s="1" a="1"/>
  <c r="T66" i="60" s="1"/>
  <c r="U66" i="60" s="1" a="1"/>
  <c r="U66" i="60" s="1"/>
  <c r="V66" i="60" s="1" a="1"/>
  <c r="V66" i="60" s="1"/>
  <c r="W66" i="60" s="1" a="1"/>
  <c r="W66" i="60" s="1"/>
  <c r="X66" i="60" s="1" a="1"/>
  <c r="X66" i="60" s="1"/>
  <c r="AI67" i="60" a="1"/>
  <c r="AI67" i="60" s="1"/>
  <c r="O68" i="60" a="1"/>
  <c r="O68" i="60" s="1"/>
  <c r="P68" i="60" s="1" a="1"/>
  <c r="P68" i="60" s="1"/>
  <c r="Q68" i="60" s="1" a="1"/>
  <c r="Q68" i="60" s="1"/>
  <c r="R68" i="60" s="1" a="1"/>
  <c r="R68" i="60" s="1"/>
  <c r="S68" i="60" s="1" a="1"/>
  <c r="S68" i="60" s="1"/>
  <c r="T68" i="60" s="1" a="1"/>
  <c r="T68" i="60" s="1"/>
  <c r="U68" i="60" s="1" a="1"/>
  <c r="U68" i="60" s="1"/>
  <c r="V68" i="60" s="1" a="1"/>
  <c r="V68" i="60" s="1"/>
  <c r="W68" i="60" s="1" a="1"/>
  <c r="W68" i="60" s="1"/>
  <c r="X68" i="60" s="1" a="1"/>
  <c r="X68" i="60" s="1"/>
  <c r="Y65" i="60" a="1"/>
  <c r="Y65" i="60" s="1"/>
  <c r="Z65" i="60" s="1"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R18" i="60"/>
  <c r="AJ18" i="60"/>
  <c r="R19" i="60"/>
  <c r="M19" i="60"/>
  <c r="O19" i="60"/>
  <c r="AH17" i="60"/>
  <c r="S19" i="60"/>
  <c r="AH19" i="60"/>
  <c r="T18" i="60"/>
  <c r="AJ17" i="60"/>
  <c r="S17" i="60"/>
  <c r="Q37" i="60"/>
  <c r="P34" i="60"/>
  <c r="P37" i="60" s="1"/>
  <c r="P25" i="60"/>
  <c r="P18" i="60" s="1"/>
  <c r="AD38" i="60"/>
  <c r="M37" i="60"/>
  <c r="O18" i="60"/>
  <c r="W19" i="60"/>
  <c r="R38" i="60"/>
  <c r="Z15" i="57"/>
  <c r="Z16" i="57" s="1"/>
  <c r="P15" i="57"/>
  <c r="P16" i="57" s="1"/>
  <c r="O38" i="60"/>
  <c r="AE19" i="60"/>
  <c r="W17" i="60"/>
  <c r="AB38" i="60"/>
  <c r="F36" i="60"/>
  <c r="AB14" i="57"/>
  <c r="R14" i="57"/>
  <c r="AJ38" i="60"/>
  <c r="F16" i="57"/>
  <c r="N25" i="60"/>
  <c r="P35" i="60"/>
  <c r="T17" i="60"/>
  <c r="AF38" i="60"/>
  <c r="Q16" i="57"/>
  <c r="AL35" i="60"/>
  <c r="AC17" i="60"/>
  <c r="AC18" i="60"/>
  <c r="N38" i="60"/>
  <c r="AA16" i="57"/>
  <c r="I50" i="60"/>
  <c r="I65" i="60"/>
  <c r="I67" i="60"/>
  <c r="I68" i="60"/>
  <c r="I63" i="60"/>
  <c r="I64" i="60"/>
  <c r="I46" i="60"/>
  <c r="H46" i="60" s="1"/>
  <c r="I66" i="60"/>
  <c r="I69" i="60"/>
  <c r="M17" i="60"/>
  <c r="T38" i="60"/>
  <c r="AE17" i="60"/>
  <c r="AB13" i="57"/>
  <c r="R13" i="57"/>
  <c r="H16" i="57"/>
  <c r="AL36" i="60"/>
  <c r="X17" i="60"/>
  <c r="X18" i="60"/>
  <c r="H34" i="60"/>
  <c r="H37" i="60" s="1"/>
  <c r="Y38" i="60"/>
  <c r="L19" i="60"/>
  <c r="L18" i="60"/>
  <c r="F34" i="60"/>
  <c r="F37" i="60" s="1"/>
  <c r="F25" i="60"/>
  <c r="F17" i="60" s="1"/>
  <c r="F35" i="60"/>
  <c r="F38" i="60" s="1"/>
  <c r="E10" i="58"/>
  <c r="L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82" i="58"/>
  <c r="B181" i="58"/>
  <c r="B193" i="58" s="1"/>
  <c r="B180" i="58"/>
  <c r="B192" i="58" s="1"/>
  <c r="B179" i="58"/>
  <c r="B178" i="58"/>
  <c r="B177" i="58"/>
  <c r="B189" i="58" s="1"/>
  <c r="B176" i="58"/>
  <c r="B175" i="58"/>
  <c r="B174" i="58"/>
  <c r="B170" i="58"/>
  <c r="B169" i="58"/>
  <c r="B168" i="58"/>
  <c r="B167" i="58"/>
  <c r="B166" i="58"/>
  <c r="B165" i="58"/>
  <c r="B164" i="58"/>
  <c r="B163" i="58"/>
  <c r="B162" i="58"/>
  <c r="AX124" i="58"/>
  <c r="AW124" i="58"/>
  <c r="AV124" i="58"/>
  <c r="AU124" i="58"/>
  <c r="AT124" i="58"/>
  <c r="AS124" i="58"/>
  <c r="AR124" i="58"/>
  <c r="AQ124" i="58"/>
  <c r="AP124" i="58"/>
  <c r="AO124" i="58"/>
  <c r="AN124" i="58"/>
  <c r="AM124" i="58"/>
  <c r="AL124" i="58"/>
  <c r="AK124" i="58"/>
  <c r="AJ124" i="58"/>
  <c r="AI124" i="58"/>
  <c r="AH124" i="58"/>
  <c r="AG124" i="58"/>
  <c r="AF124" i="58"/>
  <c r="AE124" i="58"/>
  <c r="AD124" i="58"/>
  <c r="AC124" i="58"/>
  <c r="AB124" i="58"/>
  <c r="AA124" i="58"/>
  <c r="Z124" i="58"/>
  <c r="Y124" i="58"/>
  <c r="X124" i="58"/>
  <c r="W124" i="58"/>
  <c r="W135" i="58" s="1"/>
  <c r="V124" i="58"/>
  <c r="U124" i="58"/>
  <c r="T124" i="58"/>
  <c r="S124" i="58"/>
  <c r="R124" i="58"/>
  <c r="Q124" i="58"/>
  <c r="P124" i="58"/>
  <c r="O124" i="58"/>
  <c r="N124" i="58"/>
  <c r="M124" i="58"/>
  <c r="L124" i="58"/>
  <c r="B124" i="58"/>
  <c r="B135" i="58" s="1"/>
  <c r="B146" i="58" s="1"/>
  <c r="AX123" i="58"/>
  <c r="AX134" i="58" s="1"/>
  <c r="AW123" i="58"/>
  <c r="AV123" i="58"/>
  <c r="AV134" i="58" s="1"/>
  <c r="AU123" i="58"/>
  <c r="AT123" i="58"/>
  <c r="AS123" i="58"/>
  <c r="AR123" i="58"/>
  <c r="AQ123" i="58"/>
  <c r="AP123" i="58"/>
  <c r="AO123" i="58"/>
  <c r="AN123" i="58"/>
  <c r="AN134" i="58" s="1"/>
  <c r="AM123" i="58"/>
  <c r="AM134" i="58" s="1"/>
  <c r="AL123" i="58"/>
  <c r="AL134" i="58" s="1"/>
  <c r="AK123" i="58"/>
  <c r="AJ123" i="58"/>
  <c r="AJ134" i="58" s="1"/>
  <c r="AI123" i="58"/>
  <c r="AH123" i="58"/>
  <c r="AG123" i="58"/>
  <c r="AF123" i="58"/>
  <c r="AE123" i="58"/>
  <c r="AD123" i="58"/>
  <c r="AD134" i="58" s="1"/>
  <c r="AC123" i="58"/>
  <c r="AC134" i="58" s="1"/>
  <c r="AB123" i="58"/>
  <c r="AB134" i="58" s="1"/>
  <c r="AA123" i="58"/>
  <c r="AA134" i="58" s="1"/>
  <c r="Z123" i="58"/>
  <c r="Z134" i="58" s="1"/>
  <c r="Y123" i="58"/>
  <c r="X123" i="58"/>
  <c r="X134" i="58" s="1"/>
  <c r="W123" i="58"/>
  <c r="V123" i="58"/>
  <c r="U123" i="58"/>
  <c r="U134" i="58" s="1"/>
  <c r="T123" i="58"/>
  <c r="S123" i="58"/>
  <c r="R123" i="58"/>
  <c r="R134" i="58" s="1"/>
  <c r="Q123" i="58"/>
  <c r="Q134" i="58" s="1"/>
  <c r="P123" i="58"/>
  <c r="P134" i="58" s="1"/>
  <c r="O123" i="58"/>
  <c r="O134" i="58" s="1"/>
  <c r="N123" i="58"/>
  <c r="N134" i="58" s="1"/>
  <c r="M123" i="58"/>
  <c r="M134" i="58" s="1"/>
  <c r="L123" i="58"/>
  <c r="L134" i="58" s="1"/>
  <c r="B123" i="58"/>
  <c r="B134" i="58" s="1"/>
  <c r="B145" i="58" s="1"/>
  <c r="AX122" i="58"/>
  <c r="AW122" i="58"/>
  <c r="AV122" i="58"/>
  <c r="AU122" i="58"/>
  <c r="AT122" i="58"/>
  <c r="AS122" i="58"/>
  <c r="AR122" i="58"/>
  <c r="AQ122" i="58"/>
  <c r="AP122" i="58"/>
  <c r="AO122" i="58"/>
  <c r="AN122" i="58"/>
  <c r="AM122" i="58"/>
  <c r="AL122" i="58"/>
  <c r="AK122" i="58"/>
  <c r="AJ122" i="58"/>
  <c r="AI122" i="58"/>
  <c r="AH122" i="58"/>
  <c r="AG122" i="58"/>
  <c r="AF122" i="58"/>
  <c r="AE122" i="58"/>
  <c r="AD122" i="58"/>
  <c r="AC122" i="58"/>
  <c r="AB122" i="58"/>
  <c r="AA122" i="58"/>
  <c r="Z122" i="58"/>
  <c r="Y122" i="58"/>
  <c r="X122" i="58"/>
  <c r="W122" i="58"/>
  <c r="V122" i="58"/>
  <c r="U122" i="58"/>
  <c r="T122" i="58"/>
  <c r="S122" i="58"/>
  <c r="R122" i="58"/>
  <c r="Q122" i="58"/>
  <c r="P122" i="58"/>
  <c r="O122" i="58"/>
  <c r="N122" i="58"/>
  <c r="M122" i="58"/>
  <c r="L122" i="58"/>
  <c r="B122" i="58"/>
  <c r="B133" i="58" s="1"/>
  <c r="B144" i="58" s="1"/>
  <c r="AX121" i="58"/>
  <c r="AW121" i="58"/>
  <c r="AV121" i="58"/>
  <c r="AU121" i="58"/>
  <c r="AT121" i="58"/>
  <c r="AS121" i="58"/>
  <c r="AR121" i="58"/>
  <c r="AQ121" i="58"/>
  <c r="AP121" i="58"/>
  <c r="AO121" i="58"/>
  <c r="AN121" i="58"/>
  <c r="AM121" i="58"/>
  <c r="AL121" i="58"/>
  <c r="AK121" i="58"/>
  <c r="AJ121" i="58"/>
  <c r="AI121" i="58"/>
  <c r="AH121" i="58"/>
  <c r="AG121" i="58"/>
  <c r="AF121" i="58"/>
  <c r="AE121" i="58"/>
  <c r="AD121" i="58"/>
  <c r="AC121" i="58"/>
  <c r="AB121" i="58"/>
  <c r="AA121" i="58"/>
  <c r="Z121" i="58"/>
  <c r="Y121" i="58"/>
  <c r="X121" i="58"/>
  <c r="W121" i="58"/>
  <c r="V121" i="58"/>
  <c r="U121" i="58"/>
  <c r="T121" i="58"/>
  <c r="S121" i="58"/>
  <c r="R121" i="58"/>
  <c r="Q121" i="58"/>
  <c r="P121" i="58"/>
  <c r="O121" i="58"/>
  <c r="N121" i="58"/>
  <c r="M121" i="58"/>
  <c r="L121" i="58"/>
  <c r="B121" i="58"/>
  <c r="B132" i="58" s="1"/>
  <c r="B143" i="58" s="1"/>
  <c r="AX120" i="58"/>
  <c r="AW120" i="58"/>
  <c r="AV120" i="58"/>
  <c r="AU120" i="58"/>
  <c r="AT120" i="58"/>
  <c r="AS120" i="58"/>
  <c r="AR120" i="58"/>
  <c r="AQ120" i="58"/>
  <c r="AP120" i="58"/>
  <c r="AO120" i="58"/>
  <c r="AN120" i="58"/>
  <c r="AM120" i="58"/>
  <c r="AL120" i="58"/>
  <c r="AK120" i="58"/>
  <c r="AJ120" i="58"/>
  <c r="AI120" i="58"/>
  <c r="AH120" i="58"/>
  <c r="AG120" i="58"/>
  <c r="AF120" i="58"/>
  <c r="AE120" i="58"/>
  <c r="AD120" i="58"/>
  <c r="AC120" i="58"/>
  <c r="AB120" i="58"/>
  <c r="AA120" i="58"/>
  <c r="Z120" i="58"/>
  <c r="Y120" i="58"/>
  <c r="X120" i="58"/>
  <c r="W120" i="58"/>
  <c r="V120" i="58"/>
  <c r="U120" i="58"/>
  <c r="T120" i="58"/>
  <c r="S120" i="58"/>
  <c r="R120" i="58"/>
  <c r="Q120" i="58"/>
  <c r="P120" i="58"/>
  <c r="O120" i="58"/>
  <c r="N120" i="58"/>
  <c r="M120" i="58"/>
  <c r="L120" i="58"/>
  <c r="B120" i="58"/>
  <c r="B131" i="58" s="1"/>
  <c r="B142" i="58" s="1"/>
  <c r="AX119" i="58"/>
  <c r="AX130" i="58" s="1"/>
  <c r="AW119" i="58"/>
  <c r="AV119" i="58"/>
  <c r="AU119" i="58"/>
  <c r="AT119" i="58"/>
  <c r="AS119" i="58"/>
  <c r="AR119" i="58"/>
  <c r="AQ119" i="58"/>
  <c r="AQ130" i="58" s="1"/>
  <c r="AP119" i="58"/>
  <c r="AO119" i="58"/>
  <c r="AN119" i="58"/>
  <c r="AM119" i="58"/>
  <c r="AL119" i="58"/>
  <c r="AL130" i="58" s="1"/>
  <c r="AK119" i="58"/>
  <c r="AJ119" i="58"/>
  <c r="AI119" i="58"/>
  <c r="AH119" i="58"/>
  <c r="AG119" i="58"/>
  <c r="AF119" i="58"/>
  <c r="AE119" i="58"/>
  <c r="AE130" i="58" s="1"/>
  <c r="AD119" i="58"/>
  <c r="AC119" i="58"/>
  <c r="AB119" i="58"/>
  <c r="AA119" i="58"/>
  <c r="Z119" i="58"/>
  <c r="Z130" i="58" s="1"/>
  <c r="Y119" i="58"/>
  <c r="X119" i="58"/>
  <c r="W119" i="58"/>
  <c r="V119" i="58"/>
  <c r="U119" i="58"/>
  <c r="T119" i="58"/>
  <c r="S119" i="58"/>
  <c r="S130" i="58" s="1"/>
  <c r="R119" i="58"/>
  <c r="Q119" i="58"/>
  <c r="P119" i="58"/>
  <c r="O119" i="58"/>
  <c r="N119" i="58"/>
  <c r="N130" i="58" s="1"/>
  <c r="M119" i="58"/>
  <c r="L119" i="58"/>
  <c r="B119" i="58"/>
  <c r="B130" i="58" s="1"/>
  <c r="B141" i="58" s="1"/>
  <c r="AX118" i="58"/>
  <c r="AW118" i="58"/>
  <c r="AW129" i="58" s="1"/>
  <c r="AV118" i="58"/>
  <c r="AU118" i="58"/>
  <c r="AT118" i="58"/>
  <c r="AS118" i="58"/>
  <c r="AR118" i="58"/>
  <c r="AR129" i="58" s="1"/>
  <c r="AQ118" i="58"/>
  <c r="AP118" i="58"/>
  <c r="AP129" i="58" s="1"/>
  <c r="AO118" i="58"/>
  <c r="AN118" i="58"/>
  <c r="AM118" i="58"/>
  <c r="AL118" i="58"/>
  <c r="AK118" i="58"/>
  <c r="AJ118" i="58"/>
  <c r="AI118" i="58"/>
  <c r="AH118" i="58"/>
  <c r="AG118" i="58"/>
  <c r="AF118" i="58"/>
  <c r="AF129" i="58" s="1"/>
  <c r="AE118" i="58"/>
  <c r="AD118" i="58"/>
  <c r="AD129" i="58" s="1"/>
  <c r="AC118" i="58"/>
  <c r="AB118" i="58"/>
  <c r="AA118" i="58"/>
  <c r="Z118" i="58"/>
  <c r="Y118" i="58"/>
  <c r="Y129" i="58" s="1"/>
  <c r="X118" i="58"/>
  <c r="W118" i="58"/>
  <c r="V118" i="58"/>
  <c r="U118" i="58"/>
  <c r="T118" i="58"/>
  <c r="T129" i="58" s="1"/>
  <c r="S118" i="58"/>
  <c r="R118" i="58"/>
  <c r="R129" i="58" s="1"/>
  <c r="Q118" i="58"/>
  <c r="P118" i="58"/>
  <c r="O118" i="58"/>
  <c r="N118" i="58"/>
  <c r="M118" i="58"/>
  <c r="L118" i="58"/>
  <c r="B118" i="58"/>
  <c r="B129" i="58" s="1"/>
  <c r="B140" i="58" s="1"/>
  <c r="AX117" i="58"/>
  <c r="AX128" i="58" s="1"/>
  <c r="AW117" i="58"/>
  <c r="AW128" i="58" s="1"/>
  <c r="AV117" i="58"/>
  <c r="AV128" i="58" s="1"/>
  <c r="AU117" i="58"/>
  <c r="AU128" i="58" s="1"/>
  <c r="AT117" i="58"/>
  <c r="AT128" i="58" s="1"/>
  <c r="AS117" i="58"/>
  <c r="AS128" i="58" s="1"/>
  <c r="AR117" i="58"/>
  <c r="AR128" i="58" s="1"/>
  <c r="AQ117" i="58"/>
  <c r="AQ128" i="58" s="1"/>
  <c r="AP117" i="58"/>
  <c r="AP128" i="58" s="1"/>
  <c r="AO117" i="58"/>
  <c r="AO128" i="58" s="1"/>
  <c r="AN117" i="58"/>
  <c r="AN128" i="58" s="1"/>
  <c r="AM117" i="58"/>
  <c r="AM128" i="58" s="1"/>
  <c r="AL117" i="58"/>
  <c r="AL128" i="58" s="1"/>
  <c r="AK117" i="58"/>
  <c r="AK128" i="58" s="1"/>
  <c r="AJ117" i="58"/>
  <c r="AJ128" i="58" s="1"/>
  <c r="AI117" i="58"/>
  <c r="AI128" i="58" s="1"/>
  <c r="AH117" i="58"/>
  <c r="AH128" i="58" s="1"/>
  <c r="AG117" i="58"/>
  <c r="AG128" i="58" s="1"/>
  <c r="AF117" i="58"/>
  <c r="AF128" i="58" s="1"/>
  <c r="AE117" i="58"/>
  <c r="AE128" i="58" s="1"/>
  <c r="AD117" i="58"/>
  <c r="AD128" i="58" s="1"/>
  <c r="AC117" i="58"/>
  <c r="AC128" i="58" s="1"/>
  <c r="AB117" i="58"/>
  <c r="AB128" i="58" s="1"/>
  <c r="AA117" i="58"/>
  <c r="AA128" i="58" s="1"/>
  <c r="Z117" i="58"/>
  <c r="Z128" i="58" s="1"/>
  <c r="Y117" i="58"/>
  <c r="Y128" i="58" s="1"/>
  <c r="X117" i="58"/>
  <c r="X128" i="58" s="1"/>
  <c r="W117" i="58"/>
  <c r="W128" i="58" s="1"/>
  <c r="V117" i="58"/>
  <c r="V128" i="58" s="1"/>
  <c r="U117" i="58"/>
  <c r="U128" i="58" s="1"/>
  <c r="T117" i="58"/>
  <c r="T128" i="58" s="1"/>
  <c r="S117" i="58"/>
  <c r="S128" i="58" s="1"/>
  <c r="R117" i="58"/>
  <c r="R128" i="58" s="1"/>
  <c r="Q117" i="58"/>
  <c r="Q128" i="58" s="1"/>
  <c r="P117" i="58"/>
  <c r="P128" i="58" s="1"/>
  <c r="O117" i="58"/>
  <c r="O128" i="58" s="1"/>
  <c r="N117" i="58"/>
  <c r="N128" i="58" s="1"/>
  <c r="M117" i="58"/>
  <c r="M128" i="58" s="1"/>
  <c r="L117" i="58"/>
  <c r="L128" i="58" s="1"/>
  <c r="B117" i="58"/>
  <c r="B128" i="58" s="1"/>
  <c r="B139" i="58" s="1"/>
  <c r="AX116" i="58"/>
  <c r="AW116" i="58"/>
  <c r="AV116" i="58"/>
  <c r="AU116" i="58"/>
  <c r="AU127" i="58" s="1"/>
  <c r="AT116" i="58"/>
  <c r="AS116" i="58"/>
  <c r="AR116" i="58"/>
  <c r="AQ116" i="58"/>
  <c r="AP116" i="58"/>
  <c r="AO116" i="58"/>
  <c r="AN116" i="58"/>
  <c r="AM116" i="58"/>
  <c r="AL116" i="58"/>
  <c r="AK116" i="58"/>
  <c r="AJ116" i="58"/>
  <c r="AI116" i="58"/>
  <c r="AI127" i="58" s="1"/>
  <c r="AH116" i="58"/>
  <c r="AG116" i="58"/>
  <c r="AF116" i="58"/>
  <c r="AE116" i="58"/>
  <c r="AD116" i="58"/>
  <c r="AC116" i="58"/>
  <c r="AB116" i="58"/>
  <c r="AA116" i="58"/>
  <c r="Z116" i="58"/>
  <c r="Y116" i="58"/>
  <c r="X116" i="58"/>
  <c r="W116" i="58"/>
  <c r="W127" i="58" s="1"/>
  <c r="V116" i="58"/>
  <c r="U116" i="58"/>
  <c r="T116" i="58"/>
  <c r="S116" i="58"/>
  <c r="R116" i="58"/>
  <c r="Q116" i="58"/>
  <c r="P116" i="58"/>
  <c r="O116" i="58"/>
  <c r="N116" i="58"/>
  <c r="M116" i="58"/>
  <c r="L116" i="58"/>
  <c r="B116" i="58"/>
  <c r="B127" i="58" s="1"/>
  <c r="B138" i="58" s="1"/>
  <c r="B100" i="58"/>
  <c r="B159" i="58" s="1"/>
  <c r="B99" i="58"/>
  <c r="B158" i="58" s="1"/>
  <c r="B98" i="58"/>
  <c r="B157" i="58" s="1"/>
  <c r="B97" i="58"/>
  <c r="B156" i="58" s="1"/>
  <c r="B96" i="58"/>
  <c r="B155" i="58" s="1"/>
  <c r="B95" i="58"/>
  <c r="B154" i="58" s="1"/>
  <c r="B94" i="58"/>
  <c r="B153" i="58" s="1"/>
  <c r="B93" i="58"/>
  <c r="B152" i="58" s="1"/>
  <c r="B92" i="58"/>
  <c r="B151" i="58" s="1"/>
  <c r="F88" i="58"/>
  <c r="E88" i="58"/>
  <c r="F87" i="58"/>
  <c r="E87" i="58"/>
  <c r="C78" i="58"/>
  <c r="G77" i="58"/>
  <c r="C77" i="58"/>
  <c r="G76" i="58"/>
  <c r="C76" i="58"/>
  <c r="C75" i="58"/>
  <c r="C74" i="58"/>
  <c r="C85" i="58" s="1"/>
  <c r="C73" i="58"/>
  <c r="C72" i="58"/>
  <c r="C83" i="58" s="1"/>
  <c r="C71" i="58"/>
  <c r="C70" i="58"/>
  <c r="L67" i="58"/>
  <c r="L104" i="58" s="1"/>
  <c r="H67" i="58"/>
  <c r="G67" i="58"/>
  <c r="B46" i="58"/>
  <c r="B52" i="58" s="1"/>
  <c r="B45" i="58"/>
  <c r="B44" i="58"/>
  <c r="B50" i="58" s="1"/>
  <c r="B43" i="58"/>
  <c r="Q25" i="58"/>
  <c r="L25" i="58"/>
  <c r="C25" i="58"/>
  <c r="B25" i="58"/>
  <c r="P23" i="58"/>
  <c r="P30" i="58" s="1"/>
  <c r="P48" i="58" s="1"/>
  <c r="O23" i="58"/>
  <c r="N23" i="58"/>
  <c r="M23" i="58"/>
  <c r="M30" i="58" s="1"/>
  <c r="M48" i="58" s="1"/>
  <c r="L23" i="58"/>
  <c r="C23" i="58"/>
  <c r="C24" i="58" s="1"/>
  <c r="B23" i="58"/>
  <c r="B24" i="58" s="1"/>
  <c r="L22" i="58"/>
  <c r="B20" i="58"/>
  <c r="E14" i="58"/>
  <c r="D15" i="58" s="1"/>
  <c r="L12" i="58" s="1" a="1"/>
  <c r="L12" i="58" s="1"/>
  <c r="L11" i="58" s="1"/>
  <c r="L6" i="58"/>
  <c r="L5" i="58"/>
  <c r="M4" i="58"/>
  <c r="M3" i="58" s="1"/>
  <c r="A1" i="58"/>
  <c r="AE16" i="57" l="1"/>
  <c r="U16" i="57"/>
  <c r="V132" i="58"/>
  <c r="AH132" i="58"/>
  <c r="AH143" i="58" s="1"/>
  <c r="W132" i="58"/>
  <c r="P132" i="58"/>
  <c r="AB132" i="58"/>
  <c r="Q132" i="58"/>
  <c r="AC132" i="58"/>
  <c r="AG134" i="58"/>
  <c r="AT132" i="58"/>
  <c r="AO132" i="58"/>
  <c r="O130" i="58"/>
  <c r="AA130" i="58"/>
  <c r="AM130" i="58"/>
  <c r="P130" i="58"/>
  <c r="AB130" i="58"/>
  <c r="AN130" i="58"/>
  <c r="Q130" i="58"/>
  <c r="AC130" i="58"/>
  <c r="AC141" i="58" s="1"/>
  <c r="AO130" i="58"/>
  <c r="R130" i="58"/>
  <c r="AD130" i="58"/>
  <c r="AP130" i="58"/>
  <c r="AU135" i="58"/>
  <c r="AF130" i="58"/>
  <c r="AR130" i="58"/>
  <c r="L135" i="58"/>
  <c r="X135" i="58"/>
  <c r="X146" i="58" s="1"/>
  <c r="U130" i="58"/>
  <c r="AG130" i="58"/>
  <c r="AS130" i="58"/>
  <c r="AH130" i="58"/>
  <c r="AT130" i="58"/>
  <c r="N135" i="58"/>
  <c r="W130" i="58"/>
  <c r="AI130" i="58"/>
  <c r="AU130" i="58"/>
  <c r="L130" i="58"/>
  <c r="X130" i="58"/>
  <c r="AJ130" i="58"/>
  <c r="AV130" i="58"/>
  <c r="AN132" i="58"/>
  <c r="M130" i="58"/>
  <c r="Y130" i="58"/>
  <c r="AK130" i="58"/>
  <c r="AW130" i="58"/>
  <c r="AS134" i="58"/>
  <c r="AQ131" i="58"/>
  <c r="BO131" i="58"/>
  <c r="BG131" i="58"/>
  <c r="BD131" i="58"/>
  <c r="BP131" i="58"/>
  <c r="BH131" i="58"/>
  <c r="AY131" i="58"/>
  <c r="BK131" i="58"/>
  <c r="AZ131" i="58"/>
  <c r="BL131" i="58"/>
  <c r="BA131" i="58"/>
  <c r="BM131" i="58"/>
  <c r="BC131" i="58"/>
  <c r="BR131" i="58"/>
  <c r="BJ131" i="58"/>
  <c r="BF131" i="58"/>
  <c r="BQ131" i="58"/>
  <c r="BE131" i="58"/>
  <c r="BB131" i="58"/>
  <c r="BN131" i="58"/>
  <c r="BI131" i="58"/>
  <c r="BH132" i="58"/>
  <c r="BK132" i="58"/>
  <c r="AZ132" i="58"/>
  <c r="BL132" i="58"/>
  <c r="BC132" i="58"/>
  <c r="BO132" i="58"/>
  <c r="BD132" i="58"/>
  <c r="BP132" i="58"/>
  <c r="BE132" i="58"/>
  <c r="BQ132" i="58"/>
  <c r="BG132" i="58"/>
  <c r="AY132" i="58"/>
  <c r="BJ132" i="58"/>
  <c r="BI132" i="58"/>
  <c r="BN132" i="58"/>
  <c r="BR132" i="58"/>
  <c r="BB132" i="58"/>
  <c r="BF132" i="58"/>
  <c r="BA132" i="58"/>
  <c r="BM132" i="58"/>
  <c r="AY133" i="58"/>
  <c r="AZ133" i="58"/>
  <c r="BL133" i="58"/>
  <c r="BD133" i="58"/>
  <c r="BP133" i="58"/>
  <c r="BG133" i="58"/>
  <c r="BC133" i="58"/>
  <c r="BH133" i="58"/>
  <c r="BO133" i="58"/>
  <c r="BI133" i="58"/>
  <c r="BR133" i="58"/>
  <c r="BN133" i="58"/>
  <c r="BB133" i="58"/>
  <c r="BM133" i="58"/>
  <c r="BA133" i="58"/>
  <c r="BF133" i="58"/>
  <c r="BE133" i="58"/>
  <c r="BJ133" i="58"/>
  <c r="BQ133" i="58"/>
  <c r="BC134" i="58"/>
  <c r="BD134" i="58"/>
  <c r="BP134" i="58"/>
  <c r="BH134" i="58"/>
  <c r="BG134" i="58"/>
  <c r="BK134" i="58"/>
  <c r="AY134" i="58"/>
  <c r="AZ134" i="58"/>
  <c r="BL134" i="58"/>
  <c r="BA134" i="58"/>
  <c r="BM134" i="58"/>
  <c r="BO134" i="58"/>
  <c r="BF134" i="58"/>
  <c r="BQ134" i="58"/>
  <c r="BE134" i="58"/>
  <c r="BN134" i="58"/>
  <c r="BB134" i="58"/>
  <c r="BJ134" i="58"/>
  <c r="BI134" i="58"/>
  <c r="BR134" i="58"/>
  <c r="BG135" i="58"/>
  <c r="BH135" i="58"/>
  <c r="AY135" i="58"/>
  <c r="BK135" i="58"/>
  <c r="AZ135" i="58"/>
  <c r="BL135" i="58"/>
  <c r="BC135" i="58"/>
  <c r="BO135" i="58"/>
  <c r="BD135" i="58"/>
  <c r="BP135" i="58"/>
  <c r="BE135" i="58"/>
  <c r="BQ135" i="58"/>
  <c r="BI135" i="58"/>
  <c r="BR135" i="58"/>
  <c r="BM135" i="58"/>
  <c r="BF135" i="58"/>
  <c r="BN135" i="58"/>
  <c r="BJ135" i="58"/>
  <c r="BB135" i="58"/>
  <c r="BA135" i="58"/>
  <c r="AO134" i="58"/>
  <c r="AP134" i="58"/>
  <c r="BI127" i="58"/>
  <c r="BJ127" i="58"/>
  <c r="BM127" i="58"/>
  <c r="AY127" i="58"/>
  <c r="BK127" i="58"/>
  <c r="BA127" i="58"/>
  <c r="AZ127" i="58"/>
  <c r="BL127" i="58"/>
  <c r="BB127" i="58"/>
  <c r="BN127" i="58"/>
  <c r="BC127" i="58"/>
  <c r="BO127" i="58"/>
  <c r="BE127" i="58"/>
  <c r="BF127" i="58"/>
  <c r="BD127" i="58"/>
  <c r="BP127" i="58"/>
  <c r="BQ127" i="58"/>
  <c r="BR127" i="58"/>
  <c r="BG127" i="58"/>
  <c r="BH127" i="58"/>
  <c r="BA128" i="58"/>
  <c r="BM128" i="58"/>
  <c r="BN128" i="58"/>
  <c r="BQ128" i="58"/>
  <c r="BC128" i="58"/>
  <c r="BO128" i="58"/>
  <c r="BD128" i="58"/>
  <c r="BP128" i="58"/>
  <c r="BE128" i="58"/>
  <c r="BF128" i="58"/>
  <c r="BR128" i="58"/>
  <c r="BG128" i="58"/>
  <c r="BI128" i="58"/>
  <c r="BH128" i="58"/>
  <c r="BJ128" i="58"/>
  <c r="AY128" i="58"/>
  <c r="BK128" i="58"/>
  <c r="AZ128" i="58"/>
  <c r="BL128" i="58"/>
  <c r="BB128" i="58"/>
  <c r="BE129" i="58"/>
  <c r="BQ129" i="58"/>
  <c r="BF129" i="58"/>
  <c r="BG129" i="58"/>
  <c r="BH129" i="58"/>
  <c r="BI129" i="58"/>
  <c r="BJ129" i="58"/>
  <c r="AY129" i="58"/>
  <c r="BK129" i="58"/>
  <c r="BM129" i="58"/>
  <c r="BB129" i="58"/>
  <c r="AZ129" i="58"/>
  <c r="BL129" i="58"/>
  <c r="BA129" i="58"/>
  <c r="BN129" i="58"/>
  <c r="BC129" i="58"/>
  <c r="BO129" i="58"/>
  <c r="BD129" i="58"/>
  <c r="BP129" i="58"/>
  <c r="BR129" i="58"/>
  <c r="R132" i="58"/>
  <c r="AD132" i="58"/>
  <c r="BK130" i="58"/>
  <c r="AY130" i="58"/>
  <c r="BL130" i="58"/>
  <c r="AZ130" i="58"/>
  <c r="BA130" i="58"/>
  <c r="BC130" i="58"/>
  <c r="BP130" i="58"/>
  <c r="BF130" i="58"/>
  <c r="BD130" i="58"/>
  <c r="BE130" i="58"/>
  <c r="BO130" i="58"/>
  <c r="BG130" i="58"/>
  <c r="BH130" i="58"/>
  <c r="BR130" i="58"/>
  <c r="BQ130" i="58"/>
  <c r="BN130" i="58"/>
  <c r="BJ130" i="58"/>
  <c r="BB130" i="58"/>
  <c r="BM130" i="58"/>
  <c r="BI130" i="58"/>
  <c r="J68" i="60"/>
  <c r="AL68" i="60" s="1" a="1"/>
  <c r="AL68" i="60" s="1"/>
  <c r="J63" i="60"/>
  <c r="AL63" i="60" s="1" a="1"/>
  <c r="AL63" i="60" s="1"/>
  <c r="J69" i="60"/>
  <c r="AL69" i="60" s="1" a="1"/>
  <c r="AL69" i="60" s="1"/>
  <c r="J64" i="60"/>
  <c r="AL64" i="60" s="1" a="1"/>
  <c r="AL64" i="60" s="1"/>
  <c r="J67" i="60"/>
  <c r="AL67" i="60" s="1" a="1"/>
  <c r="AL67" i="60" s="1"/>
  <c r="J65" i="60"/>
  <c r="AL65" i="60" s="1" a="1"/>
  <c r="AL65" i="60" s="1"/>
  <c r="J66" i="60"/>
  <c r="AL66" i="60" s="1" a="1"/>
  <c r="AL66" i="60" s="1"/>
  <c r="K67" i="60"/>
  <c r="AM67" i="60" s="1" a="1"/>
  <c r="AM67" i="60" s="1"/>
  <c r="K66" i="60"/>
  <c r="AM66" i="60" s="1" a="1"/>
  <c r="AM66" i="60" s="1"/>
  <c r="K68" i="60"/>
  <c r="AM68" i="60" s="1" a="1"/>
  <c r="AM68" i="60" s="1"/>
  <c r="K63" i="60"/>
  <c r="AM63" i="60" s="1" a="1"/>
  <c r="AM63" i="60" s="1"/>
  <c r="K69" i="60"/>
  <c r="AM69" i="60" s="1" a="1"/>
  <c r="AM69" i="60" s="1"/>
  <c r="K64" i="60"/>
  <c r="AM64" i="60" s="1" a="1"/>
  <c r="AM64" i="60" s="1"/>
  <c r="K65" i="60"/>
  <c r="AM65" i="60" s="1" a="1"/>
  <c r="AM65" i="60" s="1"/>
  <c r="J35" i="60"/>
  <c r="J38" i="60" s="1"/>
  <c r="J25" i="60"/>
  <c r="J31" i="60" s="1"/>
  <c r="V131" i="58"/>
  <c r="V142" i="58" s="1"/>
  <c r="AH131" i="58"/>
  <c r="AT131" i="58"/>
  <c r="AT142" i="58" s="1"/>
  <c r="T130" i="58"/>
  <c r="X131" i="58"/>
  <c r="AJ131" i="58"/>
  <c r="AV131" i="58"/>
  <c r="T135" i="58"/>
  <c r="AF135" i="58"/>
  <c r="Y131" i="58"/>
  <c r="Y142" i="58" s="1"/>
  <c r="M6" i="58"/>
  <c r="N131" i="58"/>
  <c r="N142" i="58" s="1"/>
  <c r="Z131" i="58"/>
  <c r="AL131" i="58"/>
  <c r="AX131" i="58"/>
  <c r="V135" i="58"/>
  <c r="AH135" i="58"/>
  <c r="AT135" i="58"/>
  <c r="AQ134" i="58"/>
  <c r="O131" i="58"/>
  <c r="AA131" i="58"/>
  <c r="AM131" i="58"/>
  <c r="M12" i="58" a="1"/>
  <c r="M12" i="58" s="1"/>
  <c r="M11" i="58" s="1"/>
  <c r="P131" i="58"/>
  <c r="AB131" i="58"/>
  <c r="AN131" i="58"/>
  <c r="AJ135" i="58"/>
  <c r="AV135" i="58"/>
  <c r="Q131" i="58"/>
  <c r="AC131" i="58"/>
  <c r="AO131" i="58"/>
  <c r="M135" i="58"/>
  <c r="R131" i="58"/>
  <c r="AD131" i="58"/>
  <c r="AP131" i="58"/>
  <c r="AP142" i="58" s="1"/>
  <c r="Z135" i="58"/>
  <c r="Z146" i="58" s="1"/>
  <c r="AL135" i="58"/>
  <c r="AL146" i="58" s="1"/>
  <c r="AX135" i="58"/>
  <c r="S131" i="58"/>
  <c r="S142" i="58" s="1"/>
  <c r="AE131" i="58"/>
  <c r="AS127" i="58"/>
  <c r="AW131" i="58"/>
  <c r="AW142" i="58" s="1"/>
  <c r="T131" i="58"/>
  <c r="AF131" i="58"/>
  <c r="AR131" i="58"/>
  <c r="U131" i="58"/>
  <c r="AG131" i="58"/>
  <c r="AS131" i="58"/>
  <c r="Q135" i="58"/>
  <c r="AC135" i="58"/>
  <c r="AC146" i="58" s="1"/>
  <c r="AO135" i="58"/>
  <c r="Y134" i="58"/>
  <c r="AK134" i="58"/>
  <c r="AW134" i="58"/>
  <c r="AH134" i="58"/>
  <c r="S134" i="58"/>
  <c r="AE134" i="58"/>
  <c r="T134" i="58"/>
  <c r="AF134" i="58"/>
  <c r="AR134" i="58"/>
  <c r="P135" i="58"/>
  <c r="AB135" i="58"/>
  <c r="AN135" i="58"/>
  <c r="V134" i="58"/>
  <c r="AT134" i="58"/>
  <c r="R135" i="58"/>
  <c r="AD135" i="58"/>
  <c r="AP135" i="58"/>
  <c r="AE129" i="58"/>
  <c r="W131" i="58"/>
  <c r="AI131" i="58"/>
  <c r="AI142" i="58" s="1"/>
  <c r="AU131" i="58"/>
  <c r="W134" i="58"/>
  <c r="AI134" i="58"/>
  <c r="AU134" i="58"/>
  <c r="S135" i="58"/>
  <c r="AE135" i="58"/>
  <c r="AQ135" i="58"/>
  <c r="V130" i="58"/>
  <c r="AR135" i="58"/>
  <c r="V127" i="58"/>
  <c r="AH127" i="58"/>
  <c r="AT127" i="58"/>
  <c r="AT138" i="58" s="1"/>
  <c r="L127" i="58"/>
  <c r="X127" i="58"/>
  <c r="AJ127" i="58"/>
  <c r="AV127" i="58"/>
  <c r="X133" i="58"/>
  <c r="P127" i="58"/>
  <c r="AK127" i="58"/>
  <c r="M133" i="58"/>
  <c r="Y133" i="58"/>
  <c r="AK133" i="58"/>
  <c r="AW133" i="58"/>
  <c r="S127" i="58"/>
  <c r="Z127" i="58"/>
  <c r="N133" i="58"/>
  <c r="Z133" i="58"/>
  <c r="AL133" i="58"/>
  <c r="AX133" i="58"/>
  <c r="N127" i="58"/>
  <c r="O127" i="58"/>
  <c r="AA127" i="58"/>
  <c r="AM127" i="58"/>
  <c r="O133" i="58"/>
  <c r="AA133" i="58"/>
  <c r="M127" i="58"/>
  <c r="AB127" i="58"/>
  <c r="AN127" i="58"/>
  <c r="AW127" i="58"/>
  <c r="Q127" i="58"/>
  <c r="AC127" i="58"/>
  <c r="AO127" i="58"/>
  <c r="AL127" i="58"/>
  <c r="R127" i="58"/>
  <c r="AD127" i="58"/>
  <c r="AP127" i="58"/>
  <c r="AX127" i="58"/>
  <c r="AE127" i="58"/>
  <c r="AE138" i="58" s="1"/>
  <c r="AQ127" i="58"/>
  <c r="S133" i="58"/>
  <c r="Y127" i="58"/>
  <c r="T127" i="58"/>
  <c r="AF127" i="58"/>
  <c r="AR127" i="58"/>
  <c r="U127" i="58"/>
  <c r="AG127" i="58"/>
  <c r="U133" i="58"/>
  <c r="AG133" i="58"/>
  <c r="U132" i="58"/>
  <c r="AG132" i="58"/>
  <c r="AS132" i="58"/>
  <c r="U135" i="58"/>
  <c r="AG135" i="58"/>
  <c r="AS135" i="58"/>
  <c r="U145" i="58"/>
  <c r="AI132" i="58"/>
  <c r="AU132" i="58"/>
  <c r="L132" i="58"/>
  <c r="X132" i="58"/>
  <c r="AJ132" i="58"/>
  <c r="AV132" i="58"/>
  <c r="M132" i="58"/>
  <c r="Y132" i="58"/>
  <c r="AK132" i="58"/>
  <c r="AW132" i="58"/>
  <c r="Y135" i="58"/>
  <c r="AK135" i="58"/>
  <c r="AW135" i="58"/>
  <c r="L131" i="58"/>
  <c r="L142" i="58" s="1"/>
  <c r="AI135" i="58"/>
  <c r="N132" i="58"/>
  <c r="AL132" i="58"/>
  <c r="AX132" i="58"/>
  <c r="M131" i="58"/>
  <c r="M142" i="58" s="1"/>
  <c r="AM135" i="58"/>
  <c r="O132" i="58"/>
  <c r="AM132" i="58"/>
  <c r="O135" i="58"/>
  <c r="AA135" i="58"/>
  <c r="AU138" i="58"/>
  <c r="AK131" i="58"/>
  <c r="AP132" i="58"/>
  <c r="Z132" i="58"/>
  <c r="S132" i="58"/>
  <c r="AE132" i="58"/>
  <c r="AQ132" i="58"/>
  <c r="AF139" i="58"/>
  <c r="AA132" i="58"/>
  <c r="T132" i="58"/>
  <c r="AF132" i="58"/>
  <c r="AR132" i="58"/>
  <c r="AF140" i="58"/>
  <c r="AM133" i="58"/>
  <c r="C94" i="58"/>
  <c r="C153" i="58" s="1"/>
  <c r="AQ129" i="58"/>
  <c r="M129" i="58"/>
  <c r="L133" i="58"/>
  <c r="C110" i="58"/>
  <c r="C121" i="58" s="1"/>
  <c r="C132" i="58" s="1"/>
  <c r="C143" i="58" s="1"/>
  <c r="C167" i="58" s="1"/>
  <c r="C179" i="58" s="1"/>
  <c r="C191" i="58" s="1"/>
  <c r="C202" i="58" s="1"/>
  <c r="C213" i="58" s="1"/>
  <c r="C225" i="58" s="1"/>
  <c r="Q129" i="58"/>
  <c r="AC129" i="58"/>
  <c r="AO129" i="58"/>
  <c r="AJ133" i="58"/>
  <c r="S129" i="58"/>
  <c r="AV133" i="58"/>
  <c r="U129" i="58"/>
  <c r="AG129" i="58"/>
  <c r="AG140" i="58" s="1"/>
  <c r="AS129" i="58"/>
  <c r="P133" i="58"/>
  <c r="AB133" i="58"/>
  <c r="AN133" i="58"/>
  <c r="V129" i="58"/>
  <c r="AH129" i="58"/>
  <c r="AT129" i="58"/>
  <c r="Q133" i="58"/>
  <c r="AC133" i="58"/>
  <c r="AO133" i="58"/>
  <c r="W129" i="58"/>
  <c r="AI129" i="58"/>
  <c r="AU129" i="58"/>
  <c r="R133" i="58"/>
  <c r="AD133" i="58"/>
  <c r="AP133" i="58"/>
  <c r="C81" i="58"/>
  <c r="C96" i="58"/>
  <c r="C155" i="58" s="1"/>
  <c r="L129" i="58"/>
  <c r="X129" i="58"/>
  <c r="AJ129" i="58"/>
  <c r="AV129" i="58"/>
  <c r="AE133" i="58"/>
  <c r="AQ133" i="58"/>
  <c r="AS133" i="58"/>
  <c r="AK129" i="58"/>
  <c r="T133" i="58"/>
  <c r="AF133" i="58"/>
  <c r="AR133" i="58"/>
  <c r="C107" i="58"/>
  <c r="C118" i="58" s="1"/>
  <c r="C129" i="58" s="1"/>
  <c r="C140" i="58" s="1"/>
  <c r="C164" i="58" s="1"/>
  <c r="C176" i="58" s="1"/>
  <c r="C188" i="58" s="1"/>
  <c r="C199" i="58" s="1"/>
  <c r="C210" i="58" s="1"/>
  <c r="C222" i="58" s="1"/>
  <c r="C105" i="58"/>
  <c r="C116" i="58" s="1"/>
  <c r="C127" i="58" s="1"/>
  <c r="C138" i="58" s="1"/>
  <c r="C162" i="58" s="1"/>
  <c r="C174" i="58" s="1"/>
  <c r="C186" i="58" s="1"/>
  <c r="C197" i="58" s="1"/>
  <c r="C208" i="58" s="1"/>
  <c r="C220" i="58" s="1"/>
  <c r="N129" i="58"/>
  <c r="N140" i="58" s="1"/>
  <c r="Z129" i="58"/>
  <c r="AL129" i="58"/>
  <c r="AX129" i="58"/>
  <c r="AX140" i="58" s="1"/>
  <c r="O129" i="58"/>
  <c r="AA129" i="58"/>
  <c r="AM129" i="58"/>
  <c r="V133" i="58"/>
  <c r="AH133" i="58"/>
  <c r="AT133" i="58"/>
  <c r="C109" i="58"/>
  <c r="C120" i="58" s="1"/>
  <c r="C131" i="58" s="1"/>
  <c r="C142" i="58" s="1"/>
  <c r="C166" i="58" s="1"/>
  <c r="C237" i="58" s="1"/>
  <c r="P129" i="58"/>
  <c r="AB129" i="58"/>
  <c r="AN129" i="58"/>
  <c r="W133" i="58"/>
  <c r="AI133" i="58"/>
  <c r="AU133" i="58"/>
  <c r="Q19" i="60"/>
  <c r="AL34" i="60"/>
  <c r="AL37" i="60" s="1"/>
  <c r="AL25" i="60"/>
  <c r="AL17" i="60" s="1"/>
  <c r="AD17" i="60"/>
  <c r="AD18" i="60"/>
  <c r="AK19" i="60"/>
  <c r="V18" i="60"/>
  <c r="Q18" i="60"/>
  <c r="AK17" i="60"/>
  <c r="AA19" i="60"/>
  <c r="V17" i="60"/>
  <c r="AA18" i="60"/>
  <c r="Y17" i="60"/>
  <c r="Y19" i="60"/>
  <c r="AG19" i="60"/>
  <c r="AG18" i="60"/>
  <c r="M10" i="58" a="1"/>
  <c r="M10" i="58" s="1"/>
  <c r="L10" i="58" a="1"/>
  <c r="L10" i="58" s="1"/>
  <c r="G25" i="60"/>
  <c r="G31" i="60" s="1"/>
  <c r="G35" i="60"/>
  <c r="G38" i="60" s="1"/>
  <c r="AI18" i="60"/>
  <c r="AI17" i="60"/>
  <c r="H25" i="60"/>
  <c r="H31" i="60" s="1"/>
  <c r="AF17" i="60"/>
  <c r="AF18" i="60"/>
  <c r="AB18" i="60"/>
  <c r="AB17" i="60"/>
  <c r="I25" i="60"/>
  <c r="I31" i="60" s="1"/>
  <c r="U17" i="60"/>
  <c r="U18" i="60"/>
  <c r="Z17" i="60"/>
  <c r="Z19" i="60"/>
  <c r="Z18" i="60"/>
  <c r="U19" i="60"/>
  <c r="AJ69" i="60" a="1"/>
  <c r="AJ69" i="60" s="1"/>
  <c r="AK69" i="60" a="1"/>
  <c r="AK69" i="60" s="1"/>
  <c r="AJ66" i="60" a="1"/>
  <c r="AJ66" i="60" s="1"/>
  <c r="AK66" i="60" a="1"/>
  <c r="AK66" i="60" s="1"/>
  <c r="AJ64" i="60" a="1"/>
  <c r="AJ64" i="60" s="1"/>
  <c r="AK64" i="60" a="1"/>
  <c r="AK64" i="60" s="1"/>
  <c r="AJ63" i="60" a="1"/>
  <c r="AJ63" i="60" s="1"/>
  <c r="AK63" i="60" a="1"/>
  <c r="AK63" i="60" s="1"/>
  <c r="AJ68" i="60" a="1"/>
  <c r="AJ68" i="60" s="1"/>
  <c r="AK68" i="60" a="1"/>
  <c r="AK68" i="60" s="1"/>
  <c r="AJ67" i="60" a="1"/>
  <c r="AJ67" i="60" s="1"/>
  <c r="AK67" i="60" a="1"/>
  <c r="AK67" i="60" s="1"/>
  <c r="AJ65" i="60" a="1"/>
  <c r="AJ65" i="60" s="1"/>
  <c r="AK65" i="60" a="1"/>
  <c r="AK65" i="60" s="1"/>
  <c r="R16" i="57"/>
  <c r="H77" i="58"/>
  <c r="I77" i="58" s="1"/>
  <c r="J77" i="58" s="1"/>
  <c r="K77" i="58" s="1"/>
  <c r="H76" i="58"/>
  <c r="I76" i="58" s="1"/>
  <c r="J76" i="58" s="1"/>
  <c r="K76" i="58" s="1"/>
  <c r="AB16" i="57"/>
  <c r="AL38" i="60"/>
  <c r="F19" i="60"/>
  <c r="AM35" i="60"/>
  <c r="AM38" i="60" s="1"/>
  <c r="AM36" i="60"/>
  <c r="P17" i="60"/>
  <c r="P19" i="60"/>
  <c r="P38" i="60"/>
  <c r="AM25" i="60"/>
  <c r="AM18" i="60" s="1"/>
  <c r="AM34" i="60"/>
  <c r="AM37" i="60" s="1"/>
  <c r="F18" i="60"/>
  <c r="F31" i="60"/>
  <c r="N19" i="60"/>
  <c r="N18" i="60"/>
  <c r="N17" i="60"/>
  <c r="M7" i="58"/>
  <c r="L7" i="58"/>
  <c r="L8" i="58" s="1"/>
  <c r="B51" i="58"/>
  <c r="C112" i="58"/>
  <c r="C123" i="58" s="1"/>
  <c r="C134" i="58" s="1"/>
  <c r="C145" i="58" s="1"/>
  <c r="C169" i="58" s="1"/>
  <c r="C88" i="58"/>
  <c r="P31" i="58"/>
  <c r="P34" i="58" s="1"/>
  <c r="P35" i="58" s="1"/>
  <c r="I91" i="58"/>
  <c r="H91" i="58"/>
  <c r="G88" i="58"/>
  <c r="H88" i="58" s="1"/>
  <c r="C111" i="58"/>
  <c r="C122" i="58" s="1"/>
  <c r="C133" i="58" s="1"/>
  <c r="C144" i="58" s="1"/>
  <c r="C168" i="58" s="1"/>
  <c r="C87" i="58"/>
  <c r="B49" i="58"/>
  <c r="I49" i="58"/>
  <c r="N30" i="58"/>
  <c r="N48" i="58" s="1"/>
  <c r="M67" i="58"/>
  <c r="M104" i="58" s="1"/>
  <c r="O30" i="58"/>
  <c r="M31" i="58"/>
  <c r="M34" i="58" s="1"/>
  <c r="M35" i="58" s="1"/>
  <c r="N4" i="58"/>
  <c r="N3" i="58" s="1"/>
  <c r="N10" i="58" s="1" a="1"/>
  <c r="N10" i="58" s="1"/>
  <c r="M22" i="58"/>
  <c r="G87" i="58"/>
  <c r="H87" i="58" s="1"/>
  <c r="I52" i="58"/>
  <c r="M5" i="58"/>
  <c r="C106" i="58"/>
  <c r="C117" i="58" s="1"/>
  <c r="C128" i="58" s="1"/>
  <c r="C139" i="58" s="1"/>
  <c r="C163" i="58" s="1"/>
  <c r="C82" i="58"/>
  <c r="L30" i="58"/>
  <c r="C86" i="58"/>
  <c r="C113" i="58"/>
  <c r="C124" i="58" s="1"/>
  <c r="C135" i="58" s="1"/>
  <c r="C146" i="58" s="1"/>
  <c r="C170" i="58" s="1"/>
  <c r="C89" i="58"/>
  <c r="D248" i="58"/>
  <c r="B233" i="58"/>
  <c r="D258" i="58"/>
  <c r="B186" i="58"/>
  <c r="C84" i="58"/>
  <c r="C108" i="58"/>
  <c r="C119" i="58" s="1"/>
  <c r="C130" i="58" s="1"/>
  <c r="C141" i="58" s="1"/>
  <c r="C165" i="58" s="1"/>
  <c r="D252" i="58"/>
  <c r="B237" i="58"/>
  <c r="D263" i="58"/>
  <c r="B191"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S140" i="58" l="1"/>
  <c r="X142" i="58"/>
  <c r="R145" i="58"/>
  <c r="M145" i="58"/>
  <c r="AN145" i="58"/>
  <c r="AB145" i="58"/>
  <c r="P145" i="58"/>
  <c r="AE145" i="58"/>
  <c r="P138" i="58"/>
  <c r="Z140" i="58"/>
  <c r="W145" i="58"/>
  <c r="AR139" i="58"/>
  <c r="BR141" i="58"/>
  <c r="AY141" i="58"/>
  <c r="AV146" i="58"/>
  <c r="BH141" i="58"/>
  <c r="BK141" i="58"/>
  <c r="BG141" i="58"/>
  <c r="BO141" i="58"/>
  <c r="L140" i="58"/>
  <c r="AH145" i="58"/>
  <c r="C233" i="58"/>
  <c r="C235" i="58"/>
  <c r="P146" i="58"/>
  <c r="AK142" i="58"/>
  <c r="AV138" i="58"/>
  <c r="O140" i="58"/>
  <c r="AI138" i="58"/>
  <c r="AR146" i="58"/>
  <c r="R140" i="58"/>
  <c r="AL140" i="58"/>
  <c r="BQ141" i="58"/>
  <c r="BL141" i="58"/>
  <c r="AE144" i="58"/>
  <c r="AR142" i="58"/>
  <c r="Q142" i="58"/>
  <c r="BL140" i="58"/>
  <c r="BE140" i="58"/>
  <c r="BE139" i="58"/>
  <c r="BQ138" i="58"/>
  <c r="BK138" i="58"/>
  <c r="BM146" i="58"/>
  <c r="AY146" i="58"/>
  <c r="BM145" i="58"/>
  <c r="BJ144" i="58"/>
  <c r="BC144" i="58"/>
  <c r="BN143" i="58"/>
  <c r="AZ143" i="58"/>
  <c r="BM142" i="58"/>
  <c r="AZ140" i="58"/>
  <c r="BB139" i="58"/>
  <c r="BP139" i="58"/>
  <c r="BP138" i="58"/>
  <c r="AY138" i="58"/>
  <c r="BR146" i="58"/>
  <c r="BH146" i="58"/>
  <c r="BA145" i="58"/>
  <c r="BE144" i="58"/>
  <c r="BG144" i="58"/>
  <c r="BI143" i="58"/>
  <c r="BK143" i="58"/>
  <c r="BA142" i="58"/>
  <c r="BB140" i="58"/>
  <c r="BL139" i="58"/>
  <c r="BD139" i="58"/>
  <c r="BD138" i="58"/>
  <c r="BM138" i="58"/>
  <c r="BI146" i="58"/>
  <c r="BG146" i="58"/>
  <c r="BL145" i="58"/>
  <c r="BF144" i="58"/>
  <c r="BP144" i="58"/>
  <c r="BJ143" i="58"/>
  <c r="BH143" i="58"/>
  <c r="BL142" i="58"/>
  <c r="AA146" i="58"/>
  <c r="AI146" i="58"/>
  <c r="BM140" i="58"/>
  <c r="AZ139" i="58"/>
  <c r="BO139" i="58"/>
  <c r="BF138" i="58"/>
  <c r="BJ138" i="58"/>
  <c r="BQ146" i="58"/>
  <c r="BR145" i="58"/>
  <c r="AZ145" i="58"/>
  <c r="BA144" i="58"/>
  <c r="BD144" i="58"/>
  <c r="AY143" i="58"/>
  <c r="BI142" i="58"/>
  <c r="AZ142" i="58"/>
  <c r="BK140" i="58"/>
  <c r="BK139" i="58"/>
  <c r="BC139" i="58"/>
  <c r="BE138" i="58"/>
  <c r="BI138" i="58"/>
  <c r="BE146" i="58"/>
  <c r="BI145" i="58"/>
  <c r="AY145" i="58"/>
  <c r="BM144" i="58"/>
  <c r="BL144" i="58"/>
  <c r="BG143" i="58"/>
  <c r="BN142" i="58"/>
  <c r="BK142" i="58"/>
  <c r="W138" i="58"/>
  <c r="AN146" i="58"/>
  <c r="BE141" i="58"/>
  <c r="BR140" i="58"/>
  <c r="AY140" i="58"/>
  <c r="AY139" i="58"/>
  <c r="BQ139" i="58"/>
  <c r="BO138" i="58"/>
  <c r="BP146" i="58"/>
  <c r="BJ145" i="58"/>
  <c r="BK145" i="58"/>
  <c r="BB144" i="58"/>
  <c r="AZ144" i="58"/>
  <c r="BQ143" i="58"/>
  <c r="BB142" i="58"/>
  <c r="AY142" i="58"/>
  <c r="AX146" i="58"/>
  <c r="AF146" i="58"/>
  <c r="BD141" i="58"/>
  <c r="BP140" i="58"/>
  <c r="BJ140" i="58"/>
  <c r="BJ139" i="58"/>
  <c r="BN139" i="58"/>
  <c r="BC138" i="58"/>
  <c r="BD146" i="58"/>
  <c r="BB145" i="58"/>
  <c r="BG145" i="58"/>
  <c r="BN144" i="58"/>
  <c r="AY144" i="58"/>
  <c r="BE143" i="58"/>
  <c r="BE142" i="58"/>
  <c r="BH142" i="58"/>
  <c r="AF144" i="58"/>
  <c r="AT146" i="58"/>
  <c r="AD138" i="58"/>
  <c r="AM138" i="58"/>
  <c r="BI141" i="58"/>
  <c r="BF141" i="58"/>
  <c r="BD140" i="58"/>
  <c r="BI140" i="58"/>
  <c r="BH139" i="58"/>
  <c r="BM139" i="58"/>
  <c r="BN138" i="58"/>
  <c r="BA146" i="58"/>
  <c r="BO146" i="58"/>
  <c r="BN145" i="58"/>
  <c r="BH145" i="58"/>
  <c r="BR144" i="58"/>
  <c r="BM143" i="58"/>
  <c r="BP143" i="58"/>
  <c r="BQ142" i="58"/>
  <c r="BP142" i="58"/>
  <c r="C238" i="58"/>
  <c r="AI144" i="58"/>
  <c r="T144" i="58"/>
  <c r="AH146" i="58"/>
  <c r="AF142" i="58"/>
  <c r="AE142" i="58"/>
  <c r="R138" i="58"/>
  <c r="AO142" i="58"/>
  <c r="BM141" i="58"/>
  <c r="BP141" i="58"/>
  <c r="BO140" i="58"/>
  <c r="BH140" i="58"/>
  <c r="BI139" i="58"/>
  <c r="BA139" i="58"/>
  <c r="BB138" i="58"/>
  <c r="BB146" i="58"/>
  <c r="BC146" i="58"/>
  <c r="BE145" i="58"/>
  <c r="BP145" i="58"/>
  <c r="BK144" i="58"/>
  <c r="BA143" i="58"/>
  <c r="BD143" i="58"/>
  <c r="BF142" i="58"/>
  <c r="BD142" i="58"/>
  <c r="W144" i="58"/>
  <c r="AA142" i="58"/>
  <c r="AL138" i="58"/>
  <c r="O138" i="58"/>
  <c r="AK138" i="58"/>
  <c r="R146" i="58"/>
  <c r="AW145" i="58"/>
  <c r="BB141" i="58"/>
  <c r="BC141" i="58"/>
  <c r="BC140" i="58"/>
  <c r="BG140" i="58"/>
  <c r="BG139" i="58"/>
  <c r="BH138" i="58"/>
  <c r="BL138" i="58"/>
  <c r="BJ146" i="58"/>
  <c r="BL146" i="58"/>
  <c r="BQ145" i="58"/>
  <c r="BD145" i="58"/>
  <c r="BI144" i="58"/>
  <c r="BF143" i="58"/>
  <c r="BO143" i="58"/>
  <c r="BJ142" i="58"/>
  <c r="BG142" i="58"/>
  <c r="AN140" i="58"/>
  <c r="AD144" i="58"/>
  <c r="AO143" i="58"/>
  <c r="AO138" i="58"/>
  <c r="AE146" i="58"/>
  <c r="BJ141" i="58"/>
  <c r="BA141" i="58"/>
  <c r="BN140" i="58"/>
  <c r="BF140" i="58"/>
  <c r="BR139" i="58"/>
  <c r="BG138" i="58"/>
  <c r="AZ138" i="58"/>
  <c r="BN146" i="58"/>
  <c r="AZ146" i="58"/>
  <c r="BF145" i="58"/>
  <c r="BC145" i="58"/>
  <c r="BO144" i="58"/>
  <c r="BB143" i="58"/>
  <c r="BC143" i="58"/>
  <c r="BR142" i="58"/>
  <c r="BO142" i="58"/>
  <c r="AH138" i="58"/>
  <c r="AQ144" i="58"/>
  <c r="AN144" i="58"/>
  <c r="AQ142" i="58"/>
  <c r="S146" i="58"/>
  <c r="V145" i="58"/>
  <c r="BN141" i="58"/>
  <c r="AZ141" i="58"/>
  <c r="BA140" i="58"/>
  <c r="BQ140" i="58"/>
  <c r="BF139" i="58"/>
  <c r="BR138" i="58"/>
  <c r="BA138" i="58"/>
  <c r="BF146" i="58"/>
  <c r="BK146" i="58"/>
  <c r="BO145" i="58"/>
  <c r="BQ144" i="58"/>
  <c r="BH144" i="58"/>
  <c r="BR143" i="58"/>
  <c r="BL143" i="58"/>
  <c r="BC142" i="58"/>
  <c r="AX138" i="58"/>
  <c r="AR138" i="58"/>
  <c r="N138" i="58"/>
  <c r="AK145" i="58"/>
  <c r="AQ139" i="58"/>
  <c r="AD139" i="58"/>
  <c r="O146" i="58"/>
  <c r="AL139" i="58"/>
  <c r="U141" i="58"/>
  <c r="S139" i="58"/>
  <c r="R139" i="58"/>
  <c r="AB139" i="58"/>
  <c r="AK139" i="58"/>
  <c r="AG146" i="58"/>
  <c r="Y138" i="58"/>
  <c r="AW138" i="58"/>
  <c r="AJ138" i="58"/>
  <c r="AI145" i="58"/>
  <c r="AP139" i="58"/>
  <c r="AC139" i="58"/>
  <c r="P139" i="58"/>
  <c r="AX139" i="58"/>
  <c r="Y139" i="58"/>
  <c r="AS139" i="58"/>
  <c r="AJ139" i="58"/>
  <c r="Z139" i="58"/>
  <c r="X139" i="58"/>
  <c r="M138" i="58"/>
  <c r="AQ138" i="58"/>
  <c r="AB138" i="58"/>
  <c r="Z138" i="58"/>
  <c r="L138" i="58"/>
  <c r="AV139" i="58"/>
  <c r="N139" i="58"/>
  <c r="AK146" i="58"/>
  <c r="AI139" i="58"/>
  <c r="AA145" i="58"/>
  <c r="V143" i="58"/>
  <c r="M146" i="58"/>
  <c r="O145" i="58"/>
  <c r="L139" i="58"/>
  <c r="AJ142" i="58"/>
  <c r="AU139" i="58"/>
  <c r="V139" i="58"/>
  <c r="P140" i="58"/>
  <c r="AP145" i="58"/>
  <c r="N145" i="58"/>
  <c r="Y145" i="58"/>
  <c r="AQ143" i="58"/>
  <c r="AG145" i="58"/>
  <c r="AW146" i="58"/>
  <c r="AC138" i="58"/>
  <c r="Q138" i="58"/>
  <c r="S143" i="58"/>
  <c r="Y146" i="58"/>
  <c r="L146" i="58"/>
  <c r="X138" i="58"/>
  <c r="AC145" i="58"/>
  <c r="AU140" i="58"/>
  <c r="AV145" i="58"/>
  <c r="AQ145" i="58"/>
  <c r="AF145" i="58"/>
  <c r="W142" i="58"/>
  <c r="T142" i="58"/>
  <c r="AN142" i="58"/>
  <c r="AJ146" i="58"/>
  <c r="AM140" i="58"/>
  <c r="Q145" i="58"/>
  <c r="U144" i="58"/>
  <c r="AM145" i="58"/>
  <c r="AI140" i="58"/>
  <c r="X145" i="58"/>
  <c r="AS138" i="58"/>
  <c r="S138" i="58"/>
  <c r="AL143" i="58"/>
  <c r="P142" i="58"/>
  <c r="AO140" i="58"/>
  <c r="AQ140" i="58"/>
  <c r="AT145" i="58"/>
  <c r="N143" i="58"/>
  <c r="T138" i="58"/>
  <c r="AQ146" i="58"/>
  <c r="Q140" i="58"/>
  <c r="T146" i="58"/>
  <c r="T140" i="58"/>
  <c r="AP143" i="58"/>
  <c r="AG138" i="58"/>
  <c r="AA138" i="58"/>
  <c r="AD143" i="58"/>
  <c r="AM143" i="58"/>
  <c r="AO146" i="58"/>
  <c r="AB140" i="58"/>
  <c r="N146" i="58"/>
  <c r="AL145" i="58"/>
  <c r="AP138" i="58"/>
  <c r="U140" i="58"/>
  <c r="AU145" i="58"/>
  <c r="AS145" i="58"/>
  <c r="O143" i="58"/>
  <c r="AR140" i="58"/>
  <c r="P143" i="58"/>
  <c r="AG141" i="58"/>
  <c r="AF141" i="58"/>
  <c r="AM141" i="58"/>
  <c r="T141" i="58"/>
  <c r="AS146" i="58"/>
  <c r="AA141" i="58"/>
  <c r="AV141" i="58"/>
  <c r="AU146" i="58"/>
  <c r="AD140" i="58"/>
  <c r="W140" i="58"/>
  <c r="AM146" i="58"/>
  <c r="AP146" i="58"/>
  <c r="AR143" i="58"/>
  <c r="U142" i="58"/>
  <c r="O141" i="58"/>
  <c r="R143" i="58"/>
  <c r="AC143" i="58"/>
  <c r="AJ141" i="58"/>
  <c r="AU141" i="58"/>
  <c r="AD142" i="58"/>
  <c r="AW143" i="58"/>
  <c r="AV143" i="58"/>
  <c r="AU143" i="58"/>
  <c r="AV140" i="58"/>
  <c r="AT140" i="58"/>
  <c r="AD146" i="58"/>
  <c r="AF143" i="58"/>
  <c r="AD141" i="58"/>
  <c r="AE140" i="58"/>
  <c r="AH142" i="58"/>
  <c r="Q143" i="58"/>
  <c r="X141" i="58"/>
  <c r="AI141" i="58"/>
  <c r="R142" i="58"/>
  <c r="AK143" i="58"/>
  <c r="AK140" i="58"/>
  <c r="AH140" i="58"/>
  <c r="S140" i="58"/>
  <c r="Q146" i="58"/>
  <c r="T143" i="58"/>
  <c r="AA143" i="58"/>
  <c r="AX141" i="58"/>
  <c r="AS142" i="58"/>
  <c r="L141" i="58"/>
  <c r="W141" i="58"/>
  <c r="AT141" i="58"/>
  <c r="Y143" i="58"/>
  <c r="W143" i="58"/>
  <c r="V144" i="58"/>
  <c r="X140" i="58"/>
  <c r="AX145" i="58"/>
  <c r="AJ145" i="58"/>
  <c r="AP140" i="58"/>
  <c r="S144" i="58"/>
  <c r="AV142" i="58"/>
  <c r="AL141" i="58"/>
  <c r="AG142" i="58"/>
  <c r="AX142" i="58"/>
  <c r="AH141" i="58"/>
  <c r="M143" i="58"/>
  <c r="AM142" i="58"/>
  <c r="AK141" i="58"/>
  <c r="Y141" i="58"/>
  <c r="AO141" i="58"/>
  <c r="Z141" i="58"/>
  <c r="AU144" i="58"/>
  <c r="AA140" i="58"/>
  <c r="AO145" i="58"/>
  <c r="Z145" i="58"/>
  <c r="U146" i="58"/>
  <c r="L145" i="58"/>
  <c r="AR145" i="58"/>
  <c r="AB146" i="58"/>
  <c r="AN141" i="58"/>
  <c r="AE143" i="58"/>
  <c r="V146" i="58"/>
  <c r="N141" i="58"/>
  <c r="AP141" i="58"/>
  <c r="AF138" i="58"/>
  <c r="AL142" i="58"/>
  <c r="AC142" i="58"/>
  <c r="AB142" i="58"/>
  <c r="O142" i="58"/>
  <c r="Q141" i="58"/>
  <c r="AB141" i="58"/>
  <c r="R141" i="58"/>
  <c r="M141" i="58"/>
  <c r="AQ141" i="58"/>
  <c r="AW141" i="58"/>
  <c r="W146" i="58"/>
  <c r="AP144" i="58"/>
  <c r="T145" i="58"/>
  <c r="M140" i="58"/>
  <c r="P141" i="58"/>
  <c r="AU142" i="58"/>
  <c r="Z143" i="58"/>
  <c r="Z142" i="58"/>
  <c r="AB143" i="58"/>
  <c r="AD145" i="58"/>
  <c r="AS141" i="58"/>
  <c r="AR141" i="58"/>
  <c r="S141" i="58"/>
  <c r="Q139" i="58"/>
  <c r="AJ140" i="58"/>
  <c r="AW139" i="58"/>
  <c r="AC140" i="58"/>
  <c r="AN143" i="58"/>
  <c r="S145" i="58"/>
  <c r="AX143" i="58"/>
  <c r="AA139" i="58"/>
  <c r="AE141" i="58"/>
  <c r="AT139" i="58"/>
  <c r="AJ143" i="58"/>
  <c r="AT143" i="58"/>
  <c r="AM139" i="58"/>
  <c r="AS143" i="58"/>
  <c r="AE139" i="58"/>
  <c r="W139" i="58"/>
  <c r="AN139" i="58"/>
  <c r="V140" i="58"/>
  <c r="M139" i="58"/>
  <c r="AG139" i="58"/>
  <c r="AW140" i="58"/>
  <c r="X143" i="58"/>
  <c r="V141" i="58"/>
  <c r="O139" i="58"/>
  <c r="AG143" i="58"/>
  <c r="U139" i="58"/>
  <c r="Y140" i="58"/>
  <c r="L143" i="58"/>
  <c r="U143" i="58"/>
  <c r="AO139" i="58"/>
  <c r="U138" i="58"/>
  <c r="AI143" i="58"/>
  <c r="V138" i="58"/>
  <c r="AN138" i="58"/>
  <c r="T139" i="58"/>
  <c r="AH139" i="58"/>
  <c r="C178" i="58"/>
  <c r="C190" i="58" s="1"/>
  <c r="C201" i="58" s="1"/>
  <c r="C212" i="58" s="1"/>
  <c r="C224" i="58" s="1"/>
  <c r="AM144" i="58"/>
  <c r="AK144" i="58"/>
  <c r="C95" i="58"/>
  <c r="C154" i="58" s="1"/>
  <c r="R144" i="58"/>
  <c r="AB144" i="58"/>
  <c r="AA144" i="58"/>
  <c r="P144" i="58"/>
  <c r="O144" i="58"/>
  <c r="C100" i="58"/>
  <c r="C159" i="58" s="1"/>
  <c r="C97" i="58"/>
  <c r="C156" i="58" s="1"/>
  <c r="Y144" i="58"/>
  <c r="AO144" i="58"/>
  <c r="AV144" i="58"/>
  <c r="X144" i="58"/>
  <c r="AS144" i="58"/>
  <c r="AC144" i="58"/>
  <c r="AW144" i="58"/>
  <c r="AJ144" i="58"/>
  <c r="C92" i="58"/>
  <c r="C151" i="58" s="1"/>
  <c r="C99" i="58"/>
  <c r="C158" i="58" s="1"/>
  <c r="M144" i="58"/>
  <c r="Q144" i="58"/>
  <c r="L144" i="58"/>
  <c r="AX144" i="58"/>
  <c r="AL144" i="58"/>
  <c r="C93" i="58"/>
  <c r="C152" i="58" s="1"/>
  <c r="Z144" i="58"/>
  <c r="C98" i="58"/>
  <c r="C157" i="58" s="1"/>
  <c r="AT144" i="58"/>
  <c r="N144" i="58"/>
  <c r="AG144" i="58"/>
  <c r="AH144" i="58"/>
  <c r="AR144" i="58"/>
  <c r="O31" i="58"/>
  <c r="O34" i="58" s="1"/>
  <c r="O35" i="58" s="1"/>
  <c r="O48" i="58"/>
  <c r="L31" i="58"/>
  <c r="L34" i="58" s="1"/>
  <c r="L35" i="58" s="1"/>
  <c r="L48" i="58"/>
  <c r="AL19" i="60"/>
  <c r="AL18" i="60"/>
  <c r="I87" i="58"/>
  <c r="J87" i="58" s="1"/>
  <c r="K87" i="58" s="1"/>
  <c r="L88" i="58" a="1"/>
  <c r="L88" i="58" s="1"/>
  <c r="L193" i="58" s="1"/>
  <c r="L76" i="58" a="1"/>
  <c r="L76" i="58" s="1"/>
  <c r="L87" i="58" a="1"/>
  <c r="L87" i="58" s="1"/>
  <c r="L192" i="58" s="1"/>
  <c r="L77" i="58" a="1"/>
  <c r="L77" i="58" s="1"/>
  <c r="I88" i="58"/>
  <c r="J88" i="58" s="1"/>
  <c r="K88" i="58" s="1"/>
  <c r="AM17" i="60"/>
  <c r="AM19" i="60"/>
  <c r="P36" i="58"/>
  <c r="M36" i="58"/>
  <c r="B202" i="58"/>
  <c r="C236" i="58"/>
  <c r="C177" i="58"/>
  <c r="C189" i="58" s="1"/>
  <c r="C200" i="58" s="1"/>
  <c r="C211" i="58" s="1"/>
  <c r="C223" i="58" s="1"/>
  <c r="M8" i="58"/>
  <c r="N67" i="58"/>
  <c r="N104" i="58" s="1"/>
  <c r="N22" i="58"/>
  <c r="N7" i="58"/>
  <c r="N6" i="58"/>
  <c r="N12" i="58" a="1"/>
  <c r="N12" i="58" s="1"/>
  <c r="N11" i="58" s="1"/>
  <c r="N5" i="58"/>
  <c r="O4" i="58"/>
  <c r="O3" i="58" s="1"/>
  <c r="O10" i="58" s="1" a="1"/>
  <c r="O10" i="58" s="1"/>
  <c r="B198" i="58"/>
  <c r="C239" i="58"/>
  <c r="C180" i="58"/>
  <c r="C192" i="58" s="1"/>
  <c r="C203" i="58" s="1"/>
  <c r="C214" i="58" s="1"/>
  <c r="C226" i="58" s="1"/>
  <c r="B211" i="58"/>
  <c r="C240" i="58"/>
  <c r="C181" i="58"/>
  <c r="C193" i="58" s="1"/>
  <c r="C204" i="58" s="1"/>
  <c r="C215" i="58" s="1"/>
  <c r="C227" i="58" s="1"/>
  <c r="B215" i="58"/>
  <c r="B214" i="58"/>
  <c r="B197" i="58"/>
  <c r="N31" i="58"/>
  <c r="N34" i="58" s="1"/>
  <c r="N35" i="58" s="1"/>
  <c r="B205" i="58"/>
  <c r="B199" i="58"/>
  <c r="B201" i="58"/>
  <c r="C241" i="58"/>
  <c r="C182" i="58"/>
  <c r="C194" i="58" s="1"/>
  <c r="C205" i="58" s="1"/>
  <c r="C216" i="58" s="1"/>
  <c r="C228" i="58" s="1"/>
  <c r="C234" i="58"/>
  <c r="C175" i="58"/>
  <c r="C187" i="58" s="1"/>
  <c r="C198" i="58" s="1"/>
  <c r="C209" i="58" s="1"/>
  <c r="C221" i="58" s="1"/>
  <c r="M88" i="58" l="1" a="1"/>
  <c r="M88" i="58" s="1"/>
  <c r="M87" i="58" a="1"/>
  <c r="M87" i="58" s="1"/>
  <c r="M77" i="58" a="1"/>
  <c r="M77" i="58" s="1"/>
  <c r="M169" i="58" s="1"/>
  <c r="M76" i="58" a="1"/>
  <c r="M76" i="58" s="1"/>
  <c r="M168" i="58" s="1"/>
  <c r="L169" i="58"/>
  <c r="L168" i="58"/>
  <c r="L36" i="58"/>
  <c r="L49" i="58" s="1"/>
  <c r="O36" i="58"/>
  <c r="P41" i="58" s="1"/>
  <c r="N36" i="58"/>
  <c r="N41" i="58" s="1"/>
  <c r="B223" i="58"/>
  <c r="B216" i="58"/>
  <c r="B212" i="58"/>
  <c r="L215" i="58"/>
  <c r="B227" i="58"/>
  <c r="B226" i="58"/>
  <c r="L214" i="58"/>
  <c r="B213" i="58"/>
  <c r="B209" i="58"/>
  <c r="B210" i="58"/>
  <c r="B208" i="58"/>
  <c r="L203" i="58"/>
  <c r="L204" i="58"/>
  <c r="P4" i="58"/>
  <c r="P3" i="58" s="1"/>
  <c r="P10" i="58" s="1" a="1"/>
  <c r="P10" i="58" s="1"/>
  <c r="O67" i="58"/>
  <c r="O104" i="58" s="1"/>
  <c r="O6" i="58"/>
  <c r="O22" i="58"/>
  <c r="O7" i="58"/>
  <c r="O12" i="58" a="1"/>
  <c r="O12" i="58" s="1"/>
  <c r="O11" i="58" s="1"/>
  <c r="O5" i="58"/>
  <c r="N8" i="58"/>
  <c r="N87" i="58" l="1" a="1"/>
  <c r="N87" i="58" s="1"/>
  <c r="O87" i="58" s="1" a="1"/>
  <c r="O87" i="58" s="1"/>
  <c r="P87" i="58" s="1" a="1"/>
  <c r="P87" i="58" s="1"/>
  <c r="N88" i="58" a="1"/>
  <c r="N88" i="58" s="1"/>
  <c r="O88" i="58" s="1" a="1"/>
  <c r="O88" i="58" s="1"/>
  <c r="P88" i="58" s="1" a="1"/>
  <c r="P88" i="58" s="1"/>
  <c r="N77" i="58" a="1"/>
  <c r="N77" i="58" s="1"/>
  <c r="O77" i="58" s="1" a="1"/>
  <c r="O77" i="58" s="1"/>
  <c r="P77" i="58" s="1" a="1"/>
  <c r="P77" i="58" s="1"/>
  <c r="N76" i="58" a="1"/>
  <c r="N76" i="58" s="1"/>
  <c r="O76" i="58" s="1" a="1"/>
  <c r="O76" i="58" s="1"/>
  <c r="P76" i="58" s="1" a="1"/>
  <c r="P76" i="58" s="1"/>
  <c r="L226" i="58"/>
  <c r="L227" i="58"/>
  <c r="L53" i="58"/>
  <c r="L181" i="58"/>
  <c r="L180" i="58"/>
  <c r="B222" i="58"/>
  <c r="M41" i="58"/>
  <c r="O41" i="58"/>
  <c r="B228" i="58"/>
  <c r="B224" i="58"/>
  <c r="P67" i="58"/>
  <c r="P104" i="58" s="1"/>
  <c r="P22" i="58"/>
  <c r="P12" i="58" a="1"/>
  <c r="P12" i="58" s="1"/>
  <c r="P11" i="58" s="1"/>
  <c r="P6" i="58"/>
  <c r="P7" i="58"/>
  <c r="P5" i="58"/>
  <c r="Q4" i="58"/>
  <c r="Q3" i="58" s="1"/>
  <c r="Q10" i="58" s="1" a="1"/>
  <c r="Q10" i="58" s="1"/>
  <c r="B221" i="58"/>
  <c r="B225" i="58"/>
  <c r="B220" i="58"/>
  <c r="D4" i="56"/>
  <c r="N169" i="58" l="1"/>
  <c r="L264" i="58"/>
  <c r="L265" i="58"/>
  <c r="Q67" i="58"/>
  <c r="Q104" i="58" s="1"/>
  <c r="Q6" i="58"/>
  <c r="Q12" i="58" a="1"/>
  <c r="Q12" i="58" s="1"/>
  <c r="Q11" i="58" s="1"/>
  <c r="Q22" i="58"/>
  <c r="Q7" i="58"/>
  <c r="Q5" i="58"/>
  <c r="R4" i="58"/>
  <c r="R3" i="58" s="1"/>
  <c r="R10" i="58" s="1" a="1"/>
  <c r="R10" i="58" s="1"/>
  <c r="N168" i="58"/>
  <c r="Q77" i="58" l="1" a="1"/>
  <c r="Q77" i="58" s="1"/>
  <c r="Q76" i="58" a="1"/>
  <c r="Q76" i="58" s="1"/>
  <c r="Q88" i="58" a="1"/>
  <c r="Q88" i="58" s="1"/>
  <c r="Q87" i="58" a="1"/>
  <c r="Q87" i="58" s="1"/>
  <c r="P169" i="58"/>
  <c r="O169" i="58"/>
  <c r="P168" i="58"/>
  <c r="O168" i="58"/>
  <c r="R12" i="58" a="1"/>
  <c r="R12" i="58" s="1"/>
  <c r="R11" i="58" s="1"/>
  <c r="R22" i="58"/>
  <c r="R25" i="58" s="1"/>
  <c r="R6" i="58"/>
  <c r="R7" i="58"/>
  <c r="R67" i="58"/>
  <c r="R104" i="58" s="1"/>
  <c r="R5" i="58"/>
  <c r="S4" i="58"/>
  <c r="S3" i="58" s="1"/>
  <c r="S10" i="58" s="1" a="1"/>
  <c r="S10" i="58" s="1"/>
  <c r="AV161" i="57"/>
  <c r="AV162" i="57" s="1"/>
  <c r="AQ161" i="57"/>
  <c r="O139" i="57"/>
  <c r="Y139" i="57" s="1"/>
  <c r="P139" i="57" l="1"/>
  <c r="Z139" i="57" s="1"/>
  <c r="AR161" i="57"/>
  <c r="AR162" i="57" s="1"/>
  <c r="AQ162" i="57"/>
  <c r="B26" i="57"/>
  <c r="D141" i="57"/>
  <c r="S67" i="58"/>
  <c r="S104" i="58" s="1"/>
  <c r="S22" i="58"/>
  <c r="S25" i="58" s="1"/>
  <c r="S7" i="58"/>
  <c r="S6" i="58"/>
  <c r="S5" i="58"/>
  <c r="S12" i="58" a="1"/>
  <c r="S12" i="58" s="1"/>
  <c r="S11" i="58" s="1"/>
  <c r="T4" i="58"/>
  <c r="T3" i="58" s="1"/>
  <c r="T10" i="58" s="1" a="1"/>
  <c r="T10" i="58" s="1"/>
  <c r="R8" i="58"/>
  <c r="B42" i="57" l="1"/>
  <c r="S8" i="58"/>
  <c r="R87" i="58" a="1"/>
  <c r="R87" i="58" s="1"/>
  <c r="R88" i="58" a="1"/>
  <c r="R88" i="58" s="1"/>
  <c r="R77" i="58" a="1"/>
  <c r="R77" i="58" s="1"/>
  <c r="R76" i="58" a="1"/>
  <c r="R76" i="58" s="1"/>
  <c r="Q139" i="57"/>
  <c r="AA139" i="57" s="1"/>
  <c r="D178" i="57"/>
  <c r="D34" i="57"/>
  <c r="T5" i="58"/>
  <c r="T7" i="58"/>
  <c r="T22" i="58"/>
  <c r="T25" i="58" s="1"/>
  <c r="T6" i="58"/>
  <c r="T12" i="58" a="1"/>
  <c r="T12" i="58" s="1"/>
  <c r="T11" i="58" s="1"/>
  <c r="T67" i="58"/>
  <c r="T104" i="58" s="1"/>
  <c r="U4" i="58"/>
  <c r="U3" i="58" s="1"/>
  <c r="U10" i="58" s="1" a="1"/>
  <c r="U10" i="58" s="1"/>
  <c r="S77" i="58" l="1" a="1"/>
  <c r="S77" i="58" s="1"/>
  <c r="S88" i="58" a="1"/>
  <c r="S88" i="58" s="1"/>
  <c r="S87" i="58" a="1"/>
  <c r="S87" i="58" s="1"/>
  <c r="S76" i="58" a="1"/>
  <c r="S76" i="58" s="1"/>
  <c r="R139" i="57"/>
  <c r="AB139" i="57" s="1"/>
  <c r="S139" i="57"/>
  <c r="V139" i="57" s="1"/>
  <c r="T8" i="58"/>
  <c r="U67" i="58"/>
  <c r="U104" i="58" s="1"/>
  <c r="U22" i="58"/>
  <c r="U25" i="58" s="1"/>
  <c r="U12" i="58" a="1"/>
  <c r="U12" i="58" s="1"/>
  <c r="U11" i="58" s="1"/>
  <c r="U7" i="58"/>
  <c r="U5" i="58"/>
  <c r="V4" i="58"/>
  <c r="V3" i="58" s="1"/>
  <c r="V10" i="58" s="1" a="1"/>
  <c r="V10" i="58" s="1"/>
  <c r="U6" i="58"/>
  <c r="T139" i="57" l="1"/>
  <c r="W139" i="57" s="1"/>
  <c r="U139" i="57"/>
  <c r="T87" i="58" a="1"/>
  <c r="T87" i="58" s="1"/>
  <c r="T76" i="58" a="1"/>
  <c r="T76" i="58" s="1"/>
  <c r="T88" i="58" a="1"/>
  <c r="T88" i="58" s="1"/>
  <c r="T77" i="58" a="1"/>
  <c r="T77" i="58" s="1"/>
  <c r="V22" i="58"/>
  <c r="V25" i="58" s="1"/>
  <c r="V5" i="58"/>
  <c r="V12" i="58" a="1"/>
  <c r="V12" i="58" s="1"/>
  <c r="V11" i="58" s="1"/>
  <c r="W4" i="58"/>
  <c r="W3" i="58" s="1"/>
  <c r="W10" i="58" s="1" a="1"/>
  <c r="W10" i="58" s="1"/>
  <c r="V7" i="58"/>
  <c r="V67" i="58"/>
  <c r="V104" i="58" s="1"/>
  <c r="V6" i="58"/>
  <c r="U8" i="58"/>
  <c r="AU196" i="57"/>
  <c r="AV196" i="57"/>
  <c r="U77" i="58" l="1" a="1"/>
  <c r="U77" i="58" s="1"/>
  <c r="U88" i="58" a="1"/>
  <c r="U88" i="58" s="1"/>
  <c r="U76" i="58" a="1"/>
  <c r="U76" i="58" s="1"/>
  <c r="U87" i="58" a="1"/>
  <c r="U87" i="58" s="1"/>
  <c r="V8" i="58"/>
  <c r="W67" i="58"/>
  <c r="W104" i="58" s="1"/>
  <c r="W12" i="58" a="1"/>
  <c r="W12" i="58" s="1"/>
  <c r="W11" i="58" s="1"/>
  <c r="W22" i="58"/>
  <c r="W25" i="58" s="1"/>
  <c r="W5" i="58"/>
  <c r="W7" i="58"/>
  <c r="W6" i="58"/>
  <c r="X4" i="58"/>
  <c r="X3" i="58" s="1"/>
  <c r="X10" i="58" s="1" a="1"/>
  <c r="X10" i="58" s="1"/>
  <c r="V87" i="58" l="1" a="1"/>
  <c r="V87" i="58" s="1"/>
  <c r="V88" i="58" a="1"/>
  <c r="V88" i="58" s="1"/>
  <c r="V77" i="58" a="1"/>
  <c r="V77" i="58" s="1"/>
  <c r="V76" i="58" a="1"/>
  <c r="V76" i="58" s="1"/>
  <c r="W8" i="58"/>
  <c r="X7" i="58"/>
  <c r="X12" i="58" a="1"/>
  <c r="X12" i="58" s="1"/>
  <c r="X11" i="58" s="1"/>
  <c r="Y4" i="58"/>
  <c r="Y3" i="58" s="1"/>
  <c r="Y10" i="58" s="1" a="1"/>
  <c r="Y10" i="58" s="1"/>
  <c r="X22" i="58"/>
  <c r="X25" i="58" s="1"/>
  <c r="X6" i="58"/>
  <c r="X67" i="58"/>
  <c r="X104" i="58" s="1"/>
  <c r="X5" i="58"/>
  <c r="X8" i="58" l="1"/>
  <c r="W87" i="58" a="1"/>
  <c r="W87" i="58" s="1"/>
  <c r="W77" i="58" a="1"/>
  <c r="W77" i="58" s="1"/>
  <c r="W88" i="58" a="1"/>
  <c r="W88" i="58" s="1"/>
  <c r="W76" i="58" a="1"/>
  <c r="W76" i="58" s="1"/>
  <c r="Y67" i="58"/>
  <c r="Y104" i="58" s="1"/>
  <c r="Y5" i="58"/>
  <c r="Y12" i="58" a="1"/>
  <c r="Y12" i="58" s="1"/>
  <c r="Y11" i="58" s="1"/>
  <c r="Y7" i="58"/>
  <c r="Z4" i="58"/>
  <c r="Z3" i="58" s="1"/>
  <c r="Z10" i="58" s="1" a="1"/>
  <c r="Z10" i="58" s="1"/>
  <c r="Y22" i="58"/>
  <c r="Y25" i="58" s="1"/>
  <c r="Y6" i="58"/>
  <c r="X76" i="58" l="1" a="1"/>
  <c r="X76" i="58" s="1"/>
  <c r="X77" i="58" a="1"/>
  <c r="X77" i="58" s="1"/>
  <c r="X87" i="58" a="1"/>
  <c r="X87" i="58" s="1"/>
  <c r="X88" i="58" a="1"/>
  <c r="X88" i="58" s="1"/>
  <c r="Y8" i="58"/>
  <c r="Z67" i="58"/>
  <c r="Z104" i="58" s="1"/>
  <c r="Z7" i="58"/>
  <c r="Z6" i="58"/>
  <c r="Z22" i="58"/>
  <c r="Z25" i="58" s="1"/>
  <c r="Z12" i="58" a="1"/>
  <c r="Z12" i="58" s="1"/>
  <c r="Z11" i="58" s="1"/>
  <c r="Z5" i="58"/>
  <c r="AA4" i="58"/>
  <c r="AA3" i="58" s="1"/>
  <c r="AA10" i="58" s="1" a="1"/>
  <c r="AA10" i="58" s="1"/>
  <c r="Z8" i="58" l="1"/>
  <c r="Y77" i="58" a="1"/>
  <c r="Y77" i="58" s="1"/>
  <c r="Y88" i="58" a="1"/>
  <c r="Y88" i="58" s="1"/>
  <c r="Y87" i="58" a="1"/>
  <c r="Y87" i="58" s="1"/>
  <c r="Y76" i="58" a="1"/>
  <c r="Y76" i="58" s="1"/>
  <c r="AA12" i="58" a="1"/>
  <c r="AA12" i="58" s="1"/>
  <c r="AA11" i="58" s="1"/>
  <c r="AA67" i="58"/>
  <c r="AA104" i="58" s="1"/>
  <c r="AB4" i="58"/>
  <c r="AB3" i="58" s="1"/>
  <c r="AB10" i="58" s="1" a="1"/>
  <c r="AB10" i="58" s="1"/>
  <c r="AA22" i="58"/>
  <c r="AA25" i="58" s="1"/>
  <c r="AA6" i="58"/>
  <c r="AA5" i="58"/>
  <c r="AA7" i="58"/>
  <c r="AG28" i="44"/>
  <c r="AF28" i="44"/>
  <c r="D4" i="57"/>
  <c r="D1" i="56"/>
  <c r="M265" i="57"/>
  <c r="K265" i="57"/>
  <c r="M264" i="57"/>
  <c r="K264" i="57"/>
  <c r="M263" i="57"/>
  <c r="K263" i="57"/>
  <c r="N259" i="57"/>
  <c r="F258" i="57"/>
  <c r="F257" i="57"/>
  <c r="F256" i="57"/>
  <c r="I251" i="57"/>
  <c r="H251" i="57"/>
  <c r="G251" i="57"/>
  <c r="G250" i="57"/>
  <c r="O249" i="57"/>
  <c r="N249" i="57"/>
  <c r="M249" i="57"/>
  <c r="L249" i="57"/>
  <c r="K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K228" i="57"/>
  <c r="BJ228" i="57"/>
  <c r="I228" i="57"/>
  <c r="M226" i="57"/>
  <c r="L226" i="57"/>
  <c r="K226" i="57"/>
  <c r="J226" i="57"/>
  <c r="I226" i="57"/>
  <c r="G226" i="57"/>
  <c r="F226" i="57"/>
  <c r="M225" i="57"/>
  <c r="L225" i="57"/>
  <c r="K225" i="57"/>
  <c r="J225" i="57"/>
  <c r="I225" i="57"/>
  <c r="G225" i="57"/>
  <c r="F225" i="57"/>
  <c r="M224" i="57"/>
  <c r="L224" i="57"/>
  <c r="K224" i="57"/>
  <c r="J224" i="57"/>
  <c r="I224" i="57"/>
  <c r="G224" i="57"/>
  <c r="F224" i="57"/>
  <c r="M223" i="57"/>
  <c r="L223" i="57"/>
  <c r="K223" i="57"/>
  <c r="J223" i="57"/>
  <c r="I223" i="57"/>
  <c r="G223" i="57"/>
  <c r="F223" i="57"/>
  <c r="M222" i="57"/>
  <c r="L222" i="57"/>
  <c r="K222" i="57"/>
  <c r="J222" i="57"/>
  <c r="I222" i="57"/>
  <c r="G222" i="57"/>
  <c r="F222" i="57"/>
  <c r="M221" i="57"/>
  <c r="L221" i="57"/>
  <c r="K221" i="57"/>
  <c r="J221" i="57"/>
  <c r="I221" i="57"/>
  <c r="G221" i="57"/>
  <c r="F221" i="57"/>
  <c r="M220" i="57"/>
  <c r="L220" i="57"/>
  <c r="K220" i="57"/>
  <c r="J220" i="57"/>
  <c r="I220" i="57"/>
  <c r="G220" i="57"/>
  <c r="F220" i="57"/>
  <c r="M219" i="57"/>
  <c r="L219" i="57"/>
  <c r="K219" i="57"/>
  <c r="J219" i="57"/>
  <c r="I219" i="57"/>
  <c r="G219" i="57"/>
  <c r="F219" i="57"/>
  <c r="AS215" i="57"/>
  <c r="AR215" i="57"/>
  <c r="N207" i="57"/>
  <c r="M207" i="57"/>
  <c r="L207" i="57"/>
  <c r="J207" i="57"/>
  <c r="F207" i="57"/>
  <c r="N206" i="57"/>
  <c r="M206" i="57"/>
  <c r="L206" i="57"/>
  <c r="J206" i="57"/>
  <c r="F206" i="57"/>
  <c r="N205" i="57"/>
  <c r="M205" i="57"/>
  <c r="L205" i="57"/>
  <c r="J205" i="57"/>
  <c r="F205" i="57"/>
  <c r="N204" i="57"/>
  <c r="M204" i="57"/>
  <c r="L204" i="57"/>
  <c r="J204" i="57"/>
  <c r="F204" i="57"/>
  <c r="N203" i="57"/>
  <c r="M203" i="57"/>
  <c r="L203" i="57"/>
  <c r="J203" i="57"/>
  <c r="F203" i="57"/>
  <c r="N202" i="57"/>
  <c r="M202" i="57"/>
  <c r="L202" i="57"/>
  <c r="J202" i="57"/>
  <c r="F202" i="57"/>
  <c r="N201" i="57"/>
  <c r="M201" i="57"/>
  <c r="L201" i="57"/>
  <c r="J201" i="57"/>
  <c r="F201" i="57"/>
  <c r="N200" i="57"/>
  <c r="M200" i="57"/>
  <c r="L200" i="57"/>
  <c r="J200" i="57"/>
  <c r="F200" i="57"/>
  <c r="R195" i="57"/>
  <c r="S195" i="57" s="1"/>
  <c r="V195" i="57" s="1"/>
  <c r="C193" i="57"/>
  <c r="B193" i="57"/>
  <c r="H226" i="57" s="1"/>
  <c r="C192" i="57"/>
  <c r="B192" i="57"/>
  <c r="H225" i="57" s="1"/>
  <c r="C191" i="57"/>
  <c r="B191" i="57"/>
  <c r="H224" i="57" s="1"/>
  <c r="C190" i="57"/>
  <c r="B190" i="57"/>
  <c r="H223" i="57" s="1"/>
  <c r="C189" i="57"/>
  <c r="B189" i="57"/>
  <c r="H222" i="57" s="1"/>
  <c r="C188" i="57"/>
  <c r="B188" i="57"/>
  <c r="H221" i="57" s="1"/>
  <c r="C187" i="57"/>
  <c r="B187" i="57"/>
  <c r="H220" i="57" s="1"/>
  <c r="C186" i="57"/>
  <c r="B186" i="57"/>
  <c r="H219" i="57" s="1"/>
  <c r="E185" i="57"/>
  <c r="C179" i="57"/>
  <c r="B179" i="57"/>
  <c r="G207" i="57" s="1"/>
  <c r="C178" i="57"/>
  <c r="B178" i="57"/>
  <c r="G206" i="57" s="1"/>
  <c r="C177" i="57"/>
  <c r="B177" i="57"/>
  <c r="G205" i="57" s="1"/>
  <c r="C176" i="57"/>
  <c r="B176" i="57"/>
  <c r="G204" i="57" s="1"/>
  <c r="C175" i="57"/>
  <c r="B175" i="57"/>
  <c r="G203" i="57" s="1"/>
  <c r="C174" i="57"/>
  <c r="B174" i="57"/>
  <c r="G202" i="57" s="1"/>
  <c r="C173" i="57"/>
  <c r="B173" i="57"/>
  <c r="G201" i="57" s="1"/>
  <c r="C172" i="57"/>
  <c r="N172" i="57" s="1"/>
  <c r="B172" i="57"/>
  <c r="G200" i="57" s="1"/>
  <c r="E171" i="57"/>
  <c r="N168" i="57"/>
  <c r="N167" i="57"/>
  <c r="D167" i="57"/>
  <c r="N166" i="57"/>
  <c r="N165" i="57"/>
  <c r="N164" i="57"/>
  <c r="N163" i="57"/>
  <c r="N162" i="57"/>
  <c r="N161" i="57"/>
  <c r="N156" i="57"/>
  <c r="N155" i="57"/>
  <c r="D155" i="57"/>
  <c r="N154" i="57"/>
  <c r="N153" i="57"/>
  <c r="N152" i="57"/>
  <c r="N151" i="57"/>
  <c r="N150" i="57"/>
  <c r="N149" i="57"/>
  <c r="Y147" i="57"/>
  <c r="O147" i="57"/>
  <c r="C121" i="57"/>
  <c r="C125" i="57" s="1"/>
  <c r="C129" i="57" s="1"/>
  <c r="C120" i="57"/>
  <c r="C124" i="57" s="1"/>
  <c r="C128" i="57" s="1"/>
  <c r="C119" i="57"/>
  <c r="C123" i="57" s="1"/>
  <c r="C127" i="57" s="1"/>
  <c r="C110" i="57"/>
  <c r="AG104" i="57"/>
  <c r="AD104" i="57"/>
  <c r="AC104" i="57"/>
  <c r="S103" i="57"/>
  <c r="C100" i="57"/>
  <c r="C104" i="57" s="1"/>
  <c r="AG100" i="57"/>
  <c r="AD100" i="57"/>
  <c r="C99" i="57"/>
  <c r="C103" i="57" s="1"/>
  <c r="C98" i="57"/>
  <c r="C102" i="57" s="1"/>
  <c r="AG96" i="57"/>
  <c r="AD96" i="57"/>
  <c r="AC96" i="57"/>
  <c r="C85" i="57"/>
  <c r="C90" i="57" s="1"/>
  <c r="C84" i="57"/>
  <c r="C89" i="57" s="1"/>
  <c r="C83" i="57"/>
  <c r="C88" i="57" s="1"/>
  <c r="C82" i="57"/>
  <c r="C87" i="57" s="1"/>
  <c r="AG40" i="57"/>
  <c r="AD40" i="57"/>
  <c r="AC40" i="57"/>
  <c r="AA40" i="57"/>
  <c r="E40" i="57"/>
  <c r="AG34" i="57"/>
  <c r="AD34" i="57"/>
  <c r="AC34" i="57"/>
  <c r="AA34" i="57"/>
  <c r="W34" i="57"/>
  <c r="W40" i="57" s="1"/>
  <c r="W53" i="57" s="1"/>
  <c r="T34" i="57"/>
  <c r="T40" i="57" s="1"/>
  <c r="T53" i="57" s="1"/>
  <c r="E34" i="57"/>
  <c r="Y34" i="57" s="1"/>
  <c r="AG29" i="57"/>
  <c r="AD29" i="57"/>
  <c r="AC29" i="57"/>
  <c r="AA29" i="57"/>
  <c r="E29" i="57"/>
  <c r="Y29" i="57" s="1"/>
  <c r="C27" i="57"/>
  <c r="C32" i="57" s="1"/>
  <c r="C37" i="57" s="1"/>
  <c r="C43" i="57" s="1"/>
  <c r="C26" i="57"/>
  <c r="C31" i="57" s="1"/>
  <c r="C25" i="57"/>
  <c r="C30" i="57" s="1"/>
  <c r="C54" i="57" s="1"/>
  <c r="C107" i="57" s="1"/>
  <c r="W24" i="57"/>
  <c r="W29" i="57" s="1"/>
  <c r="T24" i="57"/>
  <c r="T29" i="57" s="1"/>
  <c r="S24" i="57"/>
  <c r="S29" i="57" s="1"/>
  <c r="S34" i="57" s="1"/>
  <c r="S40" i="57" s="1"/>
  <c r="S53" i="57" s="1"/>
  <c r="Q24" i="57"/>
  <c r="Q29" i="57" s="1"/>
  <c r="Q34" i="57" s="1"/>
  <c r="Q40" i="57" s="1"/>
  <c r="Q53" i="57" s="1"/>
  <c r="S21" i="57"/>
  <c r="V21" i="57" s="1"/>
  <c r="E18" i="57"/>
  <c r="O18" i="57" s="1"/>
  <c r="A1" i="57"/>
  <c r="I184" i="56"/>
  <c r="E184" i="56"/>
  <c r="C184" i="56"/>
  <c r="B184" i="56"/>
  <c r="I183" i="56"/>
  <c r="E183" i="56"/>
  <c r="C183" i="56"/>
  <c r="B183" i="56"/>
  <c r="I182" i="56"/>
  <c r="E182" i="56"/>
  <c r="C182" i="56"/>
  <c r="B182" i="56"/>
  <c r="I181" i="56"/>
  <c r="E181" i="56"/>
  <c r="C181" i="56"/>
  <c r="B181" i="56"/>
  <c r="I180" i="56"/>
  <c r="E180" i="56"/>
  <c r="C180" i="56"/>
  <c r="B180" i="56"/>
  <c r="I179" i="56"/>
  <c r="E179" i="56"/>
  <c r="C179" i="56"/>
  <c r="B179" i="56"/>
  <c r="I178" i="56"/>
  <c r="E178" i="56"/>
  <c r="C178" i="56"/>
  <c r="B178" i="56"/>
  <c r="I177" i="56"/>
  <c r="E177" i="56"/>
  <c r="C177" i="56"/>
  <c r="B177" i="56"/>
  <c r="I176" i="56"/>
  <c r="E176" i="56"/>
  <c r="C176" i="56"/>
  <c r="B176" i="56"/>
  <c r="AW175" i="56"/>
  <c r="AV175" i="56"/>
  <c r="AU175" i="56"/>
  <c r="AT175" i="56"/>
  <c r="AS175" i="56"/>
  <c r="AR175" i="56"/>
  <c r="AQ175" i="56"/>
  <c r="AP175" i="56"/>
  <c r="AO175" i="56"/>
  <c r="AN175" i="56"/>
  <c r="AM175" i="56"/>
  <c r="AL175" i="56"/>
  <c r="AK175" i="56"/>
  <c r="AJ175" i="56"/>
  <c r="AG175" i="56"/>
  <c r="AF175" i="56"/>
  <c r="AE175" i="56"/>
  <c r="AD175" i="56"/>
  <c r="AC175" i="56"/>
  <c r="AB175" i="56"/>
  <c r="AA175" i="56"/>
  <c r="Z175" i="56"/>
  <c r="W175" i="56"/>
  <c r="V175" i="56"/>
  <c r="U175" i="56"/>
  <c r="T175" i="56"/>
  <c r="S175" i="56"/>
  <c r="R175" i="56"/>
  <c r="Q175" i="56"/>
  <c r="P175" i="56"/>
  <c r="M175" i="56"/>
  <c r="L175" i="56"/>
  <c r="K175" i="56"/>
  <c r="I175" i="56"/>
  <c r="E175" i="56"/>
  <c r="C175" i="56"/>
  <c r="B175" i="56"/>
  <c r="AW172" i="56"/>
  <c r="AV172" i="56"/>
  <c r="AU172" i="56"/>
  <c r="AT172" i="56"/>
  <c r="AS172" i="56"/>
  <c r="AR172" i="56"/>
  <c r="AQ172" i="56"/>
  <c r="AP172" i="56"/>
  <c r="AO172" i="56"/>
  <c r="AN172" i="56"/>
  <c r="AM172" i="56"/>
  <c r="AL172" i="56"/>
  <c r="AK172" i="56"/>
  <c r="AJ172" i="56"/>
  <c r="AG172" i="56"/>
  <c r="AF172" i="56"/>
  <c r="AE172" i="56"/>
  <c r="AD172" i="56"/>
  <c r="AC172" i="56"/>
  <c r="AB172" i="56"/>
  <c r="AA172" i="56"/>
  <c r="Z172" i="56"/>
  <c r="W172" i="56"/>
  <c r="V172" i="56"/>
  <c r="U172" i="56"/>
  <c r="T172" i="56"/>
  <c r="S172" i="56"/>
  <c r="R172" i="56"/>
  <c r="Q172" i="56"/>
  <c r="P172" i="56"/>
  <c r="M172" i="56"/>
  <c r="L172" i="56"/>
  <c r="K172" i="56"/>
  <c r="AW171" i="56"/>
  <c r="AV171" i="56"/>
  <c r="AU171" i="56"/>
  <c r="AT171" i="56"/>
  <c r="AS171" i="56"/>
  <c r="AR171" i="56"/>
  <c r="AQ171" i="56"/>
  <c r="AP171" i="56"/>
  <c r="AO171" i="56"/>
  <c r="AN171" i="56"/>
  <c r="AM171" i="56"/>
  <c r="AL171" i="56"/>
  <c r="AK171" i="56"/>
  <c r="AJ171" i="56"/>
  <c r="AG171" i="56"/>
  <c r="AF171" i="56"/>
  <c r="AE171" i="56"/>
  <c r="AD171" i="56"/>
  <c r="AC171" i="56"/>
  <c r="AB171" i="56"/>
  <c r="AA171" i="56"/>
  <c r="Z171" i="56"/>
  <c r="W171" i="56"/>
  <c r="V171" i="56"/>
  <c r="U171" i="56"/>
  <c r="T171" i="56"/>
  <c r="S171" i="56"/>
  <c r="R171" i="56"/>
  <c r="Q171" i="56"/>
  <c r="P171" i="56"/>
  <c r="M171" i="56"/>
  <c r="L171" i="56"/>
  <c r="K171" i="56"/>
  <c r="I149" i="56"/>
  <c r="H149" i="56"/>
  <c r="E149" i="56"/>
  <c r="C149" i="56"/>
  <c r="B149" i="56"/>
  <c r="I148" i="56"/>
  <c r="H148" i="56"/>
  <c r="E148" i="56"/>
  <c r="C148" i="56"/>
  <c r="B148" i="56"/>
  <c r="I147" i="56"/>
  <c r="H147" i="56"/>
  <c r="E147" i="56"/>
  <c r="C147" i="56"/>
  <c r="B147" i="56"/>
  <c r="I146" i="56"/>
  <c r="H146" i="56"/>
  <c r="E146" i="56"/>
  <c r="C146" i="56"/>
  <c r="B146" i="56"/>
  <c r="I145" i="56"/>
  <c r="H145" i="56"/>
  <c r="E145" i="56"/>
  <c r="C145" i="56"/>
  <c r="B145" i="56"/>
  <c r="I144" i="56"/>
  <c r="H144" i="56"/>
  <c r="E144" i="56"/>
  <c r="C144" i="56"/>
  <c r="B144" i="56"/>
  <c r="I143" i="56"/>
  <c r="H143" i="56"/>
  <c r="E143" i="56"/>
  <c r="C143" i="56"/>
  <c r="B143" i="56"/>
  <c r="I142" i="56"/>
  <c r="H142" i="56"/>
  <c r="E142" i="56"/>
  <c r="C142" i="56"/>
  <c r="B142" i="56"/>
  <c r="I141" i="56"/>
  <c r="H141" i="56"/>
  <c r="E141" i="56"/>
  <c r="C141" i="56"/>
  <c r="B141" i="56"/>
  <c r="I140" i="56"/>
  <c r="H140" i="56"/>
  <c r="E140" i="56"/>
  <c r="C140" i="56"/>
  <c r="B140" i="56"/>
  <c r="I139" i="56"/>
  <c r="H139" i="56"/>
  <c r="E139" i="56"/>
  <c r="C139" i="56"/>
  <c r="B139" i="56"/>
  <c r="I138" i="56"/>
  <c r="H138" i="56"/>
  <c r="E138" i="56"/>
  <c r="C138" i="56"/>
  <c r="B138" i="56"/>
  <c r="I137" i="56"/>
  <c r="H137" i="56"/>
  <c r="E137" i="56"/>
  <c r="C137" i="56"/>
  <c r="B137" i="56"/>
  <c r="AO134" i="56"/>
  <c r="AN134" i="56"/>
  <c r="AM134" i="56"/>
  <c r="AL134" i="56"/>
  <c r="AK134" i="56"/>
  <c r="AJ134" i="56"/>
  <c r="AI134" i="56"/>
  <c r="AH134" i="56"/>
  <c r="AG134" i="56"/>
  <c r="AF134" i="56"/>
  <c r="AE134" i="56"/>
  <c r="AD134" i="56"/>
  <c r="AC134" i="56"/>
  <c r="Z134" i="56"/>
  <c r="Y134" i="56"/>
  <c r="X134" i="56"/>
  <c r="W134" i="56"/>
  <c r="V134" i="56"/>
  <c r="U134" i="56"/>
  <c r="T134" i="56"/>
  <c r="S134" i="56"/>
  <c r="P134" i="56"/>
  <c r="O134" i="56"/>
  <c r="N134" i="56"/>
  <c r="M134" i="56"/>
  <c r="L134" i="56"/>
  <c r="K134" i="56"/>
  <c r="J134" i="56"/>
  <c r="AO133" i="56"/>
  <c r="AN133" i="56"/>
  <c r="AM133" i="56"/>
  <c r="AL133" i="56"/>
  <c r="AK133" i="56"/>
  <c r="AJ133" i="56"/>
  <c r="AI133" i="56"/>
  <c r="AH133" i="56"/>
  <c r="AG133" i="56"/>
  <c r="AF133" i="56"/>
  <c r="AE133" i="56"/>
  <c r="AD133" i="56"/>
  <c r="AC133" i="56"/>
  <c r="Z133" i="56"/>
  <c r="Y133" i="56"/>
  <c r="X133" i="56"/>
  <c r="W133" i="56"/>
  <c r="V133" i="56"/>
  <c r="U133" i="56"/>
  <c r="T133" i="56"/>
  <c r="S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AZ108" i="56"/>
  <c r="AY108" i="56"/>
  <c r="AZ109" i="56"/>
  <c r="AZ107" i="56"/>
  <c r="AY107" i="56"/>
  <c r="J188" i="56"/>
  <c r="J187" i="56"/>
  <c r="J186" i="56"/>
  <c r="N91" i="56"/>
  <c r="K91" i="56"/>
  <c r="J91" i="56"/>
  <c r="F91" i="56"/>
  <c r="Y75" i="56"/>
  <c r="X75" i="56"/>
  <c r="X91" i="56" s="1"/>
  <c r="U75" i="56"/>
  <c r="P75" i="56"/>
  <c r="N75" i="56"/>
  <c r="K75" i="56"/>
  <c r="J75" i="56"/>
  <c r="F75" i="56"/>
  <c r="AN75" i="56"/>
  <c r="X12" i="56"/>
  <c r="AH12" i="56" s="1"/>
  <c r="U12" i="56"/>
  <c r="AE12" i="56" s="1"/>
  <c r="T12" i="56"/>
  <c r="AD12" i="56" s="1"/>
  <c r="R12" i="56"/>
  <c r="AB12" i="56" s="1"/>
  <c r="Z12" i="56"/>
  <c r="N12" i="56"/>
  <c r="K12" i="56"/>
  <c r="AH4" i="56"/>
  <c r="AE4" i="56"/>
  <c r="AD4" i="56"/>
  <c r="AB4" i="56"/>
  <c r="Z4" i="56"/>
  <c r="A1" i="56"/>
  <c r="K9" i="55"/>
  <c r="K16" i="55" s="1" a="1"/>
  <c r="K16" i="55" s="1"/>
  <c r="AH29" i="44" l="1"/>
  <c r="M47" i="57"/>
  <c r="K47" i="57"/>
  <c r="L47" i="57"/>
  <c r="R250" i="57"/>
  <c r="U103" i="57"/>
  <c r="U104" i="57" s="1"/>
  <c r="V103" i="57"/>
  <c r="V104" i="57" s="1"/>
  <c r="T195" i="57"/>
  <c r="W195" i="57" s="1"/>
  <c r="X195" i="57" s="1"/>
  <c r="Y195" i="57" s="1"/>
  <c r="Z195" i="57" s="1"/>
  <c r="AA195" i="57" s="1"/>
  <c r="AB195" i="57" s="1"/>
  <c r="AC195" i="57" s="1"/>
  <c r="AD195" i="57" s="1"/>
  <c r="AG195" i="57" s="1"/>
  <c r="U195" i="57"/>
  <c r="T21" i="57"/>
  <c r="W21" i="57" s="1"/>
  <c r="U21" i="57"/>
  <c r="R259" i="57"/>
  <c r="L98" i="57"/>
  <c r="L99" i="57"/>
  <c r="L95" i="57"/>
  <c r="L79" i="57"/>
  <c r="L139" i="57"/>
  <c r="L94" i="57"/>
  <c r="L88" i="57"/>
  <c r="L84" i="57"/>
  <c r="L89" i="57"/>
  <c r="L102" i="57"/>
  <c r="R249" i="57"/>
  <c r="Y40" i="57"/>
  <c r="E47" i="57"/>
  <c r="Q250" i="57"/>
  <c r="Q259" i="57"/>
  <c r="K98" i="57"/>
  <c r="K89" i="57"/>
  <c r="K88" i="57"/>
  <c r="K95" i="57"/>
  <c r="K139" i="57"/>
  <c r="K94" i="57"/>
  <c r="K79" i="57"/>
  <c r="K102" i="57"/>
  <c r="K99" i="57"/>
  <c r="K84" i="57"/>
  <c r="Q249" i="57"/>
  <c r="H229" i="57" a="1"/>
  <c r="H229" i="57" s="1"/>
  <c r="M229" i="57" a="1"/>
  <c r="M229" i="57" s="1"/>
  <c r="M250" i="57" s="1"/>
  <c r="L229" i="57" a="1"/>
  <c r="L229" i="57" s="1"/>
  <c r="L250" i="57" s="1"/>
  <c r="K229" i="57" a="1"/>
  <c r="K229" i="57" s="1"/>
  <c r="K250" i="57" s="1"/>
  <c r="J229" i="57" a="1"/>
  <c r="J229" i="57" s="1"/>
  <c r="J250" i="57" s="1"/>
  <c r="I229" i="57" a="1"/>
  <c r="I229" i="57" s="1"/>
  <c r="I250" i="57" s="1"/>
  <c r="K11" i="55" a="1"/>
  <c r="K11" i="55" s="1"/>
  <c r="K14" i="55" a="1"/>
  <c r="K14" i="55" s="1"/>
  <c r="J176" i="56"/>
  <c r="J177" i="56"/>
  <c r="J178" i="56"/>
  <c r="J179" i="56"/>
  <c r="J180" i="56"/>
  <c r="J181" i="56"/>
  <c r="J182" i="56"/>
  <c r="J183" i="56"/>
  <c r="K183" i="56"/>
  <c r="J184" i="56"/>
  <c r="J185" i="56"/>
  <c r="Z88" i="58" a="1"/>
  <c r="Z88" i="58" s="1"/>
  <c r="Z87" i="58" a="1"/>
  <c r="Z87" i="58" s="1"/>
  <c r="Z77" i="58" a="1"/>
  <c r="Z77" i="58" s="1"/>
  <c r="Z76" i="58" a="1"/>
  <c r="Z76" i="58" s="1"/>
  <c r="Y67" i="57"/>
  <c r="AN76" i="56"/>
  <c r="P91" i="56"/>
  <c r="AD75" i="56"/>
  <c r="AQ76" i="56"/>
  <c r="U91" i="56"/>
  <c r="G137" i="57"/>
  <c r="H98" i="57"/>
  <c r="M94" i="57"/>
  <c r="F83" i="57"/>
  <c r="M84" i="57"/>
  <c r="F79" i="57"/>
  <c r="F95" i="57"/>
  <c r="H137" i="57"/>
  <c r="F139" i="57"/>
  <c r="F103" i="57"/>
  <c r="F89" i="57"/>
  <c r="G83" i="57"/>
  <c r="G79" i="57"/>
  <c r="J98" i="57"/>
  <c r="G139" i="57"/>
  <c r="G103" i="57"/>
  <c r="G89" i="57"/>
  <c r="H79" i="57"/>
  <c r="H139" i="57"/>
  <c r="M98" i="57"/>
  <c r="G95" i="57"/>
  <c r="H89" i="57"/>
  <c r="I79" i="57"/>
  <c r="F99" i="57"/>
  <c r="M79" i="57"/>
  <c r="I139" i="57"/>
  <c r="I103" i="57"/>
  <c r="H95" i="57"/>
  <c r="I89" i="57"/>
  <c r="J79" i="57"/>
  <c r="J139" i="57"/>
  <c r="I95" i="57"/>
  <c r="J89" i="57"/>
  <c r="F138" i="57"/>
  <c r="F102" i="57"/>
  <c r="G99" i="57"/>
  <c r="J95" i="57"/>
  <c r="F88" i="57"/>
  <c r="M89" i="57"/>
  <c r="G138" i="57"/>
  <c r="G102" i="57"/>
  <c r="H99" i="57"/>
  <c r="F94" i="57"/>
  <c r="M95" i="57"/>
  <c r="G88" i="57"/>
  <c r="F84" i="57"/>
  <c r="M102" i="57"/>
  <c r="H138" i="57"/>
  <c r="H102" i="57"/>
  <c r="I99" i="57"/>
  <c r="G94" i="57"/>
  <c r="H88" i="57"/>
  <c r="G84" i="57"/>
  <c r="J84" i="57"/>
  <c r="I102" i="57"/>
  <c r="J99" i="57"/>
  <c r="H94" i="57"/>
  <c r="I88" i="57"/>
  <c r="H84" i="57"/>
  <c r="F137" i="57"/>
  <c r="G98" i="57"/>
  <c r="J102" i="57"/>
  <c r="F98" i="57"/>
  <c r="M99" i="57"/>
  <c r="I94" i="57"/>
  <c r="J88" i="57"/>
  <c r="I84" i="57"/>
  <c r="J94" i="57"/>
  <c r="M88" i="57"/>
  <c r="Y42" i="57"/>
  <c r="Y43" i="57"/>
  <c r="Y30" i="57"/>
  <c r="Y31" i="57"/>
  <c r="Y32" i="57"/>
  <c r="Y64" i="57"/>
  <c r="Q66" i="57"/>
  <c r="Q63" i="57"/>
  <c r="S66" i="57"/>
  <c r="S63" i="57"/>
  <c r="T66" i="57"/>
  <c r="T63" i="57"/>
  <c r="W66" i="57"/>
  <c r="W63" i="57"/>
  <c r="Y48" i="57"/>
  <c r="T103" i="57"/>
  <c r="T104" i="57" s="1"/>
  <c r="S104" i="57"/>
  <c r="R103" i="57"/>
  <c r="Y27" i="57"/>
  <c r="E53" i="57"/>
  <c r="AA8" i="58"/>
  <c r="AB67" i="58"/>
  <c r="AB104" i="58" s="1"/>
  <c r="AB22" i="58"/>
  <c r="AB25" i="58" s="1"/>
  <c r="AB7" i="58"/>
  <c r="AC4" i="58"/>
  <c r="AC3" i="58" s="1"/>
  <c r="AC10" i="58" s="1" a="1"/>
  <c r="AC10" i="58" s="1"/>
  <c r="AB6" i="58"/>
  <c r="AB5" i="58"/>
  <c r="AB12" i="58" a="1"/>
  <c r="AB12" i="58" s="1"/>
  <c r="AB11" i="58" s="1"/>
  <c r="M139" i="57"/>
  <c r="AY109" i="56"/>
  <c r="AY110" i="56" s="1"/>
  <c r="AP76" i="56"/>
  <c r="Z75" i="56"/>
  <c r="AD135" i="56"/>
  <c r="AD136" i="56" s="1"/>
  <c r="N135" i="56"/>
  <c r="N136" i="56" s="1"/>
  <c r="O135" i="56"/>
  <c r="O136" i="56" s="1"/>
  <c r="AE173" i="56"/>
  <c r="AE174" i="56" s="1"/>
  <c r="P135" i="56"/>
  <c r="P136" i="56" s="1"/>
  <c r="AN173" i="56"/>
  <c r="AN174" i="56" s="1"/>
  <c r="U135" i="56"/>
  <c r="U136" i="56" s="1"/>
  <c r="AS173" i="56"/>
  <c r="AS174" i="56" s="1"/>
  <c r="Y135" i="56"/>
  <c r="Y136" i="56" s="1"/>
  <c r="AZ110" i="56"/>
  <c r="I249" i="57"/>
  <c r="P249" i="57" s="1"/>
  <c r="C35" i="57"/>
  <c r="C41" i="57" s="1"/>
  <c r="AU197" i="57"/>
  <c r="AV197" i="57"/>
  <c r="BQ250" i="57"/>
  <c r="C56" i="57"/>
  <c r="C109" i="57" s="1"/>
  <c r="BJ229" i="57"/>
  <c r="BK229" i="57"/>
  <c r="AG29" i="44"/>
  <c r="C3" i="57"/>
  <c r="AO76" i="56"/>
  <c r="AB75" i="56"/>
  <c r="AB91" i="56" s="1"/>
  <c r="AR76" i="56"/>
  <c r="AH75" i="56"/>
  <c r="C3" i="56"/>
  <c r="AE75" i="56"/>
  <c r="AO173" i="56"/>
  <c r="AO174" i="56" s="1"/>
  <c r="AA173" i="56"/>
  <c r="AA174" i="56" s="1"/>
  <c r="K173" i="56"/>
  <c r="K174" i="56" s="1"/>
  <c r="AL173" i="56"/>
  <c r="AL174" i="56" s="1"/>
  <c r="V173" i="56"/>
  <c r="V174" i="56" s="1"/>
  <c r="AO135" i="56"/>
  <c r="AO136" i="56" s="1"/>
  <c r="AC135" i="56"/>
  <c r="AC136" i="56" s="1"/>
  <c r="M135" i="56"/>
  <c r="M136" i="56" s="1"/>
  <c r="AW173" i="56"/>
  <c r="AW174" i="56" s="1"/>
  <c r="AK173" i="56"/>
  <c r="AK174" i="56" s="1"/>
  <c r="U173" i="56"/>
  <c r="U174" i="56" s="1"/>
  <c r="AN135" i="56"/>
  <c r="AN136" i="56" s="1"/>
  <c r="Z135" i="56"/>
  <c r="Z136" i="56" s="1"/>
  <c r="L135" i="56"/>
  <c r="L136" i="56" s="1"/>
  <c r="AV173" i="56"/>
  <c r="AV174" i="56" s="1"/>
  <c r="AJ173" i="56"/>
  <c r="AJ174" i="56" s="1"/>
  <c r="T173" i="56"/>
  <c r="T174" i="56" s="1"/>
  <c r="AU173" i="56"/>
  <c r="AU174" i="56" s="1"/>
  <c r="AG173" i="56"/>
  <c r="AG174" i="56" s="1"/>
  <c r="S173" i="56"/>
  <c r="S174" i="56" s="1"/>
  <c r="AL135" i="56"/>
  <c r="AL136" i="56" s="1"/>
  <c r="X135" i="56"/>
  <c r="X136" i="56" s="1"/>
  <c r="J135" i="56"/>
  <c r="J136" i="56" s="1"/>
  <c r="AT173" i="56"/>
  <c r="AT174" i="56" s="1"/>
  <c r="AF173" i="56"/>
  <c r="AF174" i="56" s="1"/>
  <c r="R173" i="56"/>
  <c r="R174" i="56" s="1"/>
  <c r="AK135" i="56"/>
  <c r="AK136" i="56" s="1"/>
  <c r="W135" i="56"/>
  <c r="W136" i="56" s="1"/>
  <c r="AQ173" i="56"/>
  <c r="AQ174" i="56" s="1"/>
  <c r="AC173" i="56"/>
  <c r="AC174" i="56" s="1"/>
  <c r="M173" i="56"/>
  <c r="M174" i="56" s="1"/>
  <c r="AH135" i="56"/>
  <c r="AH136" i="56" s="1"/>
  <c r="T135" i="56"/>
  <c r="T136" i="56" s="1"/>
  <c r="AP173" i="56"/>
  <c r="AP174" i="56" s="1"/>
  <c r="AB173" i="56"/>
  <c r="AB174" i="56" s="1"/>
  <c r="L173" i="56"/>
  <c r="L174" i="56" s="1"/>
  <c r="AG135" i="56"/>
  <c r="AG136" i="56" s="1"/>
  <c r="S135" i="56"/>
  <c r="S136" i="56" s="1"/>
  <c r="AE135" i="56"/>
  <c r="AE136" i="56" s="1"/>
  <c r="AF135" i="56"/>
  <c r="AF136" i="56" s="1"/>
  <c r="P173" i="56"/>
  <c r="P174" i="56" s="1"/>
  <c r="AI135" i="56"/>
  <c r="AI136" i="56" s="1"/>
  <c r="Q173" i="56"/>
  <c r="Q174" i="56" s="1"/>
  <c r="AJ135" i="56"/>
  <c r="AJ136" i="56" s="1"/>
  <c r="W173" i="56"/>
  <c r="W174" i="56" s="1"/>
  <c r="K135" i="56"/>
  <c r="K136" i="56" s="1"/>
  <c r="AM135" i="56"/>
  <c r="AM136" i="56" s="1"/>
  <c r="Z173" i="56"/>
  <c r="Z174" i="56" s="1"/>
  <c r="AD173" i="56"/>
  <c r="AD174" i="56" s="1"/>
  <c r="AM173" i="56"/>
  <c r="AM174" i="56" s="1"/>
  <c r="V135" i="56"/>
  <c r="V136" i="56" s="1"/>
  <c r="AR173" i="56"/>
  <c r="AR174" i="56" s="1"/>
  <c r="C36" i="57"/>
  <c r="C42" i="57" s="1"/>
  <c r="C55" i="57"/>
  <c r="C75" i="57"/>
  <c r="C93" i="57" s="1"/>
  <c r="C114" i="57" s="1"/>
  <c r="BQ249" i="57"/>
  <c r="BR249" i="57"/>
  <c r="S249" i="57"/>
  <c r="O259" i="57"/>
  <c r="S250" i="57"/>
  <c r="T250" i="57"/>
  <c r="T249" i="57"/>
  <c r="AR216" i="57"/>
  <c r="P259" i="57"/>
  <c r="AS216" i="57"/>
  <c r="BR250" i="57"/>
  <c r="V47" i="57" l="1"/>
  <c r="AF47" i="57"/>
  <c r="AE47" i="57"/>
  <c r="U47" i="57"/>
  <c r="W47" i="57"/>
  <c r="AG47" i="57"/>
  <c r="P250" i="57"/>
  <c r="N250" i="57"/>
  <c r="E139" i="57"/>
  <c r="O47" i="57"/>
  <c r="Y47" i="57"/>
  <c r="AE195" i="57"/>
  <c r="AH195" i="57" s="1"/>
  <c r="AF195" i="57"/>
  <c r="R251" i="57"/>
  <c r="R252" i="57" s="1"/>
  <c r="L96" i="57"/>
  <c r="L100" i="57"/>
  <c r="K96" i="57"/>
  <c r="L103" i="57"/>
  <c r="L104" i="57" s="1"/>
  <c r="Q251" i="57"/>
  <c r="Q252" i="57" s="1"/>
  <c r="K100" i="57"/>
  <c r="K103" i="57"/>
  <c r="K104" i="57" s="1"/>
  <c r="G13" i="56"/>
  <c r="P13" i="56"/>
  <c r="K13" i="55"/>
  <c r="K12" i="55"/>
  <c r="P143" i="57"/>
  <c r="K185" i="56"/>
  <c r="K180" i="56"/>
  <c r="K184" i="56"/>
  <c r="K179" i="56"/>
  <c r="K177" i="56"/>
  <c r="K181" i="56"/>
  <c r="K178" i="56"/>
  <c r="K182" i="56"/>
  <c r="AA76" i="58" a="1"/>
  <c r="AA76" i="58" s="1"/>
  <c r="AA87" i="58" a="1"/>
  <c r="AA87" i="58" s="1"/>
  <c r="AA77" i="58" a="1"/>
  <c r="AA77" i="58" s="1"/>
  <c r="AA88" i="58" a="1"/>
  <c r="AA88" i="58" s="1"/>
  <c r="H96" i="57"/>
  <c r="J103" i="57"/>
  <c r="J104" i="57" s="1"/>
  <c r="J96" i="57"/>
  <c r="E104" i="57"/>
  <c r="F104" i="57"/>
  <c r="P43" i="57"/>
  <c r="P32" i="57"/>
  <c r="P31" i="57"/>
  <c r="Z31" i="57" s="1"/>
  <c r="P42" i="57"/>
  <c r="P64" i="57"/>
  <c r="Q64" i="57" s="1"/>
  <c r="AU76" i="56"/>
  <c r="AV76" i="56"/>
  <c r="AD91" i="56"/>
  <c r="AT76" i="56"/>
  <c r="Z91" i="56"/>
  <c r="AX76" i="56"/>
  <c r="AH91" i="56"/>
  <c r="AW76" i="56"/>
  <c r="AE91" i="56"/>
  <c r="E100" i="57"/>
  <c r="E96" i="57"/>
  <c r="F96" i="57"/>
  <c r="I104" i="57"/>
  <c r="G96" i="57"/>
  <c r="G104" i="57"/>
  <c r="F100" i="57"/>
  <c r="I96" i="57"/>
  <c r="G100" i="57"/>
  <c r="J100" i="57"/>
  <c r="M96" i="57"/>
  <c r="H100" i="57"/>
  <c r="M100" i="57"/>
  <c r="R104" i="57"/>
  <c r="AB103" i="57"/>
  <c r="AB104" i="57" s="1"/>
  <c r="Y41" i="57"/>
  <c r="P44" i="57"/>
  <c r="Y44" i="57"/>
  <c r="P134" i="57"/>
  <c r="P30" i="57"/>
  <c r="P38" i="57"/>
  <c r="Y38" i="57"/>
  <c r="P37" i="57"/>
  <c r="Y37" i="57"/>
  <c r="P133" i="57"/>
  <c r="Y133" i="57"/>
  <c r="P48" i="57"/>
  <c r="W103" i="57"/>
  <c r="M103" i="57" s="1"/>
  <c r="M104" i="57" s="1"/>
  <c r="E63" i="57"/>
  <c r="Y70" i="57"/>
  <c r="Y68" i="57"/>
  <c r="P67" i="57"/>
  <c r="Z67" i="57" s="1"/>
  <c r="O87" i="57"/>
  <c r="Y69" i="57"/>
  <c r="P27" i="57"/>
  <c r="P41" i="57"/>
  <c r="C86" i="57"/>
  <c r="C101" i="57" s="1"/>
  <c r="C122" i="57" s="1"/>
  <c r="P67" i="56"/>
  <c r="Q67" i="56" s="1"/>
  <c r="AC67" i="58"/>
  <c r="AC104" i="58" s="1"/>
  <c r="AC6" i="58"/>
  <c r="AC22" i="58"/>
  <c r="AC25" i="58" s="1"/>
  <c r="AC12" i="58" a="1"/>
  <c r="AC12" i="58" s="1"/>
  <c r="AC11" i="58" s="1"/>
  <c r="AD4" i="58"/>
  <c r="AD3" i="58" s="1"/>
  <c r="AD10" i="58" s="1" a="1"/>
  <c r="AD10" i="58" s="1"/>
  <c r="AC7" i="58"/>
  <c r="AC5" i="58"/>
  <c r="AB8" i="58"/>
  <c r="P69" i="56"/>
  <c r="P68" i="56"/>
  <c r="P72" i="56"/>
  <c r="BQ251" i="57"/>
  <c r="BQ252" i="57" s="1"/>
  <c r="T251" i="57"/>
  <c r="T252" i="57" s="1"/>
  <c r="BR251" i="57"/>
  <c r="BR252" i="57" s="1"/>
  <c r="P71" i="56"/>
  <c r="P70" i="56"/>
  <c r="P65" i="56"/>
  <c r="P66" i="56"/>
  <c r="P64" i="56"/>
  <c r="AT218" i="57"/>
  <c r="AU198" i="57"/>
  <c r="AU199" i="57" s="1"/>
  <c r="AU218" i="57"/>
  <c r="AS217" i="57"/>
  <c r="AS218" i="57" s="1"/>
  <c r="AR217" i="57"/>
  <c r="AR218" i="57" s="1"/>
  <c r="AX198" i="57"/>
  <c r="AX199" i="57" s="1"/>
  <c r="AV198" i="57"/>
  <c r="AV199" i="57" s="1"/>
  <c r="AW198" i="57"/>
  <c r="AW199" i="57" s="1"/>
  <c r="H250" i="57"/>
  <c r="BJ230" i="57"/>
  <c r="BJ231" i="57" s="1"/>
  <c r="BK230" i="57"/>
  <c r="BK231" i="57" s="1"/>
  <c r="S251" i="57"/>
  <c r="S252" i="57" s="1"/>
  <c r="U249" i="57"/>
  <c r="S259" i="57"/>
  <c r="U250" i="57"/>
  <c r="U251" i="57"/>
  <c r="C108" i="57"/>
  <c r="C81" i="57"/>
  <c r="C97" i="57" s="1"/>
  <c r="C118" i="57" s="1"/>
  <c r="K176" i="56"/>
  <c r="P251" i="57" l="1"/>
  <c r="P252" i="57" s="1"/>
  <c r="H103" i="57"/>
  <c r="H104" i="57" s="1"/>
  <c r="Z32" i="57"/>
  <c r="Q32" i="57"/>
  <c r="AI195" i="57"/>
  <c r="AJ195" i="57" s="1"/>
  <c r="AK195" i="57" s="1"/>
  <c r="AL195" i="57" s="1"/>
  <c r="Z13" i="56"/>
  <c r="AA13" i="56" s="1"/>
  <c r="AB13" i="56" s="1"/>
  <c r="AC13" i="56" s="1"/>
  <c r="AD13" i="56" s="1"/>
  <c r="AE13" i="56" s="1"/>
  <c r="AF13" i="56" s="1"/>
  <c r="AG13" i="56" s="1"/>
  <c r="AH13" i="56" s="1"/>
  <c r="Q13" i="56"/>
  <c r="R13" i="56" s="1"/>
  <c r="S13" i="56" s="1"/>
  <c r="T13" i="56" s="1"/>
  <c r="H13" i="56"/>
  <c r="I13" i="56" s="1"/>
  <c r="Y143" i="57"/>
  <c r="G16" i="56"/>
  <c r="H16" i="56" s="1"/>
  <c r="I16" i="56" s="1"/>
  <c r="P16" i="56"/>
  <c r="G14" i="56"/>
  <c r="H14" i="56" s="1"/>
  <c r="I14" i="56" s="1"/>
  <c r="P14" i="56"/>
  <c r="G15" i="56"/>
  <c r="P15" i="56"/>
  <c r="Z67" i="56"/>
  <c r="F32" i="57"/>
  <c r="F43" i="56"/>
  <c r="P43" i="56" s="1"/>
  <c r="P63" i="56"/>
  <c r="Q63" i="56" s="1"/>
  <c r="P144" i="57"/>
  <c r="AB77" i="58" a="1"/>
  <c r="AB77" i="58" s="1"/>
  <c r="AB87" i="58" a="1"/>
  <c r="AB87" i="58" s="1"/>
  <c r="AB76" i="58" a="1"/>
  <c r="AB76" i="58" s="1"/>
  <c r="AB88" i="58" a="1"/>
  <c r="AB88" i="58" s="1"/>
  <c r="Z42" i="57"/>
  <c r="F42" i="57" s="1"/>
  <c r="Q42" i="57"/>
  <c r="AA42" i="57" s="1"/>
  <c r="G42" i="57" s="1"/>
  <c r="R43" i="57"/>
  <c r="Q43" i="57"/>
  <c r="Z43" i="57"/>
  <c r="F43" i="57" s="1"/>
  <c r="Q31" i="57"/>
  <c r="F31" i="57"/>
  <c r="R42" i="57"/>
  <c r="AB42" i="57" s="1"/>
  <c r="AC42" i="57" s="1"/>
  <c r="AF42" i="57" s="1"/>
  <c r="O77" i="57"/>
  <c r="Y25" i="57"/>
  <c r="Z70" i="56"/>
  <c r="Q70" i="56"/>
  <c r="Z65" i="56"/>
  <c r="Q65" i="56"/>
  <c r="Z71" i="56"/>
  <c r="Q71" i="56"/>
  <c r="Z64" i="56"/>
  <c r="Q64" i="56"/>
  <c r="Z27" i="57"/>
  <c r="Z30" i="57"/>
  <c r="F30" i="57" s="1"/>
  <c r="Z64" i="57"/>
  <c r="F64" i="57" s="1"/>
  <c r="Z68" i="56"/>
  <c r="Q68" i="56"/>
  <c r="O82" i="57"/>
  <c r="AA64" i="57"/>
  <c r="G64" i="57" s="1"/>
  <c r="Z66" i="56"/>
  <c r="Q66" i="56"/>
  <c r="Z69" i="56"/>
  <c r="Q69" i="56"/>
  <c r="Q30" i="57"/>
  <c r="R30" i="57" s="1"/>
  <c r="AA67" i="56"/>
  <c r="R67" i="56"/>
  <c r="V67" i="56" s="1"/>
  <c r="Y26" i="57"/>
  <c r="Z72" i="56"/>
  <c r="Q72" i="56"/>
  <c r="W104" i="57"/>
  <c r="Q37" i="57"/>
  <c r="Z37" i="57"/>
  <c r="F37" i="57" s="1"/>
  <c r="Q143" i="57"/>
  <c r="Z143" i="57"/>
  <c r="F143" i="57" s="1"/>
  <c r="Y87" i="57"/>
  <c r="E87" i="57" s="1"/>
  <c r="Q38" i="57"/>
  <c r="Z38" i="57"/>
  <c r="F38" i="57" s="1"/>
  <c r="R44" i="57"/>
  <c r="Z44" i="57"/>
  <c r="F44" i="57" s="1"/>
  <c r="Q44" i="57"/>
  <c r="Z41" i="57"/>
  <c r="F41" i="57" s="1"/>
  <c r="Q41" i="57"/>
  <c r="R41" i="57"/>
  <c r="P142" i="57"/>
  <c r="Y142" i="57"/>
  <c r="P35" i="57"/>
  <c r="Y35" i="57"/>
  <c r="P36" i="57"/>
  <c r="Y36" i="57"/>
  <c r="Q134" i="57"/>
  <c r="Z134" i="57"/>
  <c r="F134" i="57" s="1"/>
  <c r="Q133" i="57"/>
  <c r="Z133" i="57"/>
  <c r="F133" i="57" s="1"/>
  <c r="Z48" i="57"/>
  <c r="P109" i="57"/>
  <c r="P101" i="57"/>
  <c r="Q67" i="57"/>
  <c r="AA67" i="57" s="1"/>
  <c r="R64" i="57"/>
  <c r="P68" i="57"/>
  <c r="Z68" i="57" s="1"/>
  <c r="P86" i="57"/>
  <c r="Q27" i="57"/>
  <c r="P69" i="57"/>
  <c r="Z69" i="57" s="1"/>
  <c r="P56" i="57"/>
  <c r="P25" i="57"/>
  <c r="P26" i="57"/>
  <c r="P70" i="57"/>
  <c r="Z70" i="57" s="1"/>
  <c r="P87" i="57"/>
  <c r="F81" i="56"/>
  <c r="G68" i="56"/>
  <c r="F84" i="56"/>
  <c r="G71" i="56"/>
  <c r="F85" i="56"/>
  <c r="G72" i="56"/>
  <c r="F77" i="56"/>
  <c r="G64" i="56"/>
  <c r="F79" i="56"/>
  <c r="G66" i="56"/>
  <c r="F80" i="56"/>
  <c r="G67" i="56"/>
  <c r="G65" i="56"/>
  <c r="G70" i="56"/>
  <c r="F76" i="56"/>
  <c r="G63" i="56"/>
  <c r="AC8" i="58"/>
  <c r="AD67" i="58"/>
  <c r="AD104" i="58" s="1"/>
  <c r="AD22" i="58"/>
  <c r="AD25" i="58" s="1"/>
  <c r="AD12" i="58" a="1"/>
  <c r="AD12" i="58" s="1"/>
  <c r="AD11" i="58" s="1"/>
  <c r="AD6" i="58"/>
  <c r="AE4" i="58"/>
  <c r="AE3" i="58" s="1"/>
  <c r="AE10" i="58" s="1" a="1"/>
  <c r="AE10" i="58" s="1"/>
  <c r="AD5" i="58"/>
  <c r="AD7" i="58"/>
  <c r="Q197" i="57"/>
  <c r="T259" i="57"/>
  <c r="V249" i="57"/>
  <c r="U228" i="57"/>
  <c r="V250" i="57"/>
  <c r="U229" i="57"/>
  <c r="U230" i="57"/>
  <c r="V251" i="57"/>
  <c r="U252" i="57"/>
  <c r="S138" i="57"/>
  <c r="V138" i="57" s="1"/>
  <c r="Z56" i="57" l="1"/>
  <c r="AM195" i="57"/>
  <c r="AO195" i="57" s="1"/>
  <c r="AN195" i="57"/>
  <c r="AQ195" i="57"/>
  <c r="AR195" i="57" s="1"/>
  <c r="AS195" i="57" s="1"/>
  <c r="AT195" i="57" s="1"/>
  <c r="AP195" i="57"/>
  <c r="AD42" i="57"/>
  <c r="AG42" i="57" s="1"/>
  <c r="AE42" i="57"/>
  <c r="V137" i="57"/>
  <c r="U138" i="57"/>
  <c r="Z14" i="56"/>
  <c r="AA14" i="56" s="1"/>
  <c r="AB14" i="56" s="1"/>
  <c r="AC14" i="56" s="1"/>
  <c r="AD14" i="56" s="1"/>
  <c r="AE14" i="56" s="1"/>
  <c r="AF14" i="56" s="1"/>
  <c r="AG14" i="56" s="1"/>
  <c r="AH14" i="56" s="1"/>
  <c r="Q14" i="56"/>
  <c r="R14" i="56" s="1"/>
  <c r="S14" i="56" s="1"/>
  <c r="T14" i="56" s="1"/>
  <c r="Z16" i="56"/>
  <c r="AA16" i="56" s="1"/>
  <c r="AB16" i="56" s="1"/>
  <c r="AC16" i="56" s="1"/>
  <c r="AD16" i="56" s="1"/>
  <c r="AE16" i="56" s="1"/>
  <c r="AF16" i="56" s="1"/>
  <c r="AG16" i="56" s="1"/>
  <c r="AH16" i="56" s="1"/>
  <c r="Q16" i="56"/>
  <c r="R16" i="56" s="1"/>
  <c r="S16" i="56" s="1"/>
  <c r="T16" i="56" s="1"/>
  <c r="Z15" i="56"/>
  <c r="AA15" i="56" s="1"/>
  <c r="AB15" i="56" s="1"/>
  <c r="AC15" i="56" s="1"/>
  <c r="AD15" i="56" s="1"/>
  <c r="AE15" i="56" s="1"/>
  <c r="AF15" i="56" s="1"/>
  <c r="AG15" i="56" s="1"/>
  <c r="AH15" i="56" s="1"/>
  <c r="Q15" i="56"/>
  <c r="R15" i="56" s="1"/>
  <c r="S15" i="56" s="1"/>
  <c r="T15" i="56" s="1"/>
  <c r="U13" i="56"/>
  <c r="J13" i="56"/>
  <c r="H15" i="56"/>
  <c r="I15" i="56" s="1"/>
  <c r="G17" i="56"/>
  <c r="P17" i="56"/>
  <c r="Z63" i="56"/>
  <c r="F33" i="57"/>
  <c r="Y144" i="57"/>
  <c r="F27" i="57"/>
  <c r="F56" i="57"/>
  <c r="AA31" i="57"/>
  <c r="R31" i="57"/>
  <c r="AB31" i="57" s="1"/>
  <c r="AC87" i="58" a="1"/>
  <c r="AC87" i="58" s="1"/>
  <c r="AC77" i="58" a="1"/>
  <c r="AC77" i="58" s="1"/>
  <c r="AC76" i="58" a="1"/>
  <c r="AC76" i="58" s="1"/>
  <c r="AC88" i="58" a="1"/>
  <c r="AC88" i="58" s="1"/>
  <c r="AD8" i="58"/>
  <c r="H42" i="57"/>
  <c r="AB43" i="57"/>
  <c r="AC43" i="57" s="1"/>
  <c r="AA43" i="57"/>
  <c r="G43" i="57" s="1"/>
  <c r="Y77" i="57"/>
  <c r="E77" i="57" s="1"/>
  <c r="Y82" i="57"/>
  <c r="E82" i="57" s="1"/>
  <c r="E85" i="57" s="1"/>
  <c r="P77" i="57"/>
  <c r="AB64" i="57"/>
  <c r="H64" i="57" s="1"/>
  <c r="AB41" i="57"/>
  <c r="AC41" i="57" s="1"/>
  <c r="AF41" i="57" s="1"/>
  <c r="AA63" i="56"/>
  <c r="R63" i="56"/>
  <c r="V63" i="56" s="1"/>
  <c r="AA70" i="56"/>
  <c r="R70" i="56"/>
  <c r="V70" i="56" s="1"/>
  <c r="AA41" i="57"/>
  <c r="G41" i="57" s="1"/>
  <c r="AA64" i="56"/>
  <c r="R64" i="56"/>
  <c r="V64" i="56" s="1"/>
  <c r="P82" i="57"/>
  <c r="AB67" i="56"/>
  <c r="S67" i="56"/>
  <c r="T67" i="56"/>
  <c r="Z25" i="57"/>
  <c r="Z54" i="57" s="1"/>
  <c r="R72" i="56"/>
  <c r="V72" i="56" s="1"/>
  <c r="AA72" i="56"/>
  <c r="R68" i="56"/>
  <c r="V68" i="56" s="1"/>
  <c r="AA68" i="56"/>
  <c r="R71" i="56"/>
  <c r="V71" i="56" s="1"/>
  <c r="AA71" i="56"/>
  <c r="Z26" i="57"/>
  <c r="Z55" i="57" s="1"/>
  <c r="AA30" i="57"/>
  <c r="G30" i="57" s="1"/>
  <c r="AB30" i="57"/>
  <c r="AD30" i="57" s="1"/>
  <c r="AA69" i="56"/>
  <c r="R69" i="56"/>
  <c r="V69" i="56" s="1"/>
  <c r="R66" i="56"/>
  <c r="V66" i="56" s="1"/>
  <c r="AA66" i="56"/>
  <c r="AA27" i="57"/>
  <c r="G27" i="57" s="1"/>
  <c r="AA65" i="56"/>
  <c r="R65" i="56"/>
  <c r="V65" i="56" s="1"/>
  <c r="F48" i="57"/>
  <c r="Q48" i="57" s="1"/>
  <c r="R143" i="57"/>
  <c r="AA143" i="57"/>
  <c r="AC143" i="57" s="1"/>
  <c r="AF143" i="57" s="1"/>
  <c r="R134" i="57"/>
  <c r="AA134" i="57"/>
  <c r="AC134" i="57" s="1"/>
  <c r="AD134" i="57" s="1"/>
  <c r="Z101" i="57"/>
  <c r="F101" i="57" s="1"/>
  <c r="AA44" i="57"/>
  <c r="G44" i="57" s="1"/>
  <c r="Z87" i="57"/>
  <c r="F87" i="57" s="1"/>
  <c r="F90" i="57" s="1"/>
  <c r="Z86" i="57"/>
  <c r="F86" i="57" s="1"/>
  <c r="Q35" i="57"/>
  <c r="Z35" i="57"/>
  <c r="F35" i="57" s="1"/>
  <c r="AB44" i="57"/>
  <c r="AC44" i="57" s="1"/>
  <c r="AF44" i="57" s="1"/>
  <c r="S44" i="57"/>
  <c r="R37" i="57"/>
  <c r="AA37" i="57"/>
  <c r="AC37" i="57" s="1"/>
  <c r="Q142" i="57"/>
  <c r="Z142" i="57"/>
  <c r="F142" i="57" s="1"/>
  <c r="Q144" i="57"/>
  <c r="Z144" i="57"/>
  <c r="F144" i="57" s="1"/>
  <c r="Z109" i="57"/>
  <c r="F109" i="57" s="1"/>
  <c r="Q36" i="57"/>
  <c r="Z36" i="57"/>
  <c r="F36" i="57" s="1"/>
  <c r="R133" i="57"/>
  <c r="AA133" i="57"/>
  <c r="G133" i="57" s="1"/>
  <c r="R38" i="57"/>
  <c r="AA38" i="57"/>
  <c r="AC38" i="57" s="1"/>
  <c r="S42" i="57"/>
  <c r="V42" i="57" s="1"/>
  <c r="Q101" i="57"/>
  <c r="P97" i="57"/>
  <c r="P108" i="57"/>
  <c r="P107" i="57"/>
  <c r="P93" i="57"/>
  <c r="S43" i="57"/>
  <c r="Q70" i="57"/>
  <c r="AA70" i="57" s="1"/>
  <c r="Q68" i="57"/>
  <c r="AA68" i="57" s="1"/>
  <c r="S30" i="57"/>
  <c r="R27" i="57"/>
  <c r="Q86" i="57"/>
  <c r="Q69" i="57"/>
  <c r="AA69" i="57" s="1"/>
  <c r="S64" i="57"/>
  <c r="P75" i="57"/>
  <c r="Q25" i="57"/>
  <c r="P54" i="57"/>
  <c r="Q26" i="57"/>
  <c r="P81" i="57"/>
  <c r="P55" i="57"/>
  <c r="R67" i="57"/>
  <c r="AB67" i="57" s="1"/>
  <c r="AE67" i="58"/>
  <c r="AE104" i="58" s="1"/>
  <c r="AE7" i="58"/>
  <c r="AE5" i="58"/>
  <c r="AE6" i="58"/>
  <c r="AF4" i="58"/>
  <c r="AF3" i="58" s="1"/>
  <c r="AF10" i="58" s="1" a="1"/>
  <c r="AF10" i="58" s="1"/>
  <c r="AE12" i="58" a="1"/>
  <c r="AE12" i="58" s="1"/>
  <c r="AE11" i="58" s="1"/>
  <c r="AE22" i="58"/>
  <c r="AE25" i="58" s="1"/>
  <c r="Q198" i="57"/>
  <c r="N217" i="57"/>
  <c r="N215" i="57"/>
  <c r="N216" i="57"/>
  <c r="O214" i="57"/>
  <c r="R197" i="57" s="1"/>
  <c r="Q196" i="57"/>
  <c r="U259" i="57"/>
  <c r="W250" i="57"/>
  <c r="W251" i="57"/>
  <c r="V230" i="57"/>
  <c r="W249" i="57"/>
  <c r="V232" i="57"/>
  <c r="V228" i="57"/>
  <c r="V229" i="57"/>
  <c r="T138" i="57"/>
  <c r="V252" i="57"/>
  <c r="U231" i="57"/>
  <c r="N106" i="56"/>
  <c r="M109" i="56"/>
  <c r="M107" i="56"/>
  <c r="M108" i="56"/>
  <c r="AF43" i="57" l="1"/>
  <c r="H30" i="57"/>
  <c r="AF30" i="57"/>
  <c r="G134" i="57"/>
  <c r="AE37" i="57"/>
  <c r="AF37" i="57"/>
  <c r="AE38" i="57"/>
  <c r="AF38" i="57"/>
  <c r="AE134" i="57"/>
  <c r="AF134" i="57"/>
  <c r="AD43" i="57"/>
  <c r="AE43" i="57"/>
  <c r="AD44" i="57"/>
  <c r="AG44" i="57" s="1"/>
  <c r="AE44" i="57"/>
  <c r="AD41" i="57"/>
  <c r="AG41" i="57" s="1"/>
  <c r="AE41" i="57"/>
  <c r="AD143" i="57"/>
  <c r="AG143" i="57" s="1"/>
  <c r="AE143" i="57"/>
  <c r="U64" i="57"/>
  <c r="V64" i="57"/>
  <c r="U30" i="57"/>
  <c r="V30" i="57"/>
  <c r="U44" i="57"/>
  <c r="V44" i="57"/>
  <c r="U43" i="57"/>
  <c r="V43" i="57"/>
  <c r="I42" i="57"/>
  <c r="U42" i="57"/>
  <c r="U137" i="57"/>
  <c r="V13" i="56"/>
  <c r="K13" i="56"/>
  <c r="U15" i="56"/>
  <c r="J15" i="56"/>
  <c r="U16" i="56"/>
  <c r="J16" i="56"/>
  <c r="U14" i="56"/>
  <c r="J14" i="56"/>
  <c r="Z17" i="56"/>
  <c r="AA17" i="56" s="1"/>
  <c r="AB17" i="56" s="1"/>
  <c r="AC17" i="56" s="1"/>
  <c r="AD17" i="56" s="1"/>
  <c r="AE17" i="56" s="1"/>
  <c r="AF17" i="56" s="1"/>
  <c r="AG17" i="56" s="1"/>
  <c r="AH17" i="56" s="1"/>
  <c r="Q17" i="56"/>
  <c r="R17" i="56" s="1"/>
  <c r="S17" i="56" s="1"/>
  <c r="T17" i="56" s="1"/>
  <c r="H17" i="56"/>
  <c r="I17" i="56" s="1"/>
  <c r="AD67" i="56"/>
  <c r="AH67" i="56" s="1"/>
  <c r="AF67" i="56"/>
  <c r="L67" i="56" s="1"/>
  <c r="Q106" i="56"/>
  <c r="AC67" i="56"/>
  <c r="AG67" i="56" s="1"/>
  <c r="W67" i="56"/>
  <c r="M67" i="56" s="1"/>
  <c r="G18" i="56"/>
  <c r="H18" i="56" s="1"/>
  <c r="I18" i="56" s="1"/>
  <c r="P18" i="56"/>
  <c r="S31" i="57"/>
  <c r="I44" i="57"/>
  <c r="H41" i="57"/>
  <c r="F25" i="57"/>
  <c r="H44" i="57"/>
  <c r="H43" i="57"/>
  <c r="H31" i="57"/>
  <c r="H67" i="56"/>
  <c r="G37" i="57"/>
  <c r="G38" i="57"/>
  <c r="G31" i="57"/>
  <c r="F26" i="57"/>
  <c r="G143" i="57"/>
  <c r="I43" i="57"/>
  <c r="F54" i="57"/>
  <c r="F55" i="57"/>
  <c r="AD88" i="58" a="1"/>
  <c r="AD88" i="58" s="1"/>
  <c r="AD87" i="58" a="1"/>
  <c r="AD87" i="58" s="1"/>
  <c r="AD77" i="58" a="1"/>
  <c r="AD77" i="58" s="1"/>
  <c r="AD76" i="58" a="1"/>
  <c r="AD76" i="58" s="1"/>
  <c r="Z77" i="57"/>
  <c r="F77" i="57" s="1"/>
  <c r="Z82" i="57"/>
  <c r="F82" i="57" s="1"/>
  <c r="F85" i="57" s="1"/>
  <c r="AB70" i="56"/>
  <c r="S70" i="56"/>
  <c r="T70" i="56"/>
  <c r="Q77" i="57"/>
  <c r="AB65" i="56"/>
  <c r="S65" i="56"/>
  <c r="T65" i="56"/>
  <c r="S72" i="56"/>
  <c r="T72" i="56"/>
  <c r="AB72" i="56"/>
  <c r="S68" i="56"/>
  <c r="AB68" i="56"/>
  <c r="T68" i="56"/>
  <c r="AB63" i="56"/>
  <c r="S63" i="56"/>
  <c r="T63" i="56"/>
  <c r="AB27" i="57"/>
  <c r="H27" i="57" s="1"/>
  <c r="S66" i="56"/>
  <c r="AB66" i="56"/>
  <c r="T66" i="56"/>
  <c r="AA25" i="57"/>
  <c r="AA54" i="57" s="1"/>
  <c r="AB71" i="56"/>
  <c r="S71" i="56"/>
  <c r="T71" i="56"/>
  <c r="S69" i="56"/>
  <c r="AB69" i="56"/>
  <c r="T69" i="56"/>
  <c r="Z107" i="57"/>
  <c r="F107" i="57" s="1"/>
  <c r="AB64" i="56"/>
  <c r="S64" i="56"/>
  <c r="T64" i="56"/>
  <c r="X67" i="56"/>
  <c r="I67" i="56"/>
  <c r="U67" i="56"/>
  <c r="AA48" i="57"/>
  <c r="AD38" i="57"/>
  <c r="AD37" i="57"/>
  <c r="R196" i="57"/>
  <c r="Z93" i="57"/>
  <c r="F93" i="57" s="1"/>
  <c r="AB38" i="57"/>
  <c r="H38" i="57" s="1"/>
  <c r="S38" i="57"/>
  <c r="V38" i="57" s="1"/>
  <c r="Z75" i="57"/>
  <c r="F75" i="57" s="1"/>
  <c r="T44" i="57"/>
  <c r="Z108" i="57"/>
  <c r="F108" i="57" s="1"/>
  <c r="R144" i="57"/>
  <c r="AA144" i="57"/>
  <c r="AC144" i="57" s="1"/>
  <c r="Z97" i="57"/>
  <c r="F97" i="57" s="1"/>
  <c r="S133" i="57"/>
  <c r="AB133" i="57"/>
  <c r="H133" i="57" s="1"/>
  <c r="AC132" i="57"/>
  <c r="R35" i="57"/>
  <c r="AA35" i="57"/>
  <c r="AC35" i="57" s="1"/>
  <c r="AA86" i="57"/>
  <c r="G86" i="57" s="1"/>
  <c r="AA142" i="57"/>
  <c r="AC142" i="57" s="1"/>
  <c r="R142" i="57"/>
  <c r="R36" i="57"/>
  <c r="AA36" i="57"/>
  <c r="AC36" i="57" s="1"/>
  <c r="S143" i="57"/>
  <c r="V143" i="57" s="1"/>
  <c r="AB143" i="57"/>
  <c r="H143" i="57" s="1"/>
  <c r="AA101" i="57"/>
  <c r="G101" i="57" s="1"/>
  <c r="S134" i="57"/>
  <c r="AB134" i="57"/>
  <c r="H134" i="57" s="1"/>
  <c r="Z81" i="57"/>
  <c r="F81" i="57" s="1"/>
  <c r="Q82" i="57"/>
  <c r="Q55" i="57"/>
  <c r="AA26" i="57"/>
  <c r="AA55" i="57" s="1"/>
  <c r="AB37" i="57"/>
  <c r="H37" i="57" s="1"/>
  <c r="S37" i="57"/>
  <c r="V37" i="57" s="1"/>
  <c r="R101" i="57"/>
  <c r="Q108" i="57"/>
  <c r="Q97" i="57"/>
  <c r="T43" i="57"/>
  <c r="Q107" i="57"/>
  <c r="Q93" i="57"/>
  <c r="S67" i="57"/>
  <c r="S27" i="57"/>
  <c r="R86" i="57"/>
  <c r="T42" i="57"/>
  <c r="L42" i="57" s="1"/>
  <c r="R70" i="57"/>
  <c r="AB70" i="57" s="1"/>
  <c r="T30" i="57"/>
  <c r="T64" i="57"/>
  <c r="R26" i="57"/>
  <c r="Q81" i="57"/>
  <c r="R69" i="57"/>
  <c r="AB69" i="57" s="1"/>
  <c r="R68" i="57"/>
  <c r="AB68" i="57" s="1"/>
  <c r="Q75" i="57"/>
  <c r="R25" i="57"/>
  <c r="R54" i="57" s="1"/>
  <c r="Q54" i="57"/>
  <c r="S41" i="57"/>
  <c r="V41" i="57" s="1"/>
  <c r="P214" i="57"/>
  <c r="S197" i="57" s="1"/>
  <c r="R198" i="57"/>
  <c r="Q199" i="57"/>
  <c r="N218" i="57"/>
  <c r="AF7" i="58"/>
  <c r="AF12" i="58" a="1"/>
  <c r="AF12" i="58" s="1"/>
  <c r="AF11" i="58" s="1"/>
  <c r="AF5" i="58"/>
  <c r="AF67" i="58"/>
  <c r="AF104" i="58" s="1"/>
  <c r="AF6" i="58"/>
  <c r="AF22" i="58"/>
  <c r="AF25" i="58" s="1"/>
  <c r="AG4" i="58"/>
  <c r="AG3" i="58" s="1"/>
  <c r="AG10" i="58" s="1" a="1"/>
  <c r="AG10" i="58" s="1"/>
  <c r="AE8" i="58"/>
  <c r="O215" i="57"/>
  <c r="O216" i="57"/>
  <c r="O217" i="57"/>
  <c r="N109" i="56"/>
  <c r="N107" i="56"/>
  <c r="N108" i="56"/>
  <c r="O106" i="56"/>
  <c r="V231" i="57"/>
  <c r="X251" i="57"/>
  <c r="X249" i="57"/>
  <c r="W229" i="57"/>
  <c r="X250" i="57"/>
  <c r="V259" i="57"/>
  <c r="W232" i="57"/>
  <c r="W230" i="57"/>
  <c r="W228" i="57"/>
  <c r="M110" i="56"/>
  <c r="W138" i="57"/>
  <c r="W252" i="57"/>
  <c r="V31" i="57" l="1"/>
  <c r="AF31" i="57" s="1"/>
  <c r="AC31" i="57"/>
  <c r="J67" i="56"/>
  <c r="AG43" i="57"/>
  <c r="L43" i="57"/>
  <c r="L44" i="57"/>
  <c r="AF132" i="57"/>
  <c r="AE132" i="57"/>
  <c r="AE144" i="57"/>
  <c r="AF144" i="57"/>
  <c r="AE36" i="57"/>
  <c r="AF36" i="57"/>
  <c r="AE35" i="57"/>
  <c r="AF35" i="57"/>
  <c r="AE142" i="57"/>
  <c r="AF142" i="57"/>
  <c r="U133" i="57"/>
  <c r="V133" i="57"/>
  <c r="U134" i="57"/>
  <c r="V134" i="57"/>
  <c r="U27" i="57"/>
  <c r="U86" i="57" s="1"/>
  <c r="V27" i="57"/>
  <c r="U67" i="57"/>
  <c r="V67" i="57"/>
  <c r="I143" i="57"/>
  <c r="U143" i="57"/>
  <c r="I37" i="57"/>
  <c r="U37" i="57"/>
  <c r="I31" i="57"/>
  <c r="U31" i="57"/>
  <c r="AE31" i="57" s="1"/>
  <c r="I41" i="57"/>
  <c r="U41" i="57"/>
  <c r="I38" i="57"/>
  <c r="U38" i="57"/>
  <c r="J43" i="57"/>
  <c r="K43" i="57"/>
  <c r="J42" i="57"/>
  <c r="K42" i="57"/>
  <c r="J44" i="57"/>
  <c r="K44" i="57"/>
  <c r="U17" i="56"/>
  <c r="J17" i="56"/>
  <c r="Z18" i="56"/>
  <c r="AA18" i="56" s="1"/>
  <c r="AB18" i="56" s="1"/>
  <c r="AC18" i="56" s="1"/>
  <c r="AD18" i="56" s="1"/>
  <c r="AE18" i="56" s="1"/>
  <c r="AF18" i="56" s="1"/>
  <c r="AG18" i="56" s="1"/>
  <c r="AH18" i="56" s="1"/>
  <c r="Q18" i="56"/>
  <c r="R18" i="56" s="1"/>
  <c r="S18" i="56" s="1"/>
  <c r="T18" i="56" s="1"/>
  <c r="V14" i="56"/>
  <c r="K14" i="56"/>
  <c r="V16" i="56"/>
  <c r="K16" i="56"/>
  <c r="V15" i="56"/>
  <c r="K15" i="56"/>
  <c r="W13" i="56"/>
  <c r="L13" i="56"/>
  <c r="AE67" i="56"/>
  <c r="K67" i="56" s="1"/>
  <c r="AD64" i="56"/>
  <c r="AH64" i="56" s="1"/>
  <c r="AF64" i="56"/>
  <c r="L64" i="56" s="1"/>
  <c r="AD65" i="56"/>
  <c r="AH65" i="56" s="1"/>
  <c r="AF65" i="56"/>
  <c r="L65" i="56" s="1"/>
  <c r="AD69" i="56"/>
  <c r="AE69" i="56" s="1"/>
  <c r="AF69" i="56"/>
  <c r="L69" i="56" s="1"/>
  <c r="AD71" i="56"/>
  <c r="AH71" i="56" s="1"/>
  <c r="AF71" i="56"/>
  <c r="L71" i="56" s="1"/>
  <c r="AD72" i="56"/>
  <c r="AH72" i="56" s="1"/>
  <c r="AF72" i="56"/>
  <c r="L72" i="56" s="1"/>
  <c r="AD63" i="56"/>
  <c r="AH63" i="56" s="1"/>
  <c r="AF63" i="56"/>
  <c r="L63" i="56" s="1"/>
  <c r="AD70" i="56"/>
  <c r="AE70" i="56" s="1"/>
  <c r="AF70" i="56"/>
  <c r="L70" i="56" s="1"/>
  <c r="AD66" i="56"/>
  <c r="AE66" i="56" s="1"/>
  <c r="AF66" i="56"/>
  <c r="L66" i="56" s="1"/>
  <c r="AD68" i="56"/>
  <c r="AE68" i="56" s="1"/>
  <c r="AF68" i="56"/>
  <c r="L68" i="56" s="1"/>
  <c r="R106" i="56"/>
  <c r="R109" i="56" s="1"/>
  <c r="Q109" i="56"/>
  <c r="Q108" i="56"/>
  <c r="Q107" i="56"/>
  <c r="AC72" i="56"/>
  <c r="AG72" i="56" s="1"/>
  <c r="W72" i="56"/>
  <c r="M72" i="56" s="1"/>
  <c r="AC64" i="56"/>
  <c r="AG64" i="56" s="1"/>
  <c r="W64" i="56"/>
  <c r="AC66" i="56"/>
  <c r="AG66" i="56" s="1"/>
  <c r="W66" i="56"/>
  <c r="M66" i="56" s="1"/>
  <c r="AC65" i="56"/>
  <c r="AG65" i="56" s="1"/>
  <c r="W65" i="56"/>
  <c r="M65" i="56" s="1"/>
  <c r="AC70" i="56"/>
  <c r="AG70" i="56" s="1"/>
  <c r="W70" i="56"/>
  <c r="M70" i="56" s="1"/>
  <c r="AC69" i="56"/>
  <c r="AG69" i="56" s="1"/>
  <c r="W69" i="56"/>
  <c r="AC63" i="56"/>
  <c r="AG63" i="56" s="1"/>
  <c r="W63" i="56"/>
  <c r="M63" i="56" s="1"/>
  <c r="AC71" i="56"/>
  <c r="AG71" i="56" s="1"/>
  <c r="W71" i="56"/>
  <c r="AC68" i="56"/>
  <c r="AG68" i="56" s="1"/>
  <c r="W68" i="56"/>
  <c r="M68" i="56" s="1"/>
  <c r="R199" i="57"/>
  <c r="G19" i="56"/>
  <c r="H19" i="56" s="1"/>
  <c r="I19" i="56" s="1"/>
  <c r="P19" i="56"/>
  <c r="F28" i="57"/>
  <c r="T31" i="57"/>
  <c r="H66" i="56"/>
  <c r="H71" i="56"/>
  <c r="H63" i="56"/>
  <c r="H68" i="56"/>
  <c r="H72" i="56"/>
  <c r="H69" i="56"/>
  <c r="G25" i="57"/>
  <c r="H64" i="56"/>
  <c r="H65" i="56"/>
  <c r="G26" i="57"/>
  <c r="G35" i="57"/>
  <c r="H70" i="56"/>
  <c r="G144" i="57"/>
  <c r="G36" i="57"/>
  <c r="G142" i="57"/>
  <c r="G55" i="57"/>
  <c r="G54" i="57"/>
  <c r="AE88" i="58" a="1"/>
  <c r="AE88" i="58" s="1"/>
  <c r="AE77" i="58" a="1"/>
  <c r="AE77" i="58" s="1"/>
  <c r="AE76" i="58" a="1"/>
  <c r="AE76" i="58" s="1"/>
  <c r="AE87" i="58" a="1"/>
  <c r="AE87" i="58" s="1"/>
  <c r="S198" i="57"/>
  <c r="I65" i="56"/>
  <c r="J65" i="56"/>
  <c r="X65" i="56"/>
  <c r="U65" i="56"/>
  <c r="X64" i="56"/>
  <c r="U64" i="56"/>
  <c r="X68" i="56"/>
  <c r="U68" i="56"/>
  <c r="J68" i="56"/>
  <c r="I66" i="56"/>
  <c r="X66" i="56"/>
  <c r="U66" i="56"/>
  <c r="J66" i="56"/>
  <c r="U69" i="56"/>
  <c r="X69" i="56"/>
  <c r="X70" i="56"/>
  <c r="U70" i="56"/>
  <c r="AB26" i="57"/>
  <c r="AB55" i="57" s="1"/>
  <c r="AB25" i="57"/>
  <c r="T134" i="57"/>
  <c r="I134" i="57"/>
  <c r="AA77" i="57"/>
  <c r="G77" i="57" s="1"/>
  <c r="R82" i="57"/>
  <c r="N67" i="56"/>
  <c r="X71" i="56"/>
  <c r="U71" i="56"/>
  <c r="X63" i="56"/>
  <c r="U63" i="56"/>
  <c r="U72" i="56"/>
  <c r="X72" i="56"/>
  <c r="AA107" i="57"/>
  <c r="G107" i="57" s="1"/>
  <c r="T133" i="57"/>
  <c r="L133" i="57" s="1"/>
  <c r="I133" i="57"/>
  <c r="AD36" i="57"/>
  <c r="AD142" i="57"/>
  <c r="AG38" i="57"/>
  <c r="AG37" i="57"/>
  <c r="AD144" i="57"/>
  <c r="AD35" i="57"/>
  <c r="G48" i="57"/>
  <c r="R48" i="57" s="1"/>
  <c r="AA97" i="57"/>
  <c r="G97" i="57" s="1"/>
  <c r="AG134" i="57"/>
  <c r="AD132" i="57"/>
  <c r="AB35" i="57"/>
  <c r="H35" i="57" s="1"/>
  <c r="S35" i="57"/>
  <c r="V35" i="57" s="1"/>
  <c r="AB101" i="57"/>
  <c r="H101" i="57" s="1"/>
  <c r="AA82" i="57"/>
  <c r="G82" i="57" s="1"/>
  <c r="G85" i="57" s="1"/>
  <c r="AB36" i="57"/>
  <c r="H36" i="57" s="1"/>
  <c r="S36" i="57"/>
  <c r="V36" i="57" s="1"/>
  <c r="W44" i="57"/>
  <c r="M44" i="57" s="1"/>
  <c r="AB86" i="57"/>
  <c r="H86" i="57" s="1"/>
  <c r="AB142" i="57"/>
  <c r="H142" i="57" s="1"/>
  <c r="S142" i="57"/>
  <c r="V142" i="57" s="1"/>
  <c r="AA81" i="57"/>
  <c r="G81" i="57" s="1"/>
  <c r="T38" i="57"/>
  <c r="L38" i="57" s="1"/>
  <c r="T143" i="57"/>
  <c r="L143" i="57" s="1"/>
  <c r="R77" i="57"/>
  <c r="AA93" i="57"/>
  <c r="G93" i="57" s="1"/>
  <c r="S144" i="57"/>
  <c r="V144" i="57" s="1"/>
  <c r="AB144" i="57"/>
  <c r="H144" i="57" s="1"/>
  <c r="T37" i="57"/>
  <c r="L37" i="57" s="1"/>
  <c r="AA75" i="57"/>
  <c r="G75" i="57" s="1"/>
  <c r="AA108" i="57"/>
  <c r="G108" i="57" s="1"/>
  <c r="R93" i="57"/>
  <c r="R107" i="57"/>
  <c r="R97" i="57"/>
  <c r="R108" i="57"/>
  <c r="W43" i="57"/>
  <c r="P216" i="57"/>
  <c r="P215" i="57"/>
  <c r="P217" i="57"/>
  <c r="Q214" i="57"/>
  <c r="T197" i="57" s="1"/>
  <c r="S196" i="57"/>
  <c r="T67" i="57"/>
  <c r="S69" i="57"/>
  <c r="W30" i="57"/>
  <c r="S70" i="57"/>
  <c r="S26" i="57"/>
  <c r="R81" i="57"/>
  <c r="R55" i="57"/>
  <c r="S25" i="57"/>
  <c r="V25" i="57" s="1"/>
  <c r="R75" i="57"/>
  <c r="W42" i="57"/>
  <c r="M42" i="57" s="1"/>
  <c r="T27" i="57"/>
  <c r="T41" i="57"/>
  <c r="L41" i="57" s="1"/>
  <c r="S68" i="57"/>
  <c r="W64" i="57"/>
  <c r="O218" i="57"/>
  <c r="AF8" i="58"/>
  <c r="AG67" i="58"/>
  <c r="AG104" i="58" s="1"/>
  <c r="AG22" i="58"/>
  <c r="AG25" i="58" s="1"/>
  <c r="AG12" i="58" a="1"/>
  <c r="AG12" i="58" s="1"/>
  <c r="AG11" i="58" s="1"/>
  <c r="AG7" i="58"/>
  <c r="AG6" i="58"/>
  <c r="AH4" i="58"/>
  <c r="AH3" i="58" s="1"/>
  <c r="AH10" i="58" s="1" a="1"/>
  <c r="AH10" i="58" s="1"/>
  <c r="AG5" i="58"/>
  <c r="N110" i="56"/>
  <c r="W231" i="57"/>
  <c r="O107" i="56"/>
  <c r="O108" i="56"/>
  <c r="P106" i="56"/>
  <c r="O109" i="56"/>
  <c r="W259" i="57"/>
  <c r="Y250" i="57"/>
  <c r="Y251" i="57"/>
  <c r="Y249" i="57"/>
  <c r="X230" i="57"/>
  <c r="X232" i="57"/>
  <c r="X228" i="57"/>
  <c r="X229" i="57"/>
  <c r="X252" i="57"/>
  <c r="AD31" i="57" l="1"/>
  <c r="L31" i="57" s="1"/>
  <c r="I71" i="56"/>
  <c r="J69" i="56"/>
  <c r="I69" i="56"/>
  <c r="M69" i="56"/>
  <c r="M43" i="57"/>
  <c r="I68" i="56"/>
  <c r="J71" i="56"/>
  <c r="J72" i="56"/>
  <c r="I72" i="56"/>
  <c r="AB54" i="57"/>
  <c r="H54" i="57" s="1"/>
  <c r="AC25" i="57"/>
  <c r="AD25" i="57" s="1"/>
  <c r="AE25" i="57" s="1"/>
  <c r="AG132" i="57"/>
  <c r="I63" i="56"/>
  <c r="J70" i="56"/>
  <c r="J63" i="56"/>
  <c r="I70" i="56"/>
  <c r="I64" i="56"/>
  <c r="J64" i="56"/>
  <c r="M71" i="56"/>
  <c r="M64" i="56"/>
  <c r="AH66" i="56"/>
  <c r="U101" i="57"/>
  <c r="U132" i="57"/>
  <c r="V107" i="57"/>
  <c r="V75" i="57"/>
  <c r="V93" i="57"/>
  <c r="V86" i="57"/>
  <c r="V101" i="57"/>
  <c r="V77" i="57"/>
  <c r="U26" i="57"/>
  <c r="U97" i="57" s="1"/>
  <c r="V26" i="57"/>
  <c r="V54" i="57"/>
  <c r="V132" i="57"/>
  <c r="U70" i="57"/>
  <c r="V70" i="57"/>
  <c r="U69" i="57"/>
  <c r="V69" i="57"/>
  <c r="V82" i="57"/>
  <c r="U68" i="57"/>
  <c r="V68" i="57"/>
  <c r="V198" i="57"/>
  <c r="V197" i="57"/>
  <c r="V196" i="57"/>
  <c r="T196" i="57"/>
  <c r="U197" i="57"/>
  <c r="U196" i="57"/>
  <c r="U198" i="57"/>
  <c r="I144" i="57"/>
  <c r="U144" i="57"/>
  <c r="I25" i="57"/>
  <c r="U25" i="57"/>
  <c r="I35" i="57"/>
  <c r="U35" i="57"/>
  <c r="S82" i="57"/>
  <c r="U36" i="57"/>
  <c r="U82" i="57" s="1"/>
  <c r="I142" i="57"/>
  <c r="U142" i="57"/>
  <c r="K134" i="57"/>
  <c r="L134" i="57"/>
  <c r="J37" i="57"/>
  <c r="K37" i="57"/>
  <c r="J41" i="57"/>
  <c r="K41" i="57"/>
  <c r="J143" i="57"/>
  <c r="K143" i="57"/>
  <c r="J38" i="57"/>
  <c r="K38" i="57"/>
  <c r="J133" i="57"/>
  <c r="K133" i="57"/>
  <c r="J31" i="57"/>
  <c r="K31" i="57"/>
  <c r="Z19" i="56"/>
  <c r="AA19" i="56" s="1"/>
  <c r="AB19" i="56" s="1"/>
  <c r="AC19" i="56" s="1"/>
  <c r="AD19" i="56" s="1"/>
  <c r="AE19" i="56" s="1"/>
  <c r="AF19" i="56" s="1"/>
  <c r="AG19" i="56" s="1"/>
  <c r="AH19" i="56" s="1"/>
  <c r="Q19" i="56"/>
  <c r="R19" i="56" s="1"/>
  <c r="S19" i="56" s="1"/>
  <c r="T19" i="56" s="1"/>
  <c r="W15" i="56"/>
  <c r="L15" i="56"/>
  <c r="X13" i="56"/>
  <c r="N13" i="56" s="1"/>
  <c r="M13" i="56"/>
  <c r="W16" i="56"/>
  <c r="L16" i="56"/>
  <c r="W14" i="56"/>
  <c r="L14" i="56"/>
  <c r="U18" i="56"/>
  <c r="J18" i="56"/>
  <c r="V17" i="56"/>
  <c r="K17" i="56"/>
  <c r="AE71" i="56"/>
  <c r="K71" i="56" s="1"/>
  <c r="AH69" i="56"/>
  <c r="N69" i="56" s="1"/>
  <c r="AE65" i="56"/>
  <c r="K65" i="56" s="1"/>
  <c r="AE63" i="56"/>
  <c r="K63" i="56" s="1"/>
  <c r="AE64" i="56"/>
  <c r="K64" i="56" s="1"/>
  <c r="AH70" i="56"/>
  <c r="N70" i="56" s="1"/>
  <c r="AH68" i="56"/>
  <c r="N68" i="56" s="1"/>
  <c r="R108" i="56"/>
  <c r="AE72" i="56"/>
  <c r="K72" i="56" s="1"/>
  <c r="R107" i="56"/>
  <c r="Q110" i="56"/>
  <c r="G20" i="56"/>
  <c r="H20" i="56" s="1"/>
  <c r="I20" i="56" s="1"/>
  <c r="P20" i="56"/>
  <c r="K66" i="56"/>
  <c r="N63" i="56"/>
  <c r="G28" i="57"/>
  <c r="W31" i="57"/>
  <c r="N71" i="56"/>
  <c r="N65" i="56"/>
  <c r="K70" i="56"/>
  <c r="N64" i="56"/>
  <c r="N66" i="56"/>
  <c r="N72" i="56"/>
  <c r="H25" i="57"/>
  <c r="K68" i="56"/>
  <c r="K69" i="56"/>
  <c r="H26" i="57"/>
  <c r="H55" i="57"/>
  <c r="AF87" i="58" a="1"/>
  <c r="AF87" i="58" s="1"/>
  <c r="AF88" i="58" a="1"/>
  <c r="AF88" i="58" s="1"/>
  <c r="AF77" i="58" a="1"/>
  <c r="AF77" i="58" s="1"/>
  <c r="AF76" i="58" a="1"/>
  <c r="AF76" i="58" s="1"/>
  <c r="AG8" i="58"/>
  <c r="S199" i="57"/>
  <c r="I36" i="57"/>
  <c r="AB82" i="57"/>
  <c r="H82" i="57" s="1"/>
  <c r="W133" i="57"/>
  <c r="M133" i="57" s="1"/>
  <c r="W134" i="57"/>
  <c r="M134" i="57" s="1"/>
  <c r="J134" i="57"/>
  <c r="AB107" i="57"/>
  <c r="H107" i="57" s="1"/>
  <c r="AG144" i="57"/>
  <c r="AG35" i="57"/>
  <c r="AG142" i="57"/>
  <c r="AB48" i="57"/>
  <c r="AC48" i="57" s="1"/>
  <c r="AG36" i="57"/>
  <c r="T142" i="57"/>
  <c r="L142" i="57" s="1"/>
  <c r="T35" i="57"/>
  <c r="L35" i="57" s="1"/>
  <c r="AB75" i="57"/>
  <c r="H75" i="57" s="1"/>
  <c r="AB93" i="57"/>
  <c r="H93" i="57" s="1"/>
  <c r="AB77" i="57"/>
  <c r="H77" i="57" s="1"/>
  <c r="S77" i="57"/>
  <c r="T144" i="57"/>
  <c r="L144" i="57" s="1"/>
  <c r="AB81" i="57"/>
  <c r="H81" i="57" s="1"/>
  <c r="W143" i="57"/>
  <c r="M143" i="57" s="1"/>
  <c r="T36" i="57"/>
  <c r="L36" i="57" s="1"/>
  <c r="W38" i="57"/>
  <c r="M38" i="57" s="1"/>
  <c r="AB108" i="57"/>
  <c r="H108" i="57" s="1"/>
  <c r="W37" i="57"/>
  <c r="M37" i="57" s="1"/>
  <c r="AB97" i="57"/>
  <c r="H97" i="57" s="1"/>
  <c r="Q216" i="57"/>
  <c r="T198" i="57"/>
  <c r="P218" i="57"/>
  <c r="Q217" i="57"/>
  <c r="R214" i="57"/>
  <c r="W196" i="57" s="1"/>
  <c r="Q215" i="57"/>
  <c r="T70" i="57"/>
  <c r="T68" i="57"/>
  <c r="T25" i="57"/>
  <c r="L25" i="57" s="1"/>
  <c r="T69" i="57"/>
  <c r="W41" i="57"/>
  <c r="M41" i="57" s="1"/>
  <c r="W27" i="57"/>
  <c r="T26" i="57"/>
  <c r="W67" i="57"/>
  <c r="AH22" i="58"/>
  <c r="AH25" i="58" s="1"/>
  <c r="AH5" i="58"/>
  <c r="AH67" i="58"/>
  <c r="AH104" i="58" s="1"/>
  <c r="AI4" i="58"/>
  <c r="AI3" i="58" s="1"/>
  <c r="AI10" i="58" s="1" a="1"/>
  <c r="AI10" i="58" s="1"/>
  <c r="AH6" i="58"/>
  <c r="AH12" i="58" a="1"/>
  <c r="AH12" i="58" s="1"/>
  <c r="AH11" i="58" s="1"/>
  <c r="AH7" i="58"/>
  <c r="X231" i="57"/>
  <c r="Y252" i="57"/>
  <c r="P109" i="56"/>
  <c r="P108" i="56"/>
  <c r="S106" i="56"/>
  <c r="P107" i="56"/>
  <c r="O110" i="56"/>
  <c r="Z251" i="57"/>
  <c r="Z249" i="57"/>
  <c r="X259" i="57"/>
  <c r="Y229" i="57"/>
  <c r="Z250" i="57"/>
  <c r="Y232" i="57"/>
  <c r="Y228" i="57"/>
  <c r="Y230" i="57"/>
  <c r="AG31" i="57" l="1"/>
  <c r="M31" i="57" s="1"/>
  <c r="U108" i="57"/>
  <c r="AF25" i="57"/>
  <c r="AE75" i="57"/>
  <c r="AE93" i="57"/>
  <c r="U81" i="57"/>
  <c r="T199" i="57"/>
  <c r="AC251" i="57"/>
  <c r="AC250" i="57"/>
  <c r="AC249" i="57"/>
  <c r="V108" i="57"/>
  <c r="V81" i="57"/>
  <c r="V97" i="57"/>
  <c r="V55" i="57"/>
  <c r="U55" i="57"/>
  <c r="V199" i="57"/>
  <c r="U93" i="57"/>
  <c r="U75" i="57"/>
  <c r="U107" i="57"/>
  <c r="U54" i="57"/>
  <c r="U199" i="57"/>
  <c r="AB251" i="57"/>
  <c r="AB250" i="57"/>
  <c r="AB249" i="57"/>
  <c r="U77" i="57"/>
  <c r="J142" i="57"/>
  <c r="K142" i="57"/>
  <c r="J144" i="57"/>
  <c r="K144" i="57"/>
  <c r="J35" i="57"/>
  <c r="K35" i="57"/>
  <c r="J25" i="57"/>
  <c r="K25" i="57"/>
  <c r="J36" i="57"/>
  <c r="K36" i="57"/>
  <c r="R110" i="56"/>
  <c r="X14" i="56"/>
  <c r="N14" i="56" s="1"/>
  <c r="M14" i="56"/>
  <c r="V18" i="56"/>
  <c r="K18" i="56"/>
  <c r="X16" i="56"/>
  <c r="N16" i="56" s="1"/>
  <c r="M16" i="56"/>
  <c r="Z20" i="56"/>
  <c r="AA20" i="56" s="1"/>
  <c r="AB20" i="56" s="1"/>
  <c r="AC20" i="56" s="1"/>
  <c r="AD20" i="56" s="1"/>
  <c r="AE20" i="56" s="1"/>
  <c r="AF20" i="56" s="1"/>
  <c r="AG20" i="56" s="1"/>
  <c r="AH20" i="56" s="1"/>
  <c r="Q20" i="56"/>
  <c r="R20" i="56" s="1"/>
  <c r="S20" i="56" s="1"/>
  <c r="T20" i="56" s="1"/>
  <c r="X15" i="56"/>
  <c r="N15" i="56" s="1"/>
  <c r="M15" i="56"/>
  <c r="U19" i="56"/>
  <c r="J19" i="56"/>
  <c r="W17" i="56"/>
  <c r="L17" i="56"/>
  <c r="G21" i="56"/>
  <c r="P21" i="56"/>
  <c r="G22" i="56"/>
  <c r="P22" i="56"/>
  <c r="H28" i="57"/>
  <c r="AG88" i="58" a="1"/>
  <c r="AG88" i="58" s="1"/>
  <c r="AG87" i="58" a="1"/>
  <c r="AG87" i="58" s="1"/>
  <c r="AG77" i="58" a="1"/>
  <c r="AG77" i="58" s="1"/>
  <c r="AG76" i="58" a="1"/>
  <c r="AG76" i="58" s="1"/>
  <c r="T77" i="57"/>
  <c r="H48" i="57"/>
  <c r="S48" i="57" s="1"/>
  <c r="I48" i="57" s="1"/>
  <c r="V48" i="57" s="1"/>
  <c r="R216" i="57"/>
  <c r="R217" i="57"/>
  <c r="W36" i="57"/>
  <c r="M36" i="57" s="1"/>
  <c r="T82" i="57"/>
  <c r="W35" i="57"/>
  <c r="M35" i="57" s="1"/>
  <c r="W142" i="57"/>
  <c r="M142" i="57" s="1"/>
  <c r="W144" i="57"/>
  <c r="M144" i="57" s="1"/>
  <c r="Q218" i="57"/>
  <c r="R215" i="57"/>
  <c r="S214" i="57"/>
  <c r="V214" i="57" s="1"/>
  <c r="W197" i="57"/>
  <c r="W198" i="57"/>
  <c r="W25" i="57"/>
  <c r="W26" i="57"/>
  <c r="W68" i="57"/>
  <c r="W70" i="57"/>
  <c r="W69" i="57"/>
  <c r="AI6" i="58"/>
  <c r="AI5" i="58"/>
  <c r="AI7" i="58"/>
  <c r="AI67" i="58"/>
  <c r="AI104" i="58" s="1"/>
  <c r="AI12" i="58" a="1"/>
  <c r="AI12" i="58" s="1"/>
  <c r="AI11" i="58" s="1"/>
  <c r="AJ4" i="58"/>
  <c r="AJ3" i="58" s="1"/>
  <c r="AJ10" i="58" s="1" a="1"/>
  <c r="AJ10" i="58" s="1"/>
  <c r="AI22" i="58"/>
  <c r="AI25" i="58" s="1"/>
  <c r="AH8" i="58"/>
  <c r="P110" i="56"/>
  <c r="AA250" i="57"/>
  <c r="AA249" i="57"/>
  <c r="AA251" i="57"/>
  <c r="Z232" i="57"/>
  <c r="Z228" i="57"/>
  <c r="Z230" i="57"/>
  <c r="Z229" i="57"/>
  <c r="Y259" i="57"/>
  <c r="Z252" i="57"/>
  <c r="S108" i="56"/>
  <c r="T106" i="56"/>
  <c r="S109" i="56"/>
  <c r="S107" i="56"/>
  <c r="Y231" i="57"/>
  <c r="AC252" i="57" l="1"/>
  <c r="AG25" i="57"/>
  <c r="AF93" i="57"/>
  <c r="AF75" i="57"/>
  <c r="M25" i="57"/>
  <c r="AB252" i="57"/>
  <c r="AC229" i="57"/>
  <c r="AC228" i="57"/>
  <c r="AC232" i="57"/>
  <c r="AC259" i="57" s="1"/>
  <c r="AC230" i="57"/>
  <c r="V217" i="57"/>
  <c r="V215" i="57"/>
  <c r="V216" i="57"/>
  <c r="T48" i="57"/>
  <c r="L48" i="57" s="1"/>
  <c r="U48" i="57"/>
  <c r="T214" i="57"/>
  <c r="Y196" i="57" s="1"/>
  <c r="U214" i="57"/>
  <c r="AB229" i="57"/>
  <c r="AB228" i="57"/>
  <c r="AB230" i="57"/>
  <c r="AB232" i="57"/>
  <c r="AB259" i="57" s="1"/>
  <c r="W199" i="57"/>
  <c r="U20" i="56"/>
  <c r="J20" i="56"/>
  <c r="V19" i="56"/>
  <c r="K19" i="56"/>
  <c r="Z21" i="56"/>
  <c r="AA21" i="56" s="1"/>
  <c r="AB21" i="56" s="1"/>
  <c r="AC21" i="56" s="1"/>
  <c r="AD21" i="56" s="1"/>
  <c r="AE21" i="56" s="1"/>
  <c r="AF21" i="56" s="1"/>
  <c r="AG21" i="56" s="1"/>
  <c r="AH21" i="56" s="1"/>
  <c r="Q21" i="56"/>
  <c r="R21" i="56" s="1"/>
  <c r="S21" i="56" s="1"/>
  <c r="T21" i="56" s="1"/>
  <c r="W18" i="56"/>
  <c r="L18" i="56"/>
  <c r="Z22" i="56"/>
  <c r="AA22" i="56" s="1"/>
  <c r="AB22" i="56" s="1"/>
  <c r="AC22" i="56" s="1"/>
  <c r="AD22" i="56" s="1"/>
  <c r="AE22" i="56" s="1"/>
  <c r="AF22" i="56" s="1"/>
  <c r="AG22" i="56" s="1"/>
  <c r="AH22" i="56" s="1"/>
  <c r="Q22" i="56"/>
  <c r="R22" i="56" s="1"/>
  <c r="S22" i="56" s="1"/>
  <c r="T22" i="56" s="1"/>
  <c r="U22" i="56" s="1"/>
  <c r="V22" i="56" s="1"/>
  <c r="X17" i="56"/>
  <c r="N17" i="56" s="1"/>
  <c r="M17" i="56"/>
  <c r="H21" i="56"/>
  <c r="I21" i="56" s="1"/>
  <c r="H22" i="56"/>
  <c r="I22" i="56" s="1"/>
  <c r="AH77" i="58" a="1"/>
  <c r="AH77" i="58" s="1"/>
  <c r="AH87" i="58" a="1"/>
  <c r="AH87" i="58" s="1"/>
  <c r="AH76" i="58" a="1"/>
  <c r="AH76" i="58" s="1"/>
  <c r="AH88" i="58" a="1"/>
  <c r="AH88" i="58" s="1"/>
  <c r="R218" i="57"/>
  <c r="W82" i="57"/>
  <c r="X197" i="57"/>
  <c r="X196" i="57"/>
  <c r="W77" i="57"/>
  <c r="S215" i="57"/>
  <c r="S216" i="57"/>
  <c r="S217" i="57"/>
  <c r="X198" i="57"/>
  <c r="AI8" i="58"/>
  <c r="AJ7" i="58"/>
  <c r="AK4" i="58"/>
  <c r="AK3" i="58" s="1"/>
  <c r="AK10" i="58" s="1" a="1"/>
  <c r="AK10" i="58" s="1"/>
  <c r="AJ67" i="58"/>
  <c r="AJ104" i="58" s="1"/>
  <c r="AJ6" i="58"/>
  <c r="AJ12" i="58" a="1"/>
  <c r="AJ12" i="58" s="1"/>
  <c r="AJ11" i="58" s="1"/>
  <c r="AJ5" i="58"/>
  <c r="AJ22" i="58"/>
  <c r="AJ25" i="58" s="1"/>
  <c r="S110" i="56"/>
  <c r="AA232" i="57"/>
  <c r="AD251" i="57"/>
  <c r="Z259" i="57"/>
  <c r="AA229" i="57"/>
  <c r="AA230" i="57"/>
  <c r="AD249" i="57"/>
  <c r="AD250" i="57"/>
  <c r="AA228" i="57"/>
  <c r="AA252" i="57"/>
  <c r="T108" i="56"/>
  <c r="U106" i="56"/>
  <c r="T109" i="56"/>
  <c r="T107" i="56"/>
  <c r="Z231" i="57"/>
  <c r="K48" i="57" l="1"/>
  <c r="J48" i="57"/>
  <c r="W48" i="57" s="1"/>
  <c r="M48" i="57" s="1"/>
  <c r="AC231" i="57"/>
  <c r="V218" i="57"/>
  <c r="AB231" i="57"/>
  <c r="T215" i="57"/>
  <c r="W214" i="57"/>
  <c r="Z198" i="57" s="1"/>
  <c r="Y198" i="57"/>
  <c r="T217" i="57"/>
  <c r="Y197" i="57"/>
  <c r="T216" i="57"/>
  <c r="U217" i="57"/>
  <c r="U216" i="57"/>
  <c r="U215" i="57"/>
  <c r="U21" i="56"/>
  <c r="J21" i="56"/>
  <c r="W19" i="56"/>
  <c r="L19" i="56"/>
  <c r="W22" i="56"/>
  <c r="L22" i="56"/>
  <c r="X18" i="56"/>
  <c r="N18" i="56" s="1"/>
  <c r="M18" i="56"/>
  <c r="V20" i="56"/>
  <c r="K20" i="56"/>
  <c r="X199" i="57"/>
  <c r="G23" i="56"/>
  <c r="H23" i="56" s="1"/>
  <c r="I23" i="56" s="1"/>
  <c r="P23" i="56"/>
  <c r="Q23" i="56" s="1"/>
  <c r="R23" i="56" s="1"/>
  <c r="S23" i="56" s="1"/>
  <c r="T23" i="56" s="1"/>
  <c r="U23" i="56" s="1"/>
  <c r="V23" i="56" s="1"/>
  <c r="AI88" i="58" a="1"/>
  <c r="AI88" i="58" s="1"/>
  <c r="AI87" i="58" a="1"/>
  <c r="AI87" i="58" s="1"/>
  <c r="AI77" i="58" a="1"/>
  <c r="AI77" i="58" s="1"/>
  <c r="AI76" i="58" a="1"/>
  <c r="AI76" i="58" s="1"/>
  <c r="S218" i="57"/>
  <c r="AK12" i="58" a="1"/>
  <c r="AK12" i="58" s="1"/>
  <c r="AK11" i="58" s="1"/>
  <c r="AK22" i="58"/>
  <c r="AK25" i="58" s="1"/>
  <c r="AK5" i="58"/>
  <c r="AK7" i="58"/>
  <c r="AK67" i="58"/>
  <c r="AK104" i="58" s="1"/>
  <c r="AL4" i="58"/>
  <c r="AL3" i="58" s="1"/>
  <c r="AL10" i="58" s="1" a="1"/>
  <c r="AL10" i="58" s="1"/>
  <c r="AK6" i="58"/>
  <c r="AJ8" i="58"/>
  <c r="J22" i="56"/>
  <c r="AA231" i="57"/>
  <c r="AD252" i="57"/>
  <c r="Z197" i="57"/>
  <c r="X214" i="57"/>
  <c r="W216" i="57"/>
  <c r="W215" i="57"/>
  <c r="W217" i="57"/>
  <c r="U109" i="56"/>
  <c r="U107" i="56"/>
  <c r="V106" i="56"/>
  <c r="U108" i="56"/>
  <c r="T110" i="56"/>
  <c r="AE249" i="57"/>
  <c r="AA259" i="57"/>
  <c r="AD228" i="57"/>
  <c r="AE250" i="57"/>
  <c r="AD230" i="57"/>
  <c r="AE251" i="57"/>
  <c r="AD232" i="57"/>
  <c r="AD229" i="57"/>
  <c r="Z196" i="57" l="1"/>
  <c r="Z199" i="57" s="1"/>
  <c r="U218" i="57"/>
  <c r="Y199" i="57"/>
  <c r="T218" i="57"/>
  <c r="X19" i="56"/>
  <c r="N19" i="56" s="1"/>
  <c r="M19" i="56"/>
  <c r="W20" i="56"/>
  <c r="L20" i="56"/>
  <c r="X22" i="56"/>
  <c r="N22" i="56" s="1"/>
  <c r="M22" i="56"/>
  <c r="W23" i="56"/>
  <c r="L23" i="56"/>
  <c r="V21" i="56"/>
  <c r="K21" i="56"/>
  <c r="V24" i="56"/>
  <c r="Z23" i="56"/>
  <c r="AA23" i="56" s="1"/>
  <c r="AB23" i="56" s="1"/>
  <c r="AC23" i="56" s="1"/>
  <c r="AD23" i="56" s="1"/>
  <c r="AE23" i="56" s="1"/>
  <c r="AF23" i="56" s="1"/>
  <c r="AG23" i="56" s="1"/>
  <c r="AH23" i="56" s="1"/>
  <c r="K23" i="56"/>
  <c r="AK8" i="58"/>
  <c r="AJ87" i="58" a="1"/>
  <c r="AJ87" i="58" s="1"/>
  <c r="AJ88" i="58" a="1"/>
  <c r="AJ88" i="58" s="1"/>
  <c r="AJ77" i="58" a="1"/>
  <c r="AJ77" i="58" s="1"/>
  <c r="AJ76" i="58" a="1"/>
  <c r="AJ76" i="58" s="1"/>
  <c r="K22" i="56"/>
  <c r="AL67" i="58"/>
  <c r="AL104" i="58" s="1"/>
  <c r="AL22" i="58"/>
  <c r="AL25" i="58" s="1"/>
  <c r="AL7" i="58"/>
  <c r="AL6" i="58"/>
  <c r="AL12" i="58" a="1"/>
  <c r="AL12" i="58" s="1"/>
  <c r="AL11" i="58" s="1"/>
  <c r="AL5" i="58"/>
  <c r="AM4" i="58"/>
  <c r="AM3" i="58" s="1"/>
  <c r="AM10" i="58" s="1" a="1"/>
  <c r="AM10" i="58" s="1"/>
  <c r="U110" i="56"/>
  <c r="W218" i="57"/>
  <c r="AA197" i="57"/>
  <c r="AA196" i="57"/>
  <c r="AE252" i="57"/>
  <c r="AA198" i="57"/>
  <c r="X215" i="57"/>
  <c r="X216" i="57"/>
  <c r="X217" i="57"/>
  <c r="Y214" i="57"/>
  <c r="AF251" i="57"/>
  <c r="AD259" i="57"/>
  <c r="AF250" i="57"/>
  <c r="AE232" i="57"/>
  <c r="AE229" i="57"/>
  <c r="AF249" i="57"/>
  <c r="AE230" i="57"/>
  <c r="AE228" i="57"/>
  <c r="AD231" i="57"/>
  <c r="V107" i="56"/>
  <c r="V108" i="56"/>
  <c r="W106" i="56"/>
  <c r="V109" i="56"/>
  <c r="AL8" i="58" l="1"/>
  <c r="X23" i="56"/>
  <c r="N23" i="56" s="1"/>
  <c r="M23" i="56"/>
  <c r="W21" i="56"/>
  <c r="L21" i="56"/>
  <c r="X20" i="56"/>
  <c r="N20" i="56" s="1"/>
  <c r="M20" i="56"/>
  <c r="W24" i="56"/>
  <c r="L24" i="56"/>
  <c r="G25" i="56"/>
  <c r="P25" i="56"/>
  <c r="Q25" i="56" s="1"/>
  <c r="R25" i="56" s="1"/>
  <c r="S25" i="56" s="1"/>
  <c r="T25" i="56" s="1"/>
  <c r="U25" i="56" s="1"/>
  <c r="V25" i="56" s="1"/>
  <c r="J23" i="56"/>
  <c r="AF24" i="56"/>
  <c r="AG24" i="56" s="1"/>
  <c r="AH24" i="56" s="1"/>
  <c r="K24" i="56"/>
  <c r="AK88" i="58" a="1"/>
  <c r="AK88" i="58" s="1"/>
  <c r="AL88" i="58" s="1" a="1"/>
  <c r="AL88" i="58" s="1"/>
  <c r="AK77" i="58" a="1"/>
  <c r="AK77" i="58" s="1"/>
  <c r="AL77" i="58" s="1" a="1"/>
  <c r="AL77" i="58" s="1"/>
  <c r="AK87" i="58" a="1"/>
  <c r="AK87" i="58" s="1"/>
  <c r="AL87" i="58" s="1" a="1"/>
  <c r="AL87" i="58" s="1"/>
  <c r="AK76" i="58" a="1"/>
  <c r="AK76" i="58" s="1"/>
  <c r="AL76" i="58" s="1" a="1"/>
  <c r="AL76" i="58" s="1"/>
  <c r="AM12" i="58" a="1"/>
  <c r="AM12" i="58" s="1"/>
  <c r="AM11" i="58" s="1"/>
  <c r="AN4" i="58"/>
  <c r="AN3" i="58" s="1"/>
  <c r="AN10" i="58" s="1" a="1"/>
  <c r="AN10" i="58" s="1"/>
  <c r="AM67" i="58"/>
  <c r="AM104" i="58" s="1"/>
  <c r="AM6" i="58"/>
  <c r="AM22" i="58"/>
  <c r="AM25" i="58" s="1"/>
  <c r="AM7" i="58"/>
  <c r="AM5" i="58"/>
  <c r="AE231" i="57"/>
  <c r="AB196" i="57"/>
  <c r="AB197" i="57"/>
  <c r="AF252" i="57"/>
  <c r="Y216" i="57"/>
  <c r="Y217" i="57"/>
  <c r="Y215" i="57"/>
  <c r="Z214" i="57"/>
  <c r="AB198" i="57"/>
  <c r="AA199" i="57"/>
  <c r="V110" i="56"/>
  <c r="AG249" i="57"/>
  <c r="AE259" i="57"/>
  <c r="AG250" i="57"/>
  <c r="AG251" i="57"/>
  <c r="AF230" i="57"/>
  <c r="AF229" i="57"/>
  <c r="AF228" i="57"/>
  <c r="AF232" i="57"/>
  <c r="X218" i="57"/>
  <c r="W108" i="56"/>
  <c r="W107" i="56"/>
  <c r="X106" i="56"/>
  <c r="AA106" i="56" s="1"/>
  <c r="W109" i="56"/>
  <c r="H25" i="56" l="1"/>
  <c r="X24" i="56"/>
  <c r="N24" i="56" s="1"/>
  <c r="M24" i="56"/>
  <c r="X21" i="56"/>
  <c r="N21" i="56" s="1"/>
  <c r="M21" i="56"/>
  <c r="W25" i="56"/>
  <c r="AA109" i="56"/>
  <c r="AA108" i="56"/>
  <c r="AA107" i="56"/>
  <c r="AM8" i="58"/>
  <c r="AM87" i="58" s="1" a="1"/>
  <c r="AM87" i="58" s="1"/>
  <c r="Z25" i="56"/>
  <c r="AA25" i="56" s="1"/>
  <c r="AB25" i="56" s="1"/>
  <c r="AC25" i="56" s="1"/>
  <c r="AD25" i="56" s="1"/>
  <c r="AE25" i="56" s="1"/>
  <c r="AF25" i="56" s="1"/>
  <c r="AG25" i="56" s="1"/>
  <c r="AH25" i="56" s="1"/>
  <c r="AN67" i="58"/>
  <c r="AN104" i="58" s="1"/>
  <c r="AN22" i="58"/>
  <c r="AN25" i="58" s="1"/>
  <c r="AN6" i="58"/>
  <c r="AN12" i="58" a="1"/>
  <c r="AN12" i="58" s="1"/>
  <c r="AN11" i="58" s="1"/>
  <c r="AN5" i="58"/>
  <c r="AO4" i="58"/>
  <c r="AO3" i="58" s="1"/>
  <c r="AN7" i="58"/>
  <c r="W110" i="56"/>
  <c r="AF231" i="57"/>
  <c r="Y218" i="57"/>
  <c r="AC196" i="57"/>
  <c r="AC197" i="57"/>
  <c r="AB199" i="57"/>
  <c r="Z215" i="57"/>
  <c r="Z217" i="57"/>
  <c r="AA214" i="57"/>
  <c r="AC198" i="57"/>
  <c r="Z216" i="57"/>
  <c r="AG252" i="57"/>
  <c r="AH251" i="57"/>
  <c r="AH250" i="57"/>
  <c r="AF259" i="57"/>
  <c r="AG228" i="57"/>
  <c r="AG230" i="57"/>
  <c r="AG229" i="57"/>
  <c r="AG232" i="57"/>
  <c r="AH249" i="57"/>
  <c r="X107" i="56"/>
  <c r="X108" i="56"/>
  <c r="Y106" i="56"/>
  <c r="AB106" i="56" s="1"/>
  <c r="X109" i="56"/>
  <c r="L25" i="56" l="1"/>
  <c r="AA110" i="56"/>
  <c r="X25" i="56"/>
  <c r="N25" i="56" s="1"/>
  <c r="M25" i="56"/>
  <c r="AB109" i="56"/>
  <c r="AB108" i="56"/>
  <c r="AB107" i="56"/>
  <c r="AM76" i="58" a="1"/>
  <c r="AM76" i="58" s="1"/>
  <c r="AM77" i="58" a="1"/>
  <c r="AM77" i="58" s="1"/>
  <c r="AM88" i="58" a="1"/>
  <c r="AM88" i="58" s="1"/>
  <c r="K25" i="56"/>
  <c r="AC199" i="57"/>
  <c r="AO67" i="58"/>
  <c r="AO104" i="58" s="1"/>
  <c r="AO12" i="58" a="1"/>
  <c r="AO12" i="58" s="1"/>
  <c r="AO11" i="58" s="1"/>
  <c r="AO6" i="58"/>
  <c r="AO5" i="58"/>
  <c r="AP4" i="58"/>
  <c r="AP3" i="58" s="1"/>
  <c r="AO22" i="58"/>
  <c r="AO25" i="58" s="1"/>
  <c r="AO7" i="58"/>
  <c r="AN8" i="58"/>
  <c r="Z218" i="57"/>
  <c r="AD197" i="57"/>
  <c r="AD196" i="57"/>
  <c r="AG231" i="57"/>
  <c r="AA217" i="57"/>
  <c r="AA216" i="57"/>
  <c r="AB214" i="57"/>
  <c r="AA215" i="57"/>
  <c r="AD198" i="57"/>
  <c r="Y109" i="56"/>
  <c r="Z106" i="56"/>
  <c r="Y107" i="56"/>
  <c r="Y108" i="56"/>
  <c r="X110" i="56"/>
  <c r="AH252" i="57"/>
  <c r="AI249" i="57"/>
  <c r="AG259" i="57"/>
  <c r="AI250" i="57"/>
  <c r="AH230" i="57"/>
  <c r="AH228" i="57"/>
  <c r="AH232" i="57"/>
  <c r="AH229" i="57"/>
  <c r="AI251" i="57"/>
  <c r="AG198" i="57" l="1"/>
  <c r="AG197" i="57"/>
  <c r="AG196" i="57"/>
  <c r="AF198" i="57"/>
  <c r="AF197" i="57"/>
  <c r="AF196" i="57"/>
  <c r="AB110" i="56"/>
  <c r="AN88" i="58" a="1"/>
  <c r="AN88" i="58" s="1"/>
  <c r="AN87" i="58" a="1"/>
  <c r="AN87" i="58" s="1"/>
  <c r="AN77" i="58" a="1"/>
  <c r="AN77" i="58" s="1"/>
  <c r="AN76" i="58" a="1"/>
  <c r="AN76" i="58" s="1"/>
  <c r="AO8" i="58"/>
  <c r="AP67" i="58"/>
  <c r="AP104" i="58" s="1"/>
  <c r="AP22" i="58"/>
  <c r="AP25" i="58" s="1"/>
  <c r="AP6" i="58"/>
  <c r="AP5" i="58"/>
  <c r="AP12" i="58" a="1"/>
  <c r="AP12" i="58" s="1"/>
  <c r="AP11" i="58" s="1"/>
  <c r="AQ4" i="58"/>
  <c r="AQ3" i="58" s="1"/>
  <c r="AP7" i="58"/>
  <c r="AD199" i="57"/>
  <c r="AA218" i="57"/>
  <c r="AE197" i="57"/>
  <c r="AE196" i="57"/>
  <c r="AH231" i="57"/>
  <c r="Y110" i="56"/>
  <c r="Z109" i="56"/>
  <c r="Z108" i="56"/>
  <c r="AC106" i="56"/>
  <c r="Z107" i="56"/>
  <c r="AB216" i="57"/>
  <c r="AE198" i="57"/>
  <c r="AB217" i="57"/>
  <c r="AC214" i="57"/>
  <c r="AB215" i="57"/>
  <c r="AJ249" i="57"/>
  <c r="AI228" i="57"/>
  <c r="AI232" i="57"/>
  <c r="AI229" i="57"/>
  <c r="AJ250" i="57"/>
  <c r="AI230" i="57"/>
  <c r="AJ251" i="57"/>
  <c r="AH259" i="57"/>
  <c r="AI252" i="57"/>
  <c r="AO76" i="58" l="1" a="1"/>
  <c r="AO76" i="58" s="1"/>
  <c r="AO77" i="58" a="1"/>
  <c r="AO77" i="58" s="1"/>
  <c r="AO88" i="58" a="1"/>
  <c r="AO88" i="58" s="1"/>
  <c r="AO87" i="58" a="1"/>
  <c r="AO87" i="58" s="1"/>
  <c r="AG199" i="57"/>
  <c r="AF199" i="57"/>
  <c r="AQ67" i="58"/>
  <c r="AQ104" i="58" s="1"/>
  <c r="AQ5" i="58"/>
  <c r="AQ7" i="58"/>
  <c r="AQ22" i="58"/>
  <c r="AQ25" i="58" s="1"/>
  <c r="AQ6" i="58"/>
  <c r="AQ12" i="58" a="1"/>
  <c r="AQ12" i="58" s="1"/>
  <c r="AQ11" i="58" s="1"/>
  <c r="AR4" i="58"/>
  <c r="AR3" i="58" s="1"/>
  <c r="AP8" i="58"/>
  <c r="AH196" i="57"/>
  <c r="AH197" i="57"/>
  <c r="AJ252" i="57"/>
  <c r="AB218" i="57"/>
  <c r="AE199" i="57"/>
  <c r="Z110" i="56"/>
  <c r="AI259" i="57"/>
  <c r="AK250" i="57"/>
  <c r="AK251" i="57"/>
  <c r="AJ230" i="57"/>
  <c r="AJ228" i="57"/>
  <c r="AJ232" i="57"/>
  <c r="AJ229" i="57"/>
  <c r="AK249" i="57"/>
  <c r="AC215" i="57"/>
  <c r="AC217" i="57"/>
  <c r="AD214" i="57"/>
  <c r="AG214" i="57" s="1"/>
  <c r="AH198" i="57"/>
  <c r="AC216" i="57"/>
  <c r="AI231" i="57"/>
  <c r="AD106" i="56"/>
  <c r="AC109" i="56"/>
  <c r="AC108" i="56"/>
  <c r="AC107" i="56"/>
  <c r="AP76" i="58" l="1" a="1"/>
  <c r="AP76" i="58" s="1"/>
  <c r="AP88" i="58" a="1"/>
  <c r="AP88" i="58" s="1"/>
  <c r="AP87" i="58" a="1"/>
  <c r="AP87" i="58" s="1"/>
  <c r="AP77" i="58" a="1"/>
  <c r="AP77" i="58" s="1"/>
  <c r="AN251" i="57"/>
  <c r="AN250" i="57"/>
  <c r="AN249" i="57"/>
  <c r="AG217" i="57"/>
  <c r="AG216" i="57"/>
  <c r="AG215" i="57"/>
  <c r="AM251" i="57"/>
  <c r="AM250" i="57"/>
  <c r="AM249" i="57"/>
  <c r="AI196" i="57"/>
  <c r="AF214" i="57"/>
  <c r="AI198" i="57"/>
  <c r="AI197" i="57"/>
  <c r="AR67" i="58"/>
  <c r="AR104" i="58" s="1"/>
  <c r="AR12" i="58" a="1"/>
  <c r="AR12" i="58" s="1"/>
  <c r="AR11" i="58" s="1"/>
  <c r="AR22" i="58"/>
  <c r="AR25" i="58" s="1"/>
  <c r="AR5" i="58"/>
  <c r="AR7" i="58"/>
  <c r="AS4" i="58"/>
  <c r="AS3" i="58" s="1"/>
  <c r="AS10" i="58" s="1" a="1"/>
  <c r="AS10" i="58" s="1"/>
  <c r="AR6" i="58"/>
  <c r="AQ8" i="58"/>
  <c r="AQ76" i="58" s="1" a="1"/>
  <c r="AQ76" i="58" s="1"/>
  <c r="AC110" i="56"/>
  <c r="AJ231" i="57"/>
  <c r="AC218" i="57"/>
  <c r="AD215" i="57"/>
  <c r="AD217" i="57"/>
  <c r="AE214" i="57"/>
  <c r="AD216" i="57"/>
  <c r="AK252" i="57"/>
  <c r="AL251" i="57"/>
  <c r="AL249" i="57"/>
  <c r="AL250" i="57"/>
  <c r="AK232" i="57"/>
  <c r="AK229" i="57"/>
  <c r="AK228" i="57"/>
  <c r="AJ259" i="57"/>
  <c r="AK230" i="57"/>
  <c r="AD107" i="56"/>
  <c r="AE106" i="56"/>
  <c r="AD108" i="56"/>
  <c r="AD109" i="56"/>
  <c r="AH199" i="57"/>
  <c r="AQ88" i="58" l="1" a="1"/>
  <c r="AQ88" i="58" s="1"/>
  <c r="AQ87" i="58" a="1"/>
  <c r="AQ87" i="58" s="1"/>
  <c r="AQ77" i="58" a="1"/>
  <c r="AQ77" i="58" s="1"/>
  <c r="AN252" i="57"/>
  <c r="AI199" i="57"/>
  <c r="AM252" i="57"/>
  <c r="AN229" i="57"/>
  <c r="AN228" i="57"/>
  <c r="AN232" i="57"/>
  <c r="AN259" i="57" s="1"/>
  <c r="AN230" i="57"/>
  <c r="AG218" i="57"/>
  <c r="AF215" i="57"/>
  <c r="AF217" i="57"/>
  <c r="AF216" i="57"/>
  <c r="AM229" i="57"/>
  <c r="AM232" i="57"/>
  <c r="AM259" i="57" s="1"/>
  <c r="AM230" i="57"/>
  <c r="AM228" i="57"/>
  <c r="AR8" i="58"/>
  <c r="AR76" i="58" s="1" a="1"/>
  <c r="AR76" i="58" s="1"/>
  <c r="AS67" i="58"/>
  <c r="AS104" i="58" s="1"/>
  <c r="AS22" i="58"/>
  <c r="AS25" i="58" s="1"/>
  <c r="AS12" i="58" a="1"/>
  <c r="AS12" i="58" s="1"/>
  <c r="AS11" i="58" s="1"/>
  <c r="AS7" i="58"/>
  <c r="AS5" i="58"/>
  <c r="AT4" i="58"/>
  <c r="AT3" i="58" s="1"/>
  <c r="AS6" i="58"/>
  <c r="AK231" i="57"/>
  <c r="AJ196" i="57"/>
  <c r="AJ197" i="57"/>
  <c r="AL252" i="57"/>
  <c r="AK259" i="57"/>
  <c r="AO250" i="57"/>
  <c r="AO251" i="57"/>
  <c r="AO249" i="57"/>
  <c r="AL230" i="57"/>
  <c r="AL228" i="57"/>
  <c r="AL232" i="57"/>
  <c r="AL229" i="57"/>
  <c r="AE107" i="56"/>
  <c r="AF106" i="56"/>
  <c r="AE109" i="56"/>
  <c r="AE108" i="56"/>
  <c r="AE217" i="57"/>
  <c r="AH214" i="57"/>
  <c r="AI214" i="57" s="1"/>
  <c r="AE216" i="57"/>
  <c r="AJ198" i="57"/>
  <c r="AE215" i="57"/>
  <c r="AD110" i="56"/>
  <c r="AD218" i="57"/>
  <c r="AR87" i="58" l="1" a="1"/>
  <c r="AR87" i="58" s="1"/>
  <c r="AR77" i="58" a="1"/>
  <c r="AR77" i="58" s="1"/>
  <c r="AR88" i="58" a="1"/>
  <c r="AR88" i="58" s="1"/>
  <c r="AM231" i="57"/>
  <c r="AF218" i="57"/>
  <c r="AN231" i="57"/>
  <c r="AI215" i="57"/>
  <c r="AI217" i="57"/>
  <c r="AI216" i="57"/>
  <c r="AP249" i="57"/>
  <c r="AP250" i="57"/>
  <c r="AP251" i="57"/>
  <c r="AT7" i="58"/>
  <c r="AT67" i="58"/>
  <c r="AT104" i="58" s="1"/>
  <c r="AT22" i="58"/>
  <c r="AT25" i="58" s="1"/>
  <c r="AT5" i="58"/>
  <c r="AT12" i="58" a="1"/>
  <c r="AT12" i="58" s="1"/>
  <c r="AT11" i="58" s="1"/>
  <c r="AU4" i="58"/>
  <c r="AU3" i="58" s="1"/>
  <c r="AT6" i="58"/>
  <c r="AS8" i="58"/>
  <c r="AS76" i="58" s="1" a="1"/>
  <c r="AS76" i="58" s="1"/>
  <c r="AO252" i="57"/>
  <c r="AK197" i="57"/>
  <c r="AK196" i="57"/>
  <c r="AO232" i="57"/>
  <c r="AO229" i="57"/>
  <c r="AL259" i="57"/>
  <c r="AO230" i="57"/>
  <c r="AO228" i="57"/>
  <c r="AL231" i="57"/>
  <c r="AF109" i="56"/>
  <c r="AG106" i="56"/>
  <c r="AF108" i="56"/>
  <c r="AF107" i="56"/>
  <c r="AE110" i="56"/>
  <c r="AE218" i="57"/>
  <c r="AH216" i="57"/>
  <c r="AK198" i="57"/>
  <c r="AH215" i="57"/>
  <c r="AH217" i="57"/>
  <c r="AJ199" i="57"/>
  <c r="AS88" i="58" l="1" a="1"/>
  <c r="AS88" i="58" s="1"/>
  <c r="AS87" i="58" a="1"/>
  <c r="AS87" i="58" s="1"/>
  <c r="AS77" i="58" a="1"/>
  <c r="AS77" i="58" s="1"/>
  <c r="AI218" i="57"/>
  <c r="AP252" i="57"/>
  <c r="AP229" i="57"/>
  <c r="AP230" i="57"/>
  <c r="AP228" i="57"/>
  <c r="AP232" i="57"/>
  <c r="AP259" i="57" s="1"/>
  <c r="AK199" i="57"/>
  <c r="AU67" i="58"/>
  <c r="AU104" i="58" s="1"/>
  <c r="AU5" i="58"/>
  <c r="AU12" i="58" a="1"/>
  <c r="AU12" i="58" s="1"/>
  <c r="AU11" i="58" s="1"/>
  <c r="AU6" i="58"/>
  <c r="AU7" i="58"/>
  <c r="AU22" i="58"/>
  <c r="AU25" i="58" s="1"/>
  <c r="AV4" i="58"/>
  <c r="AV3" i="58" s="1"/>
  <c r="AT8" i="58"/>
  <c r="AT76" i="58" s="1" a="1"/>
  <c r="AT76" i="58" s="1"/>
  <c r="AH218" i="57"/>
  <c r="AO231" i="57"/>
  <c r="AL196" i="57"/>
  <c r="AL197" i="57"/>
  <c r="AJ214" i="57"/>
  <c r="AL198" i="57"/>
  <c r="AF110" i="56"/>
  <c r="AQ250" i="57"/>
  <c r="AQ249" i="57"/>
  <c r="AO259" i="57"/>
  <c r="AQ251" i="57"/>
  <c r="AG108" i="56"/>
  <c r="AH106" i="56"/>
  <c r="AG109" i="56"/>
  <c r="AG107" i="56"/>
  <c r="AT77" i="58" l="1" a="1"/>
  <c r="AT77" i="58" s="1"/>
  <c r="AT88" i="58" a="1"/>
  <c r="AT88" i="58" s="1"/>
  <c r="AT87" i="58" a="1"/>
  <c r="AT87" i="58" s="1"/>
  <c r="AN198" i="57"/>
  <c r="AN197" i="57"/>
  <c r="AN196" i="57"/>
  <c r="AP231" i="57"/>
  <c r="AU8" i="58"/>
  <c r="AU76" i="58" s="1" a="1"/>
  <c r="AU76" i="58" s="1"/>
  <c r="AV22" i="58"/>
  <c r="AV25" i="58" s="1"/>
  <c r="AV12" i="58" a="1"/>
  <c r="AV12" i="58" s="1"/>
  <c r="AV11" i="58" s="1"/>
  <c r="AV7" i="58"/>
  <c r="AW4" i="58"/>
  <c r="AW3" i="58" s="1"/>
  <c r="AV6" i="58"/>
  <c r="AV67" i="58"/>
  <c r="AV104" i="58" s="1"/>
  <c r="AV5" i="58"/>
  <c r="AG110" i="56"/>
  <c r="AM196" i="57"/>
  <c r="AM197" i="57"/>
  <c r="AQ232" i="57"/>
  <c r="AR251" i="57"/>
  <c r="AR250" i="57"/>
  <c r="AR249" i="57"/>
  <c r="AQ229" i="57"/>
  <c r="AQ230" i="57"/>
  <c r="AQ228" i="57"/>
  <c r="AK214" i="57"/>
  <c r="AJ216" i="57"/>
  <c r="AM198" i="57"/>
  <c r="AJ215" i="57"/>
  <c r="AJ217" i="57"/>
  <c r="AQ252" i="57"/>
  <c r="AL199" i="57"/>
  <c r="AH107" i="56"/>
  <c r="AH108" i="56"/>
  <c r="AI106" i="56"/>
  <c r="AH109" i="56"/>
  <c r="AU87" i="58" l="1" a="1"/>
  <c r="AU87" i="58" s="1"/>
  <c r="AU88" i="58" a="1"/>
  <c r="AU88" i="58" s="1"/>
  <c r="AU77" i="58" a="1"/>
  <c r="AU77" i="58" s="1"/>
  <c r="AN199" i="57"/>
  <c r="AW12" i="58" a="1"/>
  <c r="AW12" i="58" s="1"/>
  <c r="AW11" i="58" s="1"/>
  <c r="AW5" i="58"/>
  <c r="AW7" i="58"/>
  <c r="AX4" i="58"/>
  <c r="AW67" i="58"/>
  <c r="AW104" i="58" s="1"/>
  <c r="AW22" i="58"/>
  <c r="AW25" i="58" s="1"/>
  <c r="AW6" i="58"/>
  <c r="AV8" i="58"/>
  <c r="AV76" i="58" s="1" a="1"/>
  <c r="AV76" i="58" s="1"/>
  <c r="AH110" i="56"/>
  <c r="AM199" i="57"/>
  <c r="AQ231" i="57"/>
  <c r="AO196" i="57"/>
  <c r="AO197" i="57"/>
  <c r="AL214" i="57"/>
  <c r="AN214" i="57" s="1"/>
  <c r="AK217" i="57"/>
  <c r="AK215" i="57"/>
  <c r="AK216" i="57"/>
  <c r="AO198" i="57"/>
  <c r="AI109" i="56"/>
  <c r="AI108" i="56"/>
  <c r="AJ106" i="56"/>
  <c r="AI107" i="56"/>
  <c r="AR252" i="57"/>
  <c r="AJ218" i="57"/>
  <c r="AS249" i="57"/>
  <c r="AQ259" i="57"/>
  <c r="AR228" i="57"/>
  <c r="AR232" i="57"/>
  <c r="AS251" i="57"/>
  <c r="AR230" i="57"/>
  <c r="AS250" i="57"/>
  <c r="AR229" i="57"/>
  <c r="AV77" i="58" l="1" a="1"/>
  <c r="AV77" i="58" s="1"/>
  <c r="AV88" i="58" a="1"/>
  <c r="AV88" i="58" s="1"/>
  <c r="AV87" i="58" a="1"/>
  <c r="AV87" i="58" s="1"/>
  <c r="AU251" i="57"/>
  <c r="AU250" i="57"/>
  <c r="AU249" i="57"/>
  <c r="AN217" i="57"/>
  <c r="AN216" i="57"/>
  <c r="AN215" i="57"/>
  <c r="AP197" i="57"/>
  <c r="AP198" i="57"/>
  <c r="AP196" i="57"/>
  <c r="AX3" i="58"/>
  <c r="AX10" i="58" s="1" a="1"/>
  <c r="AX10" i="58" s="1"/>
  <c r="AY4" i="58"/>
  <c r="AW8" i="58"/>
  <c r="AW76" i="58" s="1" a="1"/>
  <c r="AW76" i="58" s="1"/>
  <c r="AX7" i="58"/>
  <c r="AX6" i="58"/>
  <c r="AX67" i="58"/>
  <c r="AX104" i="58" s="1"/>
  <c r="AX22" i="58"/>
  <c r="AX25" i="58" s="1"/>
  <c r="AX12" i="58" a="1"/>
  <c r="AX12" i="58" s="1"/>
  <c r="AX11" i="58" s="1"/>
  <c r="AX5" i="58"/>
  <c r="AK218" i="57"/>
  <c r="AQ197" i="57"/>
  <c r="AQ196" i="57"/>
  <c r="AS232" i="57"/>
  <c r="AT251" i="57"/>
  <c r="AR259" i="57"/>
  <c r="AT250" i="57"/>
  <c r="AS229" i="57"/>
  <c r="AS230" i="57"/>
  <c r="AT249" i="57"/>
  <c r="AS228" i="57"/>
  <c r="AR231" i="57"/>
  <c r="AI110" i="56"/>
  <c r="AJ107" i="56"/>
  <c r="AJ109" i="56"/>
  <c r="AK106" i="56"/>
  <c r="AJ108" i="56"/>
  <c r="AO199" i="57"/>
  <c r="AS252" i="57"/>
  <c r="AL217" i="57"/>
  <c r="AL216" i="57"/>
  <c r="AQ198" i="57"/>
  <c r="AL215" i="57"/>
  <c r="AM214" i="57"/>
  <c r="AW87" i="58" l="1" a="1"/>
  <c r="AW87" i="58" s="1"/>
  <c r="AY7" i="58"/>
  <c r="AY6" i="58"/>
  <c r="AY5" i="58"/>
  <c r="AY67" i="58"/>
  <c r="AY104" i="58" s="1"/>
  <c r="AW88" i="58" a="1"/>
  <c r="AW88" i="58" s="1"/>
  <c r="AW77" i="58" a="1"/>
  <c r="AW77" i="58" s="1"/>
  <c r="AN218" i="57"/>
  <c r="AU252" i="57"/>
  <c r="AP199" i="57"/>
  <c r="AU229" i="57"/>
  <c r="AU228" i="57"/>
  <c r="AU232" i="57"/>
  <c r="AU259" i="57" s="1"/>
  <c r="AU230" i="57"/>
  <c r="AY22" i="58"/>
  <c r="AY25" i="58" s="1"/>
  <c r="AY12" i="58" a="1"/>
  <c r="AY12" i="58" s="1"/>
  <c r="AY11" i="58" s="1"/>
  <c r="AY3" i="58"/>
  <c r="AZ4" i="58"/>
  <c r="AX8" i="58"/>
  <c r="AX76" i="58" s="1" a="1"/>
  <c r="AX76" i="58" s="1"/>
  <c r="AT10" i="58"/>
  <c r="AJ110" i="56"/>
  <c r="AL218" i="57"/>
  <c r="AR196" i="57"/>
  <c r="AR197" i="57"/>
  <c r="AM216" i="57"/>
  <c r="AR198" i="57"/>
  <c r="AO214" i="57"/>
  <c r="AP214" i="57" s="1"/>
  <c r="AM215" i="57"/>
  <c r="AM217" i="57"/>
  <c r="AQ199" i="57"/>
  <c r="AK108" i="56"/>
  <c r="AK109" i="56"/>
  <c r="AK107" i="56"/>
  <c r="AL106" i="56"/>
  <c r="AV249" i="57"/>
  <c r="AS259" i="57"/>
  <c r="AV250" i="57"/>
  <c r="AT230" i="57"/>
  <c r="AV251" i="57"/>
  <c r="AT229" i="57"/>
  <c r="AT232" i="57"/>
  <c r="AT228" i="57"/>
  <c r="AS231" i="57"/>
  <c r="AT252" i="57"/>
  <c r="AY8" i="58" l="1"/>
  <c r="AY76" i="58" s="1" a="1"/>
  <c r="AY76" i="58" s="1"/>
  <c r="AX88" i="58" a="1"/>
  <c r="AX88" i="58" s="1"/>
  <c r="AX87" i="58" a="1"/>
  <c r="AX87" i="58" s="1"/>
  <c r="AY87" i="58" s="1" a="1"/>
  <c r="AY87" i="58" s="1"/>
  <c r="AX77" i="58" a="1"/>
  <c r="AX77" i="58" s="1"/>
  <c r="AY77" i="58" s="1" a="1"/>
  <c r="AY77" i="58" s="1"/>
  <c r="AZ6" i="58"/>
  <c r="AZ67" i="58"/>
  <c r="AZ104" i="58" s="1"/>
  <c r="AZ5" i="58"/>
  <c r="AZ7" i="58"/>
  <c r="AU231" i="57"/>
  <c r="AP217" i="57"/>
  <c r="AP215" i="57"/>
  <c r="AP216" i="57"/>
  <c r="AW251" i="57"/>
  <c r="AW250" i="57"/>
  <c r="AW249" i="57"/>
  <c r="AZ22" i="58"/>
  <c r="AZ25" i="58" s="1"/>
  <c r="AZ3" i="58"/>
  <c r="BA4" i="58"/>
  <c r="AZ12" i="58" a="1"/>
  <c r="AZ12" i="58" s="1"/>
  <c r="AZ11" i="58" s="1"/>
  <c r="AU10" i="58"/>
  <c r="AR199" i="57"/>
  <c r="AS197" i="57"/>
  <c r="AS196" i="57"/>
  <c r="AV252" i="57"/>
  <c r="AL107" i="56"/>
  <c r="AL108" i="56"/>
  <c r="AM106" i="56"/>
  <c r="AL109" i="56"/>
  <c r="AK110" i="56"/>
  <c r="AT231" i="57"/>
  <c r="AX251" i="57"/>
  <c r="AX250" i="57"/>
  <c r="AV232" i="57"/>
  <c r="AT259" i="57"/>
  <c r="AV228" i="57"/>
  <c r="AX249" i="57"/>
  <c r="AV229" i="57"/>
  <c r="AV230" i="57"/>
  <c r="AM218" i="57"/>
  <c r="AO215" i="57"/>
  <c r="AQ214" i="57"/>
  <c r="AO217" i="57"/>
  <c r="AS198" i="57"/>
  <c r="AO216" i="57"/>
  <c r="BA7" i="58" l="1"/>
  <c r="BA6" i="58"/>
  <c r="BA67" i="58"/>
  <c r="BA104" i="58" s="1"/>
  <c r="BA5" i="58"/>
  <c r="BA8" i="58" s="1"/>
  <c r="AZ8" i="58"/>
  <c r="AZ76" i="58" s="1" a="1"/>
  <c r="AZ76" i="58" s="1"/>
  <c r="AY88" i="58" a="1"/>
  <c r="AY88" i="58" s="1"/>
  <c r="AZ88" i="58" s="1" a="1"/>
  <c r="AZ88" i="58" s="1"/>
  <c r="BA88" i="58" s="1" a="1"/>
  <c r="BA88" i="58" s="1"/>
  <c r="AW252" i="57"/>
  <c r="AP218" i="57"/>
  <c r="AW229" i="57"/>
  <c r="AW228" i="57"/>
  <c r="AW232" i="57"/>
  <c r="AW259" i="57" s="1"/>
  <c r="AW230" i="57"/>
  <c r="BB4" i="58"/>
  <c r="BA3" i="58"/>
  <c r="BA12" i="58" a="1"/>
  <c r="BA12" i="58" s="1"/>
  <c r="BA11" i="58" s="1"/>
  <c r="BA22" i="58"/>
  <c r="BA25" i="58" s="1"/>
  <c r="AV10" i="58"/>
  <c r="AS199" i="57"/>
  <c r="AL110" i="56"/>
  <c r="AT197" i="57"/>
  <c r="AT196" i="57"/>
  <c r="AV231" i="57"/>
  <c r="AQ217" i="57"/>
  <c r="AQ216" i="57"/>
  <c r="AQ215" i="57"/>
  <c r="AT198" i="57"/>
  <c r="AM108" i="56"/>
  <c r="AN106" i="56"/>
  <c r="AM109" i="56"/>
  <c r="AM107" i="56"/>
  <c r="AX252" i="57"/>
  <c r="AO218" i="57"/>
  <c r="AY249" i="57"/>
  <c r="AV259" i="57"/>
  <c r="AY250" i="57"/>
  <c r="AX230" i="57"/>
  <c r="AY251" i="57"/>
  <c r="AX228" i="57"/>
  <c r="AX229" i="57"/>
  <c r="AX232" i="57"/>
  <c r="BA76" i="58" l="1" a="1"/>
  <c r="BA76" i="58" s="1"/>
  <c r="AZ87" i="58" a="1"/>
  <c r="AZ87" i="58" s="1"/>
  <c r="BA87" i="58" s="1" a="1"/>
  <c r="BA87" i="58" s="1"/>
  <c r="AZ77" i="58" a="1"/>
  <c r="AZ77" i="58" s="1"/>
  <c r="BA77" i="58" s="1" a="1"/>
  <c r="BA77" i="58" s="1"/>
  <c r="BB7" i="58"/>
  <c r="BB6" i="58"/>
  <c r="BB67" i="58"/>
  <c r="BB104" i="58" s="1"/>
  <c r="BB5" i="58"/>
  <c r="AW231" i="57"/>
  <c r="BB12" i="58" a="1"/>
  <c r="BB12" i="58" s="1"/>
  <c r="BB11" i="58" s="1"/>
  <c r="BB3" i="58"/>
  <c r="BC4" i="58"/>
  <c r="BB22" i="58"/>
  <c r="BB25" i="58" s="1"/>
  <c r="AW10" i="58"/>
  <c r="AT199" i="57"/>
  <c r="AQ218" i="57"/>
  <c r="AY252" i="57"/>
  <c r="AM110" i="56"/>
  <c r="AX259" i="57"/>
  <c r="AY228" i="57"/>
  <c r="AY229" i="57"/>
  <c r="AZ249" i="57"/>
  <c r="AY230" i="57"/>
  <c r="AY232" i="57"/>
  <c r="AZ251" i="57"/>
  <c r="AZ250" i="57"/>
  <c r="AN109" i="56"/>
  <c r="AN108" i="56"/>
  <c r="AO106" i="56"/>
  <c r="AN107" i="56"/>
  <c r="AX231" i="57"/>
  <c r="BB8" i="58" l="1"/>
  <c r="BB76" i="58" s="1" a="1"/>
  <c r="BB76" i="58" s="1"/>
  <c r="BC5" i="58"/>
  <c r="BC6" i="58"/>
  <c r="BC67" i="58"/>
  <c r="BC104" i="58" s="1"/>
  <c r="BC7" i="58"/>
  <c r="BB77" i="58" a="1"/>
  <c r="BB77" i="58" s="1"/>
  <c r="BB88" i="58" a="1"/>
  <c r="BB88" i="58" s="1"/>
  <c r="BC12" i="58" a="1"/>
  <c r="BC12" i="58" s="1"/>
  <c r="BC11" i="58" s="1"/>
  <c r="BC3" i="58"/>
  <c r="BC22" i="58"/>
  <c r="BC25" i="58" s="1"/>
  <c r="BD4" i="58"/>
  <c r="AN110" i="56"/>
  <c r="AY231" i="57"/>
  <c r="AO107" i="56"/>
  <c r="AP106" i="56"/>
  <c r="AO108" i="56"/>
  <c r="AO109" i="56"/>
  <c r="AY259" i="57"/>
  <c r="BA250" i="57"/>
  <c r="BA251" i="57"/>
  <c r="AZ230" i="57"/>
  <c r="AZ228" i="57"/>
  <c r="AZ229" i="57"/>
  <c r="BA249" i="57"/>
  <c r="AZ232" i="57"/>
  <c r="AZ252" i="57"/>
  <c r="BB87" i="58" l="1" a="1"/>
  <c r="BB87" i="58" s="1"/>
  <c r="BD5" i="58"/>
  <c r="BD6" i="58"/>
  <c r="BD67" i="58"/>
  <c r="BD104" i="58" s="1"/>
  <c r="BD7" i="58"/>
  <c r="BC8" i="58"/>
  <c r="BC76" i="58" s="1" a="1"/>
  <c r="BC76" i="58" s="1"/>
  <c r="BD12" i="58" a="1"/>
  <c r="BD12" i="58" s="1"/>
  <c r="BD11" i="58" s="1"/>
  <c r="BD3" i="58"/>
  <c r="BD22" i="58"/>
  <c r="BD25" i="58" s="1"/>
  <c r="BE4" i="58"/>
  <c r="AO110" i="56"/>
  <c r="BA252" i="57"/>
  <c r="AZ231" i="57"/>
  <c r="BB251" i="57"/>
  <c r="BB249" i="57"/>
  <c r="BA229" i="57"/>
  <c r="BA232" i="57"/>
  <c r="BB250" i="57"/>
  <c r="BA228" i="57"/>
  <c r="AZ259" i="57"/>
  <c r="BA230" i="57"/>
  <c r="AP108" i="56"/>
  <c r="AQ106" i="56"/>
  <c r="AP109" i="56"/>
  <c r="AP107" i="56"/>
  <c r="BD8" i="58" l="1"/>
  <c r="BD76" i="58" s="1" a="1"/>
  <c r="BD76" i="58" s="1"/>
  <c r="BC87" i="58" a="1"/>
  <c r="BC87" i="58" s="1"/>
  <c r="BD87" i="58" s="1" a="1"/>
  <c r="BD87" i="58" s="1"/>
  <c r="BC77" i="58" a="1"/>
  <c r="BC77" i="58" s="1"/>
  <c r="BD77" i="58" s="1" a="1"/>
  <c r="BD77" i="58" s="1"/>
  <c r="BC88" i="58" a="1"/>
  <c r="BC88" i="58" s="1"/>
  <c r="BD88" i="58" s="1" a="1"/>
  <c r="BD88" i="58" s="1"/>
  <c r="BE5" i="58"/>
  <c r="BE7" i="58"/>
  <c r="BE6" i="58"/>
  <c r="BE67" i="58"/>
  <c r="BE104" i="58" s="1"/>
  <c r="BE12" i="58" a="1"/>
  <c r="BE12" i="58" s="1"/>
  <c r="BE11" i="58" s="1"/>
  <c r="BE3" i="58"/>
  <c r="BF4" i="58"/>
  <c r="BE22" i="58"/>
  <c r="BE25" i="58" s="1"/>
  <c r="AP110" i="56"/>
  <c r="BB252" i="57"/>
  <c r="BA231" i="57"/>
  <c r="AQ107" i="56"/>
  <c r="AQ108" i="56"/>
  <c r="AQ109" i="56"/>
  <c r="AR106" i="56"/>
  <c r="BA259" i="57"/>
  <c r="BC250" i="57"/>
  <c r="BC251" i="57"/>
  <c r="BC249" i="57"/>
  <c r="BB230" i="57"/>
  <c r="BB228" i="57"/>
  <c r="BB232" i="57"/>
  <c r="BB229" i="57"/>
  <c r="BE8" i="58" l="1"/>
  <c r="BE76" i="58" s="1" a="1"/>
  <c r="BE76" i="58" s="1"/>
  <c r="BF5" i="58"/>
  <c r="BF7" i="58"/>
  <c r="BF6" i="58"/>
  <c r="BF67" i="58"/>
  <c r="BF104" i="58" s="1"/>
  <c r="BE77" i="58" a="1"/>
  <c r="BE77" i="58" s="1"/>
  <c r="BE87" i="58" a="1"/>
  <c r="BE87" i="58" s="1"/>
  <c r="BF12" i="58" a="1"/>
  <c r="BF12" i="58" s="1"/>
  <c r="BF11" i="58" s="1"/>
  <c r="BF3" i="58"/>
  <c r="BG4" i="58"/>
  <c r="BF22" i="58"/>
  <c r="BF25" i="58" s="1"/>
  <c r="AQ110" i="56"/>
  <c r="BB231" i="57"/>
  <c r="BC252" i="57"/>
  <c r="AR109" i="56"/>
  <c r="AS106" i="56"/>
  <c r="AR107" i="56"/>
  <c r="AR108" i="56"/>
  <c r="BD251" i="57"/>
  <c r="BD249" i="57"/>
  <c r="BB259" i="57"/>
  <c r="BC229" i="57"/>
  <c r="BC232" i="57"/>
  <c r="BD250" i="57"/>
  <c r="BC228" i="57"/>
  <c r="BC230" i="57"/>
  <c r="BE88" i="58" l="1" a="1"/>
  <c r="BE88" i="58" s="1"/>
  <c r="BG6" i="58"/>
  <c r="BG67" i="58"/>
  <c r="BG104" i="58" s="1"/>
  <c r="BG5" i="58"/>
  <c r="BG7" i="58"/>
  <c r="BF8" i="58"/>
  <c r="BF76" i="58" s="1" a="1"/>
  <c r="BF76" i="58" s="1"/>
  <c r="BG12" i="58" a="1"/>
  <c r="BG12" i="58" s="1"/>
  <c r="BG11" i="58" s="1"/>
  <c r="BG3" i="58"/>
  <c r="BH4" i="58"/>
  <c r="BG22" i="58"/>
  <c r="BG25" i="58" s="1"/>
  <c r="BC231" i="57"/>
  <c r="BD228" i="57"/>
  <c r="BC259" i="57"/>
  <c r="BD232" i="57"/>
  <c r="BD230" i="57"/>
  <c r="BD229" i="57"/>
  <c r="BD252" i="57"/>
  <c r="AR110" i="56"/>
  <c r="AS108" i="56"/>
  <c r="AT106" i="56"/>
  <c r="AS109" i="56"/>
  <c r="AS107" i="56"/>
  <c r="BF88" i="58" l="1" a="1"/>
  <c r="BF88" i="58" s="1"/>
  <c r="BF87" i="58" a="1"/>
  <c r="BF87" i="58" s="1"/>
  <c r="BH6" i="58"/>
  <c r="BH5" i="58"/>
  <c r="BH7" i="58"/>
  <c r="BH67" i="58"/>
  <c r="BH104" i="58" s="1"/>
  <c r="BF77" i="58" a="1"/>
  <c r="BF77" i="58" s="1"/>
  <c r="BG8" i="58"/>
  <c r="BH12" i="58" a="1"/>
  <c r="BH12" i="58" s="1"/>
  <c r="BH11" i="58" s="1"/>
  <c r="BH3" i="58"/>
  <c r="BH10" i="58" s="1" a="1"/>
  <c r="BH10" i="58" s="1"/>
  <c r="BH22" i="58"/>
  <c r="BH25" i="58" s="1"/>
  <c r="BI4" i="58"/>
  <c r="AS110" i="56"/>
  <c r="AT109" i="56"/>
  <c r="AT107" i="56"/>
  <c r="AT108" i="56"/>
  <c r="AU106" i="56"/>
  <c r="BE232" i="57"/>
  <c r="BD259" i="57"/>
  <c r="BE229" i="57"/>
  <c r="BE230" i="57"/>
  <c r="BE228" i="57"/>
  <c r="BE250" i="57"/>
  <c r="BE249" i="57"/>
  <c r="BE251" i="57"/>
  <c r="BD231" i="57"/>
  <c r="BG87" i="58" l="1" a="1"/>
  <c r="BG87" i="58" s="1"/>
  <c r="BG77" i="58" a="1"/>
  <c r="BG77" i="58" s="1"/>
  <c r="BH8" i="58"/>
  <c r="BG76" i="58" a="1"/>
  <c r="BG76" i="58" s="1"/>
  <c r="BH76" i="58" s="1" a="1"/>
  <c r="BH76" i="58" s="1"/>
  <c r="BG88" i="58" a="1"/>
  <c r="BG88" i="58" s="1"/>
  <c r="BH88" i="58" s="1" a="1"/>
  <c r="BH88" i="58" s="1"/>
  <c r="BI6" i="58"/>
  <c r="BI67" i="58"/>
  <c r="BI104" i="58" s="1"/>
  <c r="BI5" i="58"/>
  <c r="BI7" i="58"/>
  <c r="BI3" i="58"/>
  <c r="BI12" i="58" a="1"/>
  <c r="BI12" i="58" s="1"/>
  <c r="BI11" i="58" s="1"/>
  <c r="BJ4" i="58"/>
  <c r="BI22" i="58"/>
  <c r="BI25" i="58" s="1"/>
  <c r="AY10" i="58"/>
  <c r="AZ10" i="58" s="1"/>
  <c r="BE231" i="57"/>
  <c r="BF251" i="57"/>
  <c r="BE259" i="57"/>
  <c r="BF250" i="57"/>
  <c r="BF249" i="57"/>
  <c r="BE252" i="57"/>
  <c r="BF228" i="57"/>
  <c r="BF232" i="57"/>
  <c r="BF230" i="57"/>
  <c r="BF229" i="57"/>
  <c r="AU109" i="56"/>
  <c r="AV106" i="56"/>
  <c r="AU107" i="56"/>
  <c r="AU108" i="56"/>
  <c r="AT110" i="56"/>
  <c r="BH87" i="58" l="1" a="1"/>
  <c r="BH87" i="58" s="1"/>
  <c r="BH77" i="58" a="1"/>
  <c r="BH77" i="58" s="1"/>
  <c r="BJ6" i="58"/>
  <c r="BJ67" i="58"/>
  <c r="BJ104" i="58" s="1"/>
  <c r="BJ5" i="58"/>
  <c r="BJ7" i="58"/>
  <c r="BI8" i="58"/>
  <c r="BA10" i="58"/>
  <c r="BB10" i="58" s="1"/>
  <c r="BC10" i="58" s="1"/>
  <c r="BD10" i="58" s="1"/>
  <c r="BE10" i="58" s="1"/>
  <c r="BF10" i="58" s="1"/>
  <c r="BG10" i="58" s="1"/>
  <c r="BJ12" i="58" a="1"/>
  <c r="BJ12" i="58" s="1"/>
  <c r="BJ11" i="58" s="1"/>
  <c r="BJ3" i="58"/>
  <c r="BK4" i="58"/>
  <c r="BJ22" i="58"/>
  <c r="BJ25" i="58" s="1"/>
  <c r="BF252" i="57"/>
  <c r="BG249" i="57"/>
  <c r="BF259" i="57"/>
  <c r="BG250" i="57"/>
  <c r="BG251" i="57"/>
  <c r="AU110" i="56"/>
  <c r="AV107" i="56"/>
  <c r="AW106" i="56"/>
  <c r="AV109" i="56"/>
  <c r="AV108" i="56"/>
  <c r="BG232" i="57"/>
  <c r="BG229" i="57"/>
  <c r="BG230" i="57"/>
  <c r="BG228" i="57"/>
  <c r="BF231" i="57"/>
  <c r="BJ8" i="58" l="1"/>
  <c r="BK7" i="58"/>
  <c r="BK6" i="58"/>
  <c r="BK5" i="58"/>
  <c r="BK67" i="58"/>
  <c r="BK104" i="58" s="1"/>
  <c r="BI87" i="58" a="1"/>
  <c r="BI87" i="58" s="1"/>
  <c r="BJ87" i="58" s="1" a="1"/>
  <c r="BJ87" i="58" s="1"/>
  <c r="BI77" i="58" a="1"/>
  <c r="BI77" i="58" s="1"/>
  <c r="BJ77" i="58" s="1" a="1"/>
  <c r="BJ77" i="58" s="1"/>
  <c r="BI76" i="58" a="1"/>
  <c r="BI76" i="58" s="1"/>
  <c r="BJ76" i="58" s="1" a="1"/>
  <c r="BJ76" i="58" s="1"/>
  <c r="BI88" i="58" a="1"/>
  <c r="BI88" i="58" s="1"/>
  <c r="BJ88" i="58" s="1" a="1"/>
  <c r="BJ88" i="58" s="1"/>
  <c r="BK3" i="58"/>
  <c r="BK12" i="58" a="1"/>
  <c r="BK12" i="58" s="1"/>
  <c r="BK11" i="58" s="1"/>
  <c r="BK22" i="58"/>
  <c r="BK25" i="58" s="1"/>
  <c r="BL4" i="58"/>
  <c r="BG231" i="57"/>
  <c r="BH251" i="57"/>
  <c r="BG259" i="57"/>
  <c r="BH250" i="57"/>
  <c r="BH249" i="57"/>
  <c r="BG252" i="57"/>
  <c r="BH230" i="57"/>
  <c r="BH232" i="57"/>
  <c r="BH229" i="57"/>
  <c r="BH228" i="57"/>
  <c r="AW108" i="56"/>
  <c r="AW107" i="56"/>
  <c r="AW109" i="56"/>
  <c r="AX106" i="56"/>
  <c r="AV110" i="56"/>
  <c r="BL7" i="58" l="1"/>
  <c r="BL6" i="58"/>
  <c r="BL67" i="58"/>
  <c r="BL104" i="58" s="1"/>
  <c r="BL5" i="58"/>
  <c r="BK8" i="58"/>
  <c r="BK76" i="58" s="1" a="1"/>
  <c r="BK76" i="58" s="1"/>
  <c r="BL12" i="58" a="1"/>
  <c r="BL12" i="58" s="1"/>
  <c r="BL11" i="58" s="1"/>
  <c r="BL3" i="58"/>
  <c r="BM4" i="58"/>
  <c r="BL22" i="58"/>
  <c r="BL25" i="58" s="1"/>
  <c r="BH252" i="57"/>
  <c r="BI228" i="57"/>
  <c r="BI229" i="57"/>
  <c r="BI230" i="57"/>
  <c r="BI249" i="57"/>
  <c r="BI250" i="57"/>
  <c r="BH259" i="57"/>
  <c r="BI251" i="57"/>
  <c r="AX107" i="56"/>
  <c r="AX108" i="56"/>
  <c r="AX109" i="56"/>
  <c r="AW110" i="56"/>
  <c r="BH231" i="57"/>
  <c r="BL8" i="58" l="1"/>
  <c r="BL76" i="58" s="1" a="1"/>
  <c r="BL76" i="58" s="1"/>
  <c r="BK77" i="58" a="1"/>
  <c r="BK77" i="58" s="1"/>
  <c r="BL77" i="58" s="1" a="1"/>
  <c r="BL77" i="58" s="1"/>
  <c r="BM7" i="58"/>
  <c r="BM6" i="58"/>
  <c r="BM67" i="58"/>
  <c r="BM104" i="58" s="1"/>
  <c r="BM5" i="58"/>
  <c r="BK88" i="58" a="1"/>
  <c r="BK88" i="58" s="1"/>
  <c r="BL88" i="58" s="1" a="1"/>
  <c r="BL88" i="58" s="1"/>
  <c r="BK87" i="58" a="1"/>
  <c r="BK87" i="58" s="1"/>
  <c r="BL87" i="58" s="1" a="1"/>
  <c r="BL87" i="58" s="1"/>
  <c r="BM12" i="58" a="1"/>
  <c r="BM12" i="58" s="1"/>
  <c r="BM11" i="58" s="1"/>
  <c r="BM3" i="58"/>
  <c r="BM22" i="58"/>
  <c r="BM25" i="58" s="1"/>
  <c r="BN4" i="58"/>
  <c r="BI231" i="57"/>
  <c r="BI252" i="57"/>
  <c r="AX110" i="56"/>
  <c r="BJ251" i="57"/>
  <c r="BI259" i="57"/>
  <c r="BJ250" i="57"/>
  <c r="BJ249" i="57"/>
  <c r="BM8" i="58" l="1"/>
  <c r="BM76" i="58" s="1" a="1"/>
  <c r="BM76" i="58" s="1"/>
  <c r="BN7" i="58"/>
  <c r="BN6" i="58"/>
  <c r="BN67" i="58"/>
  <c r="BN104" i="58" s="1"/>
  <c r="BN5" i="58"/>
  <c r="BN12" i="58" a="1"/>
  <c r="BN12" i="58" s="1"/>
  <c r="BN11" i="58" s="1"/>
  <c r="BN3" i="58"/>
  <c r="BO4" i="58"/>
  <c r="BN22" i="58"/>
  <c r="BN25" i="58" s="1"/>
  <c r="BJ252" i="57"/>
  <c r="BK249" i="57"/>
  <c r="BK250" i="57"/>
  <c r="BJ259" i="57"/>
  <c r="BK251" i="57"/>
  <c r="BN8" i="58" l="1"/>
  <c r="BN76" i="58" s="1" a="1"/>
  <c r="BN76" i="58" s="1"/>
  <c r="BM77" i="58" a="1"/>
  <c r="BM77" i="58" s="1"/>
  <c r="BM87" i="58" a="1"/>
  <c r="BM87" i="58" s="1"/>
  <c r="BM88" i="58" a="1"/>
  <c r="BM88" i="58" s="1"/>
  <c r="BO5" i="58"/>
  <c r="BO7" i="58"/>
  <c r="BO6" i="58"/>
  <c r="BO67" i="58"/>
  <c r="BO104" i="58" s="1"/>
  <c r="BO22" i="58"/>
  <c r="BO25" i="58" s="1"/>
  <c r="BO3" i="58"/>
  <c r="BP4" i="58"/>
  <c r="BO12" i="58" a="1"/>
  <c r="BO12" i="58" s="1"/>
  <c r="BO11" i="58" s="1"/>
  <c r="BK259" i="57"/>
  <c r="BL251" i="57"/>
  <c r="BL249" i="57"/>
  <c r="BL250" i="57"/>
  <c r="BK252" i="57"/>
  <c r="BN87" i="58" l="1" a="1"/>
  <c r="BN87" i="58" s="1"/>
  <c r="BN77" i="58" a="1"/>
  <c r="BN77" i="58" s="1"/>
  <c r="BN88" i="58" a="1"/>
  <c r="BN88" i="58" s="1"/>
  <c r="BO8" i="58"/>
  <c r="BO76" i="58" s="1" a="1"/>
  <c r="BO76" i="58" s="1"/>
  <c r="BP6" i="58"/>
  <c r="BP67" i="58"/>
  <c r="BP104" i="58" s="1"/>
  <c r="BP7" i="58"/>
  <c r="BP5" i="58"/>
  <c r="BP22" i="58"/>
  <c r="BP25" i="58" s="1"/>
  <c r="BP3" i="58"/>
  <c r="BP12" i="58" a="1"/>
  <c r="BP12" i="58" s="1"/>
  <c r="BP11" i="58" s="1"/>
  <c r="BQ4" i="58"/>
  <c r="BM250" i="57"/>
  <c r="BM251" i="57"/>
  <c r="BL259" i="57"/>
  <c r="BM249" i="57"/>
  <c r="BL252" i="57"/>
  <c r="BO77" i="58" l="1" a="1"/>
  <c r="BO77" i="58" s="1"/>
  <c r="BO87" i="58" a="1"/>
  <c r="BO87" i="58" s="1"/>
  <c r="BO88" i="58" a="1"/>
  <c r="BO88" i="58" s="1"/>
  <c r="BP8" i="58"/>
  <c r="BP76" i="58" s="1" a="1"/>
  <c r="BP76" i="58" s="1"/>
  <c r="BQ7" i="58"/>
  <c r="BQ6" i="58"/>
  <c r="BQ67" i="58"/>
  <c r="BQ104" i="58" s="1"/>
  <c r="BQ5" i="58"/>
  <c r="BR4" i="58"/>
  <c r="BQ12" i="58" a="1"/>
  <c r="BQ12" i="58" s="1"/>
  <c r="BQ11" i="58" s="1"/>
  <c r="BQ3" i="58"/>
  <c r="BQ22" i="58"/>
  <c r="BQ25" i="58" s="1"/>
  <c r="BM252" i="57"/>
  <c r="BM259" i="57"/>
  <c r="BN251" i="57"/>
  <c r="BN249" i="57"/>
  <c r="BN250" i="57"/>
  <c r="BP88" i="58" l="1" a="1"/>
  <c r="BP88" i="58" s="1"/>
  <c r="BP87" i="58" a="1"/>
  <c r="BP87" i="58" s="1"/>
  <c r="BP77" i="58" a="1"/>
  <c r="BP77" i="58" s="1"/>
  <c r="BQ8" i="58"/>
  <c r="BQ76" i="58" s="1" a="1"/>
  <c r="BQ76" i="58" s="1"/>
  <c r="BR5" i="58"/>
  <c r="BR7" i="58"/>
  <c r="BR6" i="58"/>
  <c r="BR67" i="58"/>
  <c r="BR104" i="58" s="1"/>
  <c r="BR12" i="58" a="1"/>
  <c r="BR12" i="58" s="1"/>
  <c r="BR11" i="58" s="1"/>
  <c r="BR22" i="58"/>
  <c r="BR25" i="58" s="1"/>
  <c r="BR3" i="58"/>
  <c r="BR10" i="58" s="1" a="1"/>
  <c r="BR10" i="58" s="1"/>
  <c r="BN252" i="57"/>
  <c r="BO250" i="57"/>
  <c r="BO251" i="57"/>
  <c r="BO249" i="57"/>
  <c r="BN259" i="57"/>
  <c r="BQ77" i="58" l="1" a="1"/>
  <c r="BQ77" i="58" s="1"/>
  <c r="BQ88" i="58" a="1"/>
  <c r="BQ88" i="58" s="1"/>
  <c r="BQ87" i="58" a="1"/>
  <c r="BQ87" i="58" s="1"/>
  <c r="BR8" i="58"/>
  <c r="BI10" i="58"/>
  <c r="BJ10" i="58" s="1"/>
  <c r="BK10" i="58" s="1"/>
  <c r="BL10" i="58" s="1"/>
  <c r="BM10" i="58" s="1"/>
  <c r="BN10" i="58" s="1"/>
  <c r="BO10" i="58" s="1"/>
  <c r="BP10" i="58" s="1"/>
  <c r="BQ10" i="58" s="1"/>
  <c r="BO252" i="57"/>
  <c r="BP251" i="57"/>
  <c r="BP249" i="57"/>
  <c r="BP250" i="57"/>
  <c r="BR77" i="58" l="1" a="1"/>
  <c r="BR77" i="58" s="1"/>
  <c r="BR76" i="58" a="1"/>
  <c r="BR76" i="58" s="1"/>
  <c r="BR87" i="58" a="1"/>
  <c r="BR87" i="58" s="1"/>
  <c r="BR88" i="58" a="1"/>
  <c r="BR88" i="58" s="1"/>
  <c r="BP252" i="57"/>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AH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E137" i="47" l="1"/>
  <c r="E130" i="47"/>
  <c r="Y6" i="55"/>
  <c r="Y7" i="55" s="1"/>
  <c r="AK6" i="55"/>
  <c r="AK7" i="55" s="1"/>
  <c r="Z6" i="55"/>
  <c r="Z7" i="55" s="1"/>
  <c r="M6" i="55"/>
  <c r="M7" i="55" s="1"/>
  <c r="N6" i="55"/>
  <c r="N7" i="55" s="1"/>
  <c r="AI6" i="55"/>
  <c r="AI7" i="55" s="1"/>
  <c r="AL6" i="55"/>
  <c r="AL7" i="55" s="1"/>
  <c r="B52" i="55"/>
  <c r="B51" i="55"/>
  <c r="B24" i="55"/>
  <c r="B61" i="55" s="1"/>
  <c r="B62" i="55"/>
  <c r="B54" i="55"/>
  <c r="B60" i="55"/>
  <c r="D20" i="55"/>
  <c r="A39" i="55" s="1"/>
  <c r="B49" i="55"/>
  <c r="A37" i="55"/>
  <c r="K6" i="55"/>
  <c r="K7" i="55" s="1"/>
  <c r="K53" i="55" s="1" a="1"/>
  <c r="K53" i="55" s="1"/>
  <c r="C60" i="55"/>
  <c r="C24" i="55"/>
  <c r="C61" i="55" s="1"/>
  <c r="AH7" i="55"/>
  <c r="C20" i="55"/>
  <c r="C56" i="55"/>
  <c r="W6" i="55"/>
  <c r="W7" i="55" s="1"/>
  <c r="B59" i="55"/>
  <c r="L6" i="55"/>
  <c r="L7" i="55" s="1"/>
  <c r="X6" i="55"/>
  <c r="X7" i="55" s="1"/>
  <c r="AJ6" i="55"/>
  <c r="AJ7" i="55" s="1"/>
  <c r="C59" i="55"/>
  <c r="A42" i="55"/>
  <c r="O6" i="55"/>
  <c r="O7" i="55" s="1"/>
  <c r="AA6" i="55"/>
  <c r="AA7" i="55" s="1"/>
  <c r="AM6" i="55"/>
  <c r="AM7" i="55" s="1"/>
  <c r="B55" i="55"/>
  <c r="P6" i="55"/>
  <c r="P7" i="55" s="1"/>
  <c r="AB6" i="55"/>
  <c r="AB7" i="55" s="1"/>
  <c r="AN6" i="55"/>
  <c r="AN7" i="55" s="1"/>
  <c r="B47" i="55"/>
  <c r="C55" i="55"/>
  <c r="Q6" i="55"/>
  <c r="Q7" i="55" s="1"/>
  <c r="AC6" i="55"/>
  <c r="AC7" i="55" s="1"/>
  <c r="AC53" i="55" s="1" a="1"/>
  <c r="AC53" i="55" s="1"/>
  <c r="AO6" i="55"/>
  <c r="AO7" i="55" s="1"/>
  <c r="AO53" i="55" s="1" a="1"/>
  <c r="AO53" i="55" s="1"/>
  <c r="R6" i="55"/>
  <c r="R7" i="55" s="1"/>
  <c r="AD6" i="55"/>
  <c r="AD7" i="55" s="1"/>
  <c r="AP6" i="55"/>
  <c r="AP7" i="55" s="1"/>
  <c r="S6" i="55"/>
  <c r="S7" i="55" s="1"/>
  <c r="S53" i="55" s="1" a="1"/>
  <c r="S53" i="55" s="1"/>
  <c r="AE6" i="55"/>
  <c r="AE7" i="55" s="1"/>
  <c r="AQ7" i="55"/>
  <c r="T6" i="55"/>
  <c r="T7" i="55" s="1"/>
  <c r="AF6" i="55"/>
  <c r="AF7" i="55" s="1"/>
  <c r="B19" i="55"/>
  <c r="U6" i="55"/>
  <c r="U7" i="55" s="1"/>
  <c r="AG6" i="55"/>
  <c r="AG7" i="55" s="1"/>
  <c r="V6" i="55"/>
  <c r="V7" i="55" s="1"/>
  <c r="AP53" i="55" l="1" a="1"/>
  <c r="AP53" i="55" s="1"/>
  <c r="AQ56" i="55" a="1"/>
  <c r="AQ56" i="55" s="1"/>
  <c r="AQ48" i="55" a="1"/>
  <c r="AQ48" i="55" s="1"/>
  <c r="AQ57" i="55" a="1"/>
  <c r="AQ57" i="55" s="1"/>
  <c r="AQ51" i="55" a="1"/>
  <c r="AQ51" i="55" s="1"/>
  <c r="AQ60" i="55" a="1"/>
  <c r="AQ60" i="55" s="1"/>
  <c r="AQ49" i="55" a="1"/>
  <c r="AQ49" i="55" s="1"/>
  <c r="AQ58" i="55" a="1"/>
  <c r="AQ58" i="55" s="1"/>
  <c r="AQ50" i="55" a="1"/>
  <c r="AQ50" i="55" s="1"/>
  <c r="AQ59" i="55" a="1"/>
  <c r="AQ59" i="55" s="1"/>
  <c r="AQ52" i="55" a="1"/>
  <c r="AQ52" i="55" s="1"/>
  <c r="AQ61" i="55" a="1"/>
  <c r="AQ61" i="55" s="1"/>
  <c r="AQ55" i="55" a="1"/>
  <c r="AQ55" i="55" s="1"/>
  <c r="AQ53" i="55" a="1"/>
  <c r="AQ53" i="55" s="1"/>
  <c r="AQ62" i="55" a="1"/>
  <c r="AQ62" i="55" s="1"/>
  <c r="AQ54" i="55" a="1"/>
  <c r="AQ54" i="55" s="1"/>
  <c r="AQ47" i="55" a="1"/>
  <c r="AQ47" i="55" s="1"/>
  <c r="L53" i="55" a="1"/>
  <c r="L53" i="55" s="1"/>
  <c r="M53" i="55" s="1" a="1"/>
  <c r="M53" i="55" s="1"/>
  <c r="N53" i="55" s="1" a="1"/>
  <c r="N53" i="55" s="1"/>
  <c r="O53" i="55" s="1" a="1"/>
  <c r="O53" i="55" s="1"/>
  <c r="P53" i="55" s="1" a="1"/>
  <c r="P53" i="55" s="1"/>
  <c r="Q53" i="55" s="1" a="1"/>
  <c r="Q53" i="55" s="1"/>
  <c r="R53" i="55" s="1" a="1"/>
  <c r="R53" i="55" s="1"/>
  <c r="G137" i="47"/>
  <c r="AD53" i="55"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N53" i="55" s="1" a="1"/>
  <c r="AN53" i="55" s="1"/>
  <c r="Y53" i="55"/>
  <c r="AB53" i="55"/>
  <c r="Z53" i="55"/>
  <c r="U53" i="55"/>
  <c r="V53" i="55" s="1"/>
  <c r="W53" i="55" s="1"/>
  <c r="X53" i="55" s="1"/>
  <c r="AA53" i="55"/>
  <c r="G130" i="47"/>
  <c r="S48" i="55" a="1"/>
  <c r="S48" i="55" s="1"/>
  <c r="S50" i="55" a="1"/>
  <c r="S50" i="55" s="1"/>
  <c r="AO48" i="55" a="1"/>
  <c r="AO48" i="55" s="1"/>
  <c r="AP48" i="55" s="1" a="1"/>
  <c r="AP48" i="55" s="1"/>
  <c r="AO50" i="55" a="1"/>
  <c r="AO50" i="55" s="1"/>
  <c r="AP50" i="55" s="1" a="1"/>
  <c r="AP50"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N48" i="55" s="1" a="1"/>
  <c r="AN48"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N50" i="55" s="1" a="1"/>
  <c r="AN50" i="55" s="1"/>
  <c r="K48" i="55" a="1"/>
  <c r="K48" i="55" s="1"/>
  <c r="L48" i="55" s="1" a="1"/>
  <c r="L48" i="55" s="1"/>
  <c r="M48" i="55" s="1" a="1"/>
  <c r="M48" i="55" s="1"/>
  <c r="N48" i="55" s="1" a="1"/>
  <c r="N48" i="55" s="1"/>
  <c r="O48" i="55" s="1" a="1"/>
  <c r="O48" i="55" s="1"/>
  <c r="P48" i="55" s="1" a="1"/>
  <c r="P48" i="55" s="1"/>
  <c r="Q48" i="55" s="1" a="1"/>
  <c r="Q48" i="55" s="1"/>
  <c r="R48" i="55" s="1" a="1"/>
  <c r="R48" i="55" s="1"/>
  <c r="K50" i="55" a="1"/>
  <c r="K50" i="55" s="1"/>
  <c r="L50" i="55" s="1" a="1"/>
  <c r="L50" i="55" s="1"/>
  <c r="M50" i="55" s="1" a="1"/>
  <c r="M50" i="55" s="1"/>
  <c r="N50" i="55" s="1" a="1"/>
  <c r="N50" i="55" s="1"/>
  <c r="O50" i="55" s="1" a="1"/>
  <c r="O50" i="55" s="1"/>
  <c r="P50" i="55" s="1" a="1"/>
  <c r="P50" i="55" s="1"/>
  <c r="Q50" i="55" s="1" a="1"/>
  <c r="Q50" i="55" s="1"/>
  <c r="R50" i="55" s="1" a="1"/>
  <c r="R50" i="55" s="1"/>
  <c r="S62" i="55" a="1"/>
  <c r="S62" i="55" s="1"/>
  <c r="S57" i="55" a="1"/>
  <c r="S57" i="55" s="1"/>
  <c r="T57" i="55" s="1" a="1"/>
  <c r="T57" i="55" s="1"/>
  <c r="S51" i="55" a="1"/>
  <c r="S51" i="55" s="1"/>
  <c r="T51" i="55" s="1" a="1"/>
  <c r="T51" i="55" s="1"/>
  <c r="S60" i="55" a="1"/>
  <c r="S60" i="55" s="1"/>
  <c r="T60" i="55" s="1" a="1"/>
  <c r="T60" i="55" s="1"/>
  <c r="S55" i="55" a="1"/>
  <c r="S55" i="55" s="1"/>
  <c r="T55" i="55" s="1" a="1"/>
  <c r="T55" i="55" s="1"/>
  <c r="S59" i="55" a="1"/>
  <c r="S59" i="55" s="1"/>
  <c r="S58" i="55" a="1"/>
  <c r="S58" i="55" s="1"/>
  <c r="T58" i="55" s="1" a="1"/>
  <c r="T58" i="55" s="1"/>
  <c r="S61" i="55" a="1"/>
  <c r="S61" i="55" s="1"/>
  <c r="T61" i="55" s="1" a="1"/>
  <c r="T61" i="55" s="1"/>
  <c r="S52" i="55" a="1"/>
  <c r="S52" i="55" s="1"/>
  <c r="S49" i="55" a="1"/>
  <c r="S49" i="55" s="1"/>
  <c r="S54" i="55" a="1"/>
  <c r="S54" i="55" s="1"/>
  <c r="S56" i="55" a="1"/>
  <c r="S56" i="55" s="1"/>
  <c r="T56" i="55" s="1" a="1"/>
  <c r="T56" i="55" s="1"/>
  <c r="S47" i="55" a="1"/>
  <c r="S47" i="55" s="1"/>
  <c r="AO62" i="55" a="1"/>
  <c r="AO62" i="55" s="1"/>
  <c r="AP62" i="55" s="1" a="1"/>
  <c r="AP62" i="55" s="1"/>
  <c r="AO60" i="55" a="1"/>
  <c r="AO60" i="55" s="1"/>
  <c r="AP60" i="55" s="1" a="1"/>
  <c r="AP60" i="55" s="1"/>
  <c r="AO58" i="55" a="1"/>
  <c r="AO58" i="55" s="1"/>
  <c r="AP58" i="55" s="1" a="1"/>
  <c r="AP58" i="55" s="1"/>
  <c r="AO56" i="55" a="1"/>
  <c r="AO56" i="55" s="1"/>
  <c r="AP56" i="55" s="1" a="1"/>
  <c r="AP56" i="55" s="1"/>
  <c r="AO54" i="55" a="1"/>
  <c r="AO54" i="55" s="1"/>
  <c r="AP54" i="55" s="1" a="1"/>
  <c r="AP54" i="55" s="1"/>
  <c r="AO51" i="55" a="1"/>
  <c r="AO51" i="55" s="1"/>
  <c r="AP51" i="55" s="1" a="1"/>
  <c r="AP51" i="55" s="1"/>
  <c r="AO61" i="55" a="1"/>
  <c r="AO61" i="55" s="1"/>
  <c r="AP61" i="55" s="1" a="1"/>
  <c r="AP61" i="55" s="1"/>
  <c r="AO47" i="55" a="1"/>
  <c r="AO47" i="55" s="1"/>
  <c r="AO59" i="55" a="1"/>
  <c r="AO59" i="55" s="1"/>
  <c r="AP59" i="55" s="1" a="1"/>
  <c r="AP59" i="55" s="1"/>
  <c r="AO52" i="55" a="1"/>
  <c r="AO52" i="55" s="1"/>
  <c r="AP52" i="55" s="1" a="1"/>
  <c r="AP52" i="55" s="1"/>
  <c r="AO55" i="55" a="1"/>
  <c r="AO55" i="55" s="1"/>
  <c r="AP55" i="55" s="1" a="1"/>
  <c r="AP55" i="55" s="1"/>
  <c r="AO57" i="55" a="1"/>
  <c r="AO57" i="55" s="1"/>
  <c r="AP57" i="55" s="1" a="1"/>
  <c r="AP57" i="55" s="1"/>
  <c r="AO49" i="55" a="1"/>
  <c r="AO49" i="55" s="1"/>
  <c r="AP49" i="55" s="1" a="1"/>
  <c r="AP49" i="55" s="1"/>
  <c r="AC62" i="55" a="1"/>
  <c r="AC62" i="55" s="1"/>
  <c r="AC60" i="55" a="1"/>
  <c r="AC60" i="55" s="1"/>
  <c r="AC58" i="55" a="1"/>
  <c r="AC58" i="55" s="1"/>
  <c r="AC56" i="55" a="1"/>
  <c r="AC56" i="55" s="1"/>
  <c r="AC54" i="55" a="1"/>
  <c r="AC54" i="55" s="1"/>
  <c r="AC51" i="55" a="1"/>
  <c r="AC51" i="55" s="1"/>
  <c r="AC49" i="55" a="1"/>
  <c r="AC49" i="55" s="1"/>
  <c r="AC57" i="55" a="1"/>
  <c r="AC57" i="55" s="1"/>
  <c r="AC55" i="55" a="1"/>
  <c r="AC55" i="55" s="1"/>
  <c r="AC59" i="55" a="1"/>
  <c r="AC59" i="55" s="1"/>
  <c r="AC61" i="55" a="1"/>
  <c r="AC61" i="55" s="1"/>
  <c r="AC52" i="55" a="1"/>
  <c r="AC52" i="55" s="1"/>
  <c r="AC47" i="55" a="1"/>
  <c r="AC47" i="55" s="1"/>
  <c r="K62" i="55" a="1"/>
  <c r="K62" i="55" s="1"/>
  <c r="L62" i="55" s="1" a="1"/>
  <c r="L62" i="55" s="1"/>
  <c r="M62" i="55" s="1" a="1"/>
  <c r="M62" i="55" s="1"/>
  <c r="N62" i="55" s="1" a="1"/>
  <c r="N62" i="55" s="1"/>
  <c r="O62" i="55" s="1" a="1"/>
  <c r="O62" i="55" s="1"/>
  <c r="P62" i="55" s="1" a="1"/>
  <c r="P62" i="55" s="1"/>
  <c r="Q62" i="55" s="1" a="1"/>
  <c r="Q62" i="55" s="1"/>
  <c r="R62" i="55" s="1" a="1"/>
  <c r="R62" i="55" s="1"/>
  <c r="K60" i="55" a="1"/>
  <c r="K60" i="55" s="1"/>
  <c r="L60" i="55" s="1" a="1"/>
  <c r="L60" i="55" s="1"/>
  <c r="M60" i="55" s="1" a="1"/>
  <c r="M60" i="55" s="1"/>
  <c r="N60" i="55" s="1" a="1"/>
  <c r="N60" i="55" s="1"/>
  <c r="O60" i="55" s="1" a="1"/>
  <c r="O60" i="55" s="1"/>
  <c r="P60" i="55" s="1" a="1"/>
  <c r="P60" i="55" s="1"/>
  <c r="Q60" i="55" s="1" a="1"/>
  <c r="Q60" i="55" s="1"/>
  <c r="R60" i="55" s="1" a="1"/>
  <c r="R60" i="55" s="1"/>
  <c r="K58" i="55" a="1"/>
  <c r="K58" i="55" s="1"/>
  <c r="L58" i="55" s="1" a="1"/>
  <c r="L58" i="55" s="1"/>
  <c r="M58" i="55" s="1" a="1"/>
  <c r="M58" i="55" s="1"/>
  <c r="N58" i="55" s="1" a="1"/>
  <c r="N58" i="55" s="1"/>
  <c r="O58" i="55" s="1" a="1"/>
  <c r="O58" i="55" s="1"/>
  <c r="P58" i="55" s="1" a="1"/>
  <c r="P58" i="55" s="1"/>
  <c r="Q58" i="55" s="1" a="1"/>
  <c r="Q58" i="55" s="1"/>
  <c r="R58" i="55" s="1" a="1"/>
  <c r="R58" i="55" s="1"/>
  <c r="K56" i="55" a="1"/>
  <c r="K56" i="55" s="1"/>
  <c r="L56" i="55" s="1" a="1"/>
  <c r="L56" i="55" s="1"/>
  <c r="M56" i="55" s="1" a="1"/>
  <c r="M56" i="55" s="1"/>
  <c r="N56" i="55" s="1" a="1"/>
  <c r="N56" i="55" s="1"/>
  <c r="O56" i="55" s="1" a="1"/>
  <c r="O56" i="55" s="1"/>
  <c r="P56" i="55" s="1" a="1"/>
  <c r="P56" i="55" s="1"/>
  <c r="Q56" i="55" s="1" a="1"/>
  <c r="Q56" i="55" s="1"/>
  <c r="R56" i="55" s="1" a="1"/>
  <c r="R56" i="55" s="1"/>
  <c r="K54" i="55" a="1"/>
  <c r="K54" i="55" s="1"/>
  <c r="L54" i="55" s="1" a="1"/>
  <c r="L54" i="55" s="1"/>
  <c r="M54" i="55" s="1" a="1"/>
  <c r="M54" i="55" s="1"/>
  <c r="N54" i="55" s="1" a="1"/>
  <c r="N54" i="55" s="1"/>
  <c r="O54" i="55" s="1" a="1"/>
  <c r="O54" i="55" s="1"/>
  <c r="P54" i="55" s="1" a="1"/>
  <c r="P54" i="55" s="1"/>
  <c r="Q54" i="55" s="1" a="1"/>
  <c r="Q54" i="55" s="1"/>
  <c r="R54" i="55" s="1" a="1"/>
  <c r="R54" i="55" s="1"/>
  <c r="K51" i="55" a="1"/>
  <c r="K51" i="55" s="1"/>
  <c r="L51" i="55" s="1" a="1"/>
  <c r="L51" i="55" s="1"/>
  <c r="M51" i="55" s="1" a="1"/>
  <c r="M51" i="55" s="1"/>
  <c r="N51" i="55" s="1" a="1"/>
  <c r="N51" i="55" s="1"/>
  <c r="O51" i="55" s="1" a="1"/>
  <c r="O51" i="55" s="1"/>
  <c r="P51" i="55" s="1" a="1"/>
  <c r="P51" i="55" s="1"/>
  <c r="Q51" i="55" s="1" a="1"/>
  <c r="Q51" i="55" s="1"/>
  <c r="R51" i="55" s="1" a="1"/>
  <c r="R51" i="55" s="1"/>
  <c r="K61" i="55" a="1"/>
  <c r="K61" i="55" s="1"/>
  <c r="L61" i="55" s="1" a="1"/>
  <c r="L61" i="55" s="1"/>
  <c r="M61" i="55" s="1" a="1"/>
  <c r="M61" i="55" s="1"/>
  <c r="N61" i="55" s="1" a="1"/>
  <c r="N61" i="55" s="1"/>
  <c r="O61" i="55" s="1" a="1"/>
  <c r="O61" i="55" s="1"/>
  <c r="P61" i="55" s="1" a="1"/>
  <c r="P61" i="55" s="1"/>
  <c r="Q61" i="55" s="1" a="1"/>
  <c r="Q61" i="55" s="1"/>
  <c r="R61" i="55" s="1" a="1"/>
  <c r="R61" i="55" s="1"/>
  <c r="K57" i="55" a="1"/>
  <c r="K57" i="55" s="1"/>
  <c r="L57" i="55" s="1" a="1"/>
  <c r="L57" i="55" s="1"/>
  <c r="M57" i="55" s="1" a="1"/>
  <c r="M57" i="55" s="1"/>
  <c r="N57" i="55" s="1" a="1"/>
  <c r="N57" i="55" s="1"/>
  <c r="O57" i="55" s="1" a="1"/>
  <c r="O57" i="55" s="1"/>
  <c r="P57" i="55" s="1" a="1"/>
  <c r="P57" i="55" s="1"/>
  <c r="Q57" i="55" s="1" a="1"/>
  <c r="Q57" i="55" s="1"/>
  <c r="R57" i="55" s="1" a="1"/>
  <c r="R57" i="55" s="1"/>
  <c r="K47" i="55" a="1"/>
  <c r="K47" i="55" s="1"/>
  <c r="L47" i="55" s="1" a="1"/>
  <c r="L47" i="55" s="1"/>
  <c r="M47" i="55" s="1" a="1"/>
  <c r="M47" i="55" s="1"/>
  <c r="N47" i="55" s="1" a="1"/>
  <c r="N47" i="55" s="1"/>
  <c r="O47" i="55" s="1" a="1"/>
  <c r="O47" i="55" s="1"/>
  <c r="P47" i="55" s="1" a="1"/>
  <c r="P47" i="55" s="1"/>
  <c r="Q47" i="55" s="1" a="1"/>
  <c r="Q47" i="55" s="1"/>
  <c r="R47" i="55" s="1" a="1"/>
  <c r="R47" i="55" s="1"/>
  <c r="K49" i="55" a="1"/>
  <c r="K49" i="55" s="1"/>
  <c r="L49" i="55" s="1" a="1"/>
  <c r="L49" i="55" s="1"/>
  <c r="M49" i="55" s="1" a="1"/>
  <c r="M49" i="55" s="1"/>
  <c r="N49" i="55" s="1" a="1"/>
  <c r="N49" i="55" s="1"/>
  <c r="O49" i="55" s="1" a="1"/>
  <c r="O49" i="55" s="1"/>
  <c r="P49" i="55" s="1" a="1"/>
  <c r="P49" i="55" s="1"/>
  <c r="Q49" i="55" s="1" a="1"/>
  <c r="Q49" i="55" s="1"/>
  <c r="R49" i="55" s="1" a="1"/>
  <c r="R49" i="55" s="1"/>
  <c r="K59" i="55" a="1"/>
  <c r="K59" i="55" s="1"/>
  <c r="L59" i="55" s="1" a="1"/>
  <c r="L59" i="55" s="1"/>
  <c r="M59" i="55" s="1" a="1"/>
  <c r="M59" i="55" s="1"/>
  <c r="N59" i="55" s="1" a="1"/>
  <c r="N59" i="55" s="1"/>
  <c r="O59" i="55" s="1" a="1"/>
  <c r="O59" i="55" s="1"/>
  <c r="P59" i="55" s="1" a="1"/>
  <c r="P59" i="55" s="1"/>
  <c r="Q59" i="55" s="1" a="1"/>
  <c r="Q59" i="55" s="1"/>
  <c r="R59" i="55" s="1" a="1"/>
  <c r="R59" i="55" s="1"/>
  <c r="K52" i="55" a="1"/>
  <c r="K52" i="55" s="1"/>
  <c r="L52" i="55" s="1" a="1"/>
  <c r="L52" i="55" s="1"/>
  <c r="M52" i="55" s="1" a="1"/>
  <c r="M52" i="55" s="1"/>
  <c r="N52" i="55" s="1" a="1"/>
  <c r="N52" i="55" s="1"/>
  <c r="O52" i="55" s="1" a="1"/>
  <c r="O52" i="55" s="1"/>
  <c r="P52" i="55" s="1" a="1"/>
  <c r="P52" i="55" s="1"/>
  <c r="Q52" i="55" s="1" a="1"/>
  <c r="Q52" i="55" s="1"/>
  <c r="R52" i="55" s="1" a="1"/>
  <c r="R52" i="55" s="1"/>
  <c r="K55" i="55" a="1"/>
  <c r="K55" i="55" s="1"/>
  <c r="L55" i="55" s="1" a="1"/>
  <c r="L55" i="55" s="1"/>
  <c r="M55" i="55" s="1" a="1"/>
  <c r="M55" i="55" s="1"/>
  <c r="N55" i="55" s="1" a="1"/>
  <c r="N55" i="55" s="1"/>
  <c r="O55" i="55" s="1" a="1"/>
  <c r="O55" i="55" s="1"/>
  <c r="P55" i="55" s="1" a="1"/>
  <c r="P55" i="55" s="1"/>
  <c r="Q55" i="55" s="1" a="1"/>
  <c r="Q55" i="55" s="1"/>
  <c r="R55" i="55" s="1" a="1"/>
  <c r="R55" i="55" s="1"/>
  <c r="D21" i="55"/>
  <c r="A40" i="55" s="1"/>
  <c r="C57" i="55"/>
  <c r="C21" i="55"/>
  <c r="B20" i="55"/>
  <c r="B56" i="55"/>
  <c r="U48" i="55" l="1"/>
  <c r="V48" i="55" s="1"/>
  <c r="W48" i="55" s="1"/>
  <c r="X48" i="55" s="1"/>
  <c r="AB48" i="55"/>
  <c r="AP47" i="55" a="1"/>
  <c r="AP47" i="55" s="1"/>
  <c r="Z48" i="55"/>
  <c r="AA48" i="55"/>
  <c r="AB50" i="55"/>
  <c r="U50" i="55"/>
  <c r="V50" i="55" s="1"/>
  <c r="W50" i="55" s="1"/>
  <c r="X50" i="55" s="1"/>
  <c r="AA50" i="55"/>
  <c r="Y50" i="55"/>
  <c r="Z50" i="55"/>
  <c r="Y48" i="55"/>
  <c r="C58" i="55"/>
  <c r="U59" i="55"/>
  <c r="V59" i="55" s="1"/>
  <c r="W59" i="55" s="1"/>
  <c r="X59" i="55" s="1"/>
  <c r="Y59" i="55" s="1"/>
  <c r="Z59" i="55" s="1"/>
  <c r="AA59" i="55" s="1"/>
  <c r="AB59" i="55" s="1"/>
  <c r="U49" i="55"/>
  <c r="V49" i="55" s="1"/>
  <c r="W49" i="55" s="1"/>
  <c r="X49" i="55" s="1"/>
  <c r="Y49" i="55" s="1"/>
  <c r="Z49" i="55" s="1"/>
  <c r="AA49" i="55" s="1"/>
  <c r="AB49" i="55" s="1"/>
  <c r="U57" i="55"/>
  <c r="V57" i="55" s="1"/>
  <c r="W57" i="55" s="1"/>
  <c r="X57" i="55" s="1"/>
  <c r="Y57" i="55" s="1"/>
  <c r="Z57" i="55" s="1"/>
  <c r="AA57" i="55" s="1"/>
  <c r="AB57" i="55" s="1"/>
  <c r="U51" i="55"/>
  <c r="V51" i="55" s="1"/>
  <c r="W51" i="55" s="1"/>
  <c r="X51" i="55" s="1"/>
  <c r="Y51" i="55" s="1"/>
  <c r="Z51" i="55" s="1"/>
  <c r="AA51" i="55" s="1"/>
  <c r="AB51" i="55" s="1"/>
  <c r="Y55" i="55"/>
  <c r="Z55" i="55"/>
  <c r="AA55" i="55" s="1"/>
  <c r="AB55" i="55" s="1"/>
  <c r="U55" i="55"/>
  <c r="V55" i="55" s="1"/>
  <c r="W55" i="55" s="1"/>
  <c r="X55" i="55" s="1"/>
  <c r="U54" i="55"/>
  <c r="V54" i="55" s="1"/>
  <c r="W54" i="55" s="1"/>
  <c r="X54" i="55" s="1"/>
  <c r="Y54" i="55"/>
  <c r="Z54" i="55" s="1"/>
  <c r="AA54" i="55" s="1"/>
  <c r="AB54" i="55" s="1"/>
  <c r="U56" i="55"/>
  <c r="V56" i="55" s="1"/>
  <c r="W56" i="55" s="1"/>
  <c r="X56" i="55" s="1"/>
  <c r="Y56" i="55" s="1"/>
  <c r="Z56" i="55" s="1"/>
  <c r="AA56" i="55" s="1"/>
  <c r="AB56" i="55" s="1"/>
  <c r="U58" i="55"/>
  <c r="V58" i="55" s="1"/>
  <c r="W58" i="55" s="1"/>
  <c r="X58" i="55" s="1"/>
  <c r="Y58" i="55" s="1"/>
  <c r="Z58" i="55" s="1"/>
  <c r="AA58" i="55" s="1"/>
  <c r="AB58" i="55" s="1"/>
  <c r="U60" i="55"/>
  <c r="V60" i="55" s="1"/>
  <c r="W60" i="55" s="1"/>
  <c r="X60" i="55" s="1"/>
  <c r="Y60" i="55"/>
  <c r="Z60" i="55" s="1"/>
  <c r="AA60" i="55" s="1"/>
  <c r="AB60" i="55" s="1"/>
  <c r="U62" i="55"/>
  <c r="V62" i="55" s="1"/>
  <c r="W62" i="55" s="1"/>
  <c r="X62" i="55" s="1"/>
  <c r="Y62" i="55" s="1"/>
  <c r="Z62" i="55" s="1"/>
  <c r="AA62" i="55" s="1"/>
  <c r="AB62" i="55" s="1"/>
  <c r="U52" i="55"/>
  <c r="V52" i="55" s="1"/>
  <c r="W52" i="55" s="1"/>
  <c r="X52" i="55" s="1"/>
  <c r="Y52" i="55"/>
  <c r="Z52" i="55" s="1"/>
  <c r="AA52" i="55" s="1"/>
  <c r="AB52" i="55" s="1"/>
  <c r="U61" i="55"/>
  <c r="V61" i="55" s="1"/>
  <c r="W61" i="55" s="1"/>
  <c r="X61" i="55" s="1"/>
  <c r="Y61" i="55" s="1"/>
  <c r="Z61" i="55" s="1"/>
  <c r="AA61" i="55" s="1"/>
  <c r="AB61" i="55" s="1"/>
  <c r="U47" i="55"/>
  <c r="V47" i="55" s="1"/>
  <c r="W47" i="55" s="1"/>
  <c r="X47" i="55" s="1"/>
  <c r="Y47" i="55" s="1"/>
  <c r="Z47" i="55" s="1"/>
  <c r="AA47" i="55" s="1"/>
  <c r="AB47" i="55" s="1"/>
  <c r="AD55" i="55"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N55" i="55" s="1" a="1"/>
  <c r="AN55" i="55" s="1"/>
  <c r="AD57" i="55"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N57" i="55" s="1" a="1"/>
  <c r="AN57" i="55" s="1"/>
  <c r="AD51" i="55"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N51" i="55" s="1" a="1"/>
  <c r="AN51" i="55" s="1"/>
  <c r="AD56" i="55"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N56" i="55" s="1" a="1"/>
  <c r="AN56" i="55" s="1"/>
  <c r="AD58" i="55"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N58" i="55" s="1" a="1"/>
  <c r="AN58" i="55" s="1"/>
  <c r="AD60" i="55"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N60" i="55" s="1" a="1"/>
  <c r="AN60" i="55" s="1"/>
  <c r="AD62" i="55"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N62" i="55" s="1" a="1"/>
  <c r="AN62" i="55" s="1"/>
  <c r="AD61" i="55"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N61" i="55" s="1" a="1"/>
  <c r="AN61" i="55" s="1"/>
  <c r="AD49" i="55"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N49" i="55" s="1" a="1"/>
  <c r="AN49" i="55" s="1"/>
  <c r="AD54" i="55"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N54" i="55" s="1" a="1"/>
  <c r="AN54" i="55" s="1"/>
  <c r="AD59" i="55"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N59" i="55" s="1" a="1"/>
  <c r="AN59" i="55" s="1"/>
  <c r="AD52" i="55"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N52" i="55" s="1" a="1"/>
  <c r="AN52" i="55" s="1"/>
  <c r="AD47" i="55"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N47" i="55" s="1" a="1"/>
  <c r="AN47" i="55" s="1"/>
  <c r="B21" i="55"/>
  <c r="B57" i="55"/>
  <c r="B58" i="55" l="1"/>
  <c r="B86" i="47" l="1"/>
  <c r="B85" i="47"/>
  <c r="B84" i="47"/>
  <c r="E138" i="47" l="1"/>
  <c r="G138" i="47" l="1"/>
  <c r="F84" i="47"/>
  <c r="F85" i="47"/>
  <c r="A38" i="37" l="1"/>
  <c r="E15" i="29" l="1"/>
  <c r="F15" i="29" s="1"/>
  <c r="G15" i="29" s="1"/>
  <c r="H15" i="29" s="1"/>
  <c r="J15" i="29"/>
  <c r="B54" i="29"/>
  <c r="C54" i="29"/>
  <c r="E54" i="29"/>
  <c r="F54" i="29"/>
  <c r="G54" i="29"/>
  <c r="H54" i="29"/>
  <c r="I54" i="29"/>
  <c r="B55" i="29"/>
  <c r="C55" i="29"/>
  <c r="E55" i="29"/>
  <c r="F55" i="29"/>
  <c r="G55" i="29"/>
  <c r="H55" i="29"/>
  <c r="I55" i="29"/>
  <c r="D53" i="29" l="1"/>
  <c r="D54" i="29"/>
  <c r="D55" i="29"/>
  <c r="E84" i="47" l="1"/>
  <c r="E85" i="47"/>
  <c r="AM49" i="29" l="1"/>
  <c r="AM48" i="29"/>
  <c r="I56" i="29" l="1"/>
  <c r="H56" i="29"/>
  <c r="G56" i="29"/>
  <c r="F56" i="29"/>
  <c r="E56" i="29"/>
  <c r="C56" i="29"/>
  <c r="B56" i="29"/>
  <c r="I53" i="29"/>
  <c r="H53" i="29"/>
  <c r="G53" i="29"/>
  <c r="F53" i="29"/>
  <c r="E53" i="29"/>
  <c r="C53" i="29"/>
  <c r="B53" i="29"/>
  <c r="I52" i="29"/>
  <c r="H52" i="29"/>
  <c r="G52" i="29"/>
  <c r="F52" i="29"/>
  <c r="E52" i="29"/>
  <c r="C52" i="29"/>
  <c r="B52" i="29"/>
  <c r="AO49" i="29"/>
  <c r="AN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J49" i="29"/>
  <c r="AM50" i="29"/>
  <c r="AM51" i="29" s="1"/>
  <c r="AO48" i="29"/>
  <c r="AN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J48" i="29"/>
  <c r="J3" i="29"/>
  <c r="F81" i="47"/>
  <c r="E81" i="47" s="1"/>
  <c r="G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H18" i="52"/>
  <c r="G18" i="52"/>
  <c r="F18" i="52"/>
  <c r="E18" i="52"/>
  <c r="D18" i="52"/>
  <c r="S17" i="52"/>
  <c r="R17" i="52"/>
  <c r="Q17" i="52"/>
  <c r="P17" i="52"/>
  <c r="O17" i="52"/>
  <c r="N17" i="52"/>
  <c r="M17" i="52"/>
  <c r="L17" i="52"/>
  <c r="K17" i="52"/>
  <c r="J17" i="52"/>
  <c r="I17" i="52"/>
  <c r="H17" i="52"/>
  <c r="G17" i="52"/>
  <c r="F17" i="52"/>
  <c r="E17" i="52"/>
  <c r="D17" i="52"/>
  <c r="S16" i="52"/>
  <c r="R16" i="52"/>
  <c r="Q16" i="52"/>
  <c r="P16" i="52"/>
  <c r="P50" i="52" s="1"/>
  <c r="O16" i="52"/>
  <c r="N16" i="52"/>
  <c r="M16" i="52"/>
  <c r="L16" i="52"/>
  <c r="K16" i="52"/>
  <c r="J16" i="52"/>
  <c r="I16" i="52"/>
  <c r="H16" i="52"/>
  <c r="G16" i="52"/>
  <c r="F16" i="52"/>
  <c r="E16" i="52"/>
  <c r="D16" i="52"/>
  <c r="S15" i="52"/>
  <c r="R15" i="52"/>
  <c r="Q15" i="52"/>
  <c r="P15" i="52"/>
  <c r="O15" i="52"/>
  <c r="N15" i="52"/>
  <c r="M15" i="52"/>
  <c r="L15" i="52"/>
  <c r="K15" i="52"/>
  <c r="J15" i="52"/>
  <c r="I15" i="52"/>
  <c r="H15" i="52"/>
  <c r="H49" i="52" s="1"/>
  <c r="G15" i="52"/>
  <c r="F15" i="52"/>
  <c r="E15" i="52"/>
  <c r="D15" i="52"/>
  <c r="S14" i="52"/>
  <c r="R14" i="52"/>
  <c r="Q14" i="52"/>
  <c r="P14" i="52"/>
  <c r="O14" i="52"/>
  <c r="N14" i="52"/>
  <c r="M14" i="52"/>
  <c r="L14" i="52"/>
  <c r="K14" i="52"/>
  <c r="J14" i="52"/>
  <c r="I14" i="52"/>
  <c r="H14" i="52"/>
  <c r="G14" i="52"/>
  <c r="F14" i="52"/>
  <c r="E14" i="52"/>
  <c r="D14" i="52"/>
  <c r="S13" i="52"/>
  <c r="R13" i="52"/>
  <c r="Q13" i="52"/>
  <c r="P13" i="52"/>
  <c r="O13" i="52"/>
  <c r="N13" i="52"/>
  <c r="M13" i="52"/>
  <c r="L13" i="52"/>
  <c r="K13" i="52"/>
  <c r="J13" i="52"/>
  <c r="I13" i="52"/>
  <c r="H13" i="52"/>
  <c r="G13" i="52"/>
  <c r="F13" i="52"/>
  <c r="E13" i="52"/>
  <c r="D13" i="52"/>
  <c r="S12" i="52"/>
  <c r="R12" i="52"/>
  <c r="Q12" i="52"/>
  <c r="P12" i="52"/>
  <c r="O12" i="52"/>
  <c r="N12" i="52"/>
  <c r="M12" i="52"/>
  <c r="L12" i="52"/>
  <c r="K12" i="52"/>
  <c r="J12" i="52"/>
  <c r="I12" i="52"/>
  <c r="H12" i="52"/>
  <c r="G12" i="52"/>
  <c r="F12" i="52"/>
  <c r="E12" i="52"/>
  <c r="D12" i="52"/>
  <c r="S11" i="52"/>
  <c r="R11" i="52"/>
  <c r="Q11" i="52"/>
  <c r="P11" i="52"/>
  <c r="O11" i="52"/>
  <c r="N11" i="52"/>
  <c r="M11" i="52"/>
  <c r="L11" i="52"/>
  <c r="L45" i="52" s="1"/>
  <c r="K11" i="52"/>
  <c r="J11" i="52"/>
  <c r="I11" i="52"/>
  <c r="H11" i="52"/>
  <c r="G11" i="52"/>
  <c r="F11" i="52"/>
  <c r="E11" i="52"/>
  <c r="D11" i="52"/>
  <c r="S10" i="52"/>
  <c r="R10" i="52"/>
  <c r="Q10" i="52"/>
  <c r="P10" i="52"/>
  <c r="O10" i="52"/>
  <c r="N10" i="52"/>
  <c r="M10" i="52"/>
  <c r="L10" i="52"/>
  <c r="K10" i="52"/>
  <c r="J10" i="52"/>
  <c r="I10" i="52"/>
  <c r="H10" i="52"/>
  <c r="G10" i="52"/>
  <c r="F10" i="52"/>
  <c r="E10" i="52"/>
  <c r="D10" i="52"/>
  <c r="S9" i="52"/>
  <c r="R9" i="52"/>
  <c r="Q9" i="52"/>
  <c r="P9" i="52"/>
  <c r="O9" i="52"/>
  <c r="N9" i="52"/>
  <c r="M9" i="52"/>
  <c r="L9" i="52"/>
  <c r="K9" i="52"/>
  <c r="J9" i="52"/>
  <c r="I9" i="52"/>
  <c r="H9" i="52"/>
  <c r="G9" i="52"/>
  <c r="F9" i="52"/>
  <c r="E9" i="52"/>
  <c r="D9" i="52"/>
  <c r="S8" i="52"/>
  <c r="R8" i="52"/>
  <c r="Q8" i="52"/>
  <c r="P8" i="52"/>
  <c r="O8" i="52"/>
  <c r="N8" i="52"/>
  <c r="M8" i="52"/>
  <c r="L8" i="52"/>
  <c r="K8" i="52"/>
  <c r="J8" i="52"/>
  <c r="I8" i="52"/>
  <c r="H8" i="52"/>
  <c r="G8" i="52"/>
  <c r="F8" i="52"/>
  <c r="E8" i="52"/>
  <c r="D8" i="52"/>
  <c r="S7" i="52"/>
  <c r="R7" i="52"/>
  <c r="Q7" i="52"/>
  <c r="P7" i="52"/>
  <c r="O7" i="52"/>
  <c r="N7" i="52"/>
  <c r="M7" i="52"/>
  <c r="M41" i="52" s="1"/>
  <c r="L7" i="52"/>
  <c r="K7" i="52"/>
  <c r="J7" i="52"/>
  <c r="I7" i="52"/>
  <c r="H7" i="52"/>
  <c r="G7" i="52"/>
  <c r="F7" i="52"/>
  <c r="E7" i="52"/>
  <c r="D7" i="52"/>
  <c r="S6" i="52"/>
  <c r="R6" i="52"/>
  <c r="Q6" i="52"/>
  <c r="P6" i="52"/>
  <c r="O6" i="52"/>
  <c r="N6" i="52"/>
  <c r="M6" i="52"/>
  <c r="L6" i="52"/>
  <c r="K6" i="52"/>
  <c r="J6" i="52"/>
  <c r="I6" i="52"/>
  <c r="H6" i="52"/>
  <c r="G6" i="52"/>
  <c r="F6" i="52"/>
  <c r="E6" i="52"/>
  <c r="D6" i="52"/>
  <c r="S5" i="52"/>
  <c r="R5" i="52"/>
  <c r="Q5" i="52"/>
  <c r="P5" i="52"/>
  <c r="O5" i="52"/>
  <c r="N5" i="52"/>
  <c r="M5" i="52"/>
  <c r="L5" i="52"/>
  <c r="K5" i="52"/>
  <c r="J5" i="52"/>
  <c r="I5" i="52"/>
  <c r="H5" i="52"/>
  <c r="G5" i="52"/>
  <c r="F5" i="52"/>
  <c r="E5" i="52"/>
  <c r="D5" i="52"/>
  <c r="S4" i="52"/>
  <c r="R4" i="52"/>
  <c r="Q4" i="52"/>
  <c r="P4" i="52"/>
  <c r="O4" i="52"/>
  <c r="O38" i="52" s="1"/>
  <c r="N4" i="52"/>
  <c r="M4" i="52"/>
  <c r="L4" i="52"/>
  <c r="K4" i="52"/>
  <c r="J4" i="52"/>
  <c r="I4" i="52"/>
  <c r="H4" i="52"/>
  <c r="G4" i="52"/>
  <c r="F4" i="52"/>
  <c r="E4" i="52"/>
  <c r="D4" i="52"/>
  <c r="D38" i="52" s="1"/>
  <c r="S3" i="52"/>
  <c r="R3" i="52"/>
  <c r="Q3" i="52"/>
  <c r="P3" i="52"/>
  <c r="O3" i="52"/>
  <c r="N3" i="52"/>
  <c r="M3" i="52"/>
  <c r="L3" i="52"/>
  <c r="K3" i="52"/>
  <c r="J3" i="52"/>
  <c r="I3" i="52"/>
  <c r="H3" i="52"/>
  <c r="G3" i="52"/>
  <c r="F3" i="52"/>
  <c r="E3" i="52"/>
  <c r="D3" i="52"/>
  <c r="S2" i="52"/>
  <c r="R2" i="52"/>
  <c r="Q2" i="52"/>
  <c r="P2" i="52"/>
  <c r="O2" i="52"/>
  <c r="N2" i="52"/>
  <c r="M2" i="52"/>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B8" i="44"/>
  <c r="B9" i="44" s="1"/>
  <c r="B10" i="44" s="1"/>
  <c r="B11" i="44" s="1"/>
  <c r="B12" i="44" s="1"/>
  <c r="F89" i="47"/>
  <c r="F90" i="47"/>
  <c r="F91" i="47"/>
  <c r="F92" i="47"/>
  <c r="F93" i="47"/>
  <c r="F94" i="47"/>
  <c r="F95" i="47"/>
  <c r="F96" i="47"/>
  <c r="A26" i="35"/>
  <c r="A25" i="35"/>
  <c r="A24" i="35"/>
  <c r="A23" i="35"/>
  <c r="A22" i="35"/>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AH6" i="44" s="1"/>
  <c r="AI6" i="44" s="1"/>
  <c r="AJ6" i="44" s="1"/>
  <c r="AK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G62" i="47" s="1"/>
  <c r="F63" i="47"/>
  <c r="E63" i="47" s="1"/>
  <c r="G63" i="47" s="1"/>
  <c r="F64" i="47"/>
  <c r="E64" i="47" s="1"/>
  <c r="G64" i="47" s="1"/>
  <c r="F65" i="47"/>
  <c r="E65" i="47" s="1"/>
  <c r="G65" i="47" s="1"/>
  <c r="F66" i="47"/>
  <c r="E66" i="47" s="1"/>
  <c r="G66" i="47" s="1"/>
  <c r="F67" i="47"/>
  <c r="E67" i="47" s="1"/>
  <c r="G67" i="47" s="1"/>
  <c r="F68" i="47"/>
  <c r="E68" i="47" s="1"/>
  <c r="G68" i="47" s="1"/>
  <c r="F69" i="47"/>
  <c r="E69" i="47" s="1"/>
  <c r="G69" i="47" s="1"/>
  <c r="F70" i="47"/>
  <c r="E70" i="47" s="1"/>
  <c r="G70" i="47" s="1"/>
  <c r="F71" i="47"/>
  <c r="E71" i="47" s="1"/>
  <c r="G71" i="47" s="1"/>
  <c r="F72" i="47"/>
  <c r="E72" i="47" s="1"/>
  <c r="G72" i="47" s="1"/>
  <c r="F73" i="47"/>
  <c r="E73" i="47" s="1"/>
  <c r="G73" i="47" s="1"/>
  <c r="F74" i="47"/>
  <c r="E74" i="47" s="1"/>
  <c r="G74" i="47" s="1"/>
  <c r="F75" i="47"/>
  <c r="E75" i="47" s="1"/>
  <c r="G75" i="47" s="1"/>
  <c r="F76" i="47"/>
  <c r="E76" i="47" s="1"/>
  <c r="G76" i="47" s="1"/>
  <c r="F77" i="47"/>
  <c r="E77" i="47" s="1"/>
  <c r="G77" i="47" s="1"/>
  <c r="F78" i="47"/>
  <c r="E78" i="47" s="1"/>
  <c r="G78" i="47" s="1"/>
  <c r="F79" i="47"/>
  <c r="E79" i="47" s="1"/>
  <c r="G79" i="47" s="1"/>
  <c r="F80" i="47"/>
  <c r="E80" i="47" s="1"/>
  <c r="G80" i="47" s="1"/>
  <c r="F82" i="47"/>
  <c r="E82" i="47" s="1"/>
  <c r="G82" i="47" s="1"/>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F120" i="47"/>
  <c r="E120" i="47" s="1"/>
  <c r="F121" i="47"/>
  <c r="E121" i="47" s="1"/>
  <c r="F122" i="47"/>
  <c r="E122" i="47" s="1"/>
  <c r="F123" i="47"/>
  <c r="E123" i="47" s="1"/>
  <c r="F124" i="47"/>
  <c r="E124" i="47" s="1"/>
  <c r="F125" i="47"/>
  <c r="E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J16" i="29"/>
  <c r="P16" i="29" s="1"/>
  <c r="D21" i="29"/>
  <c r="E21" i="29" s="1"/>
  <c r="F21" i="29" s="1"/>
  <c r="G21" i="29" s="1"/>
  <c r="H21" i="29" s="1"/>
  <c r="B9" i="35"/>
  <c r="C9" i="35"/>
  <c r="K9" i="35"/>
  <c r="L9" i="35" s="1"/>
  <c r="M9" i="35" s="1"/>
  <c r="N9" i="35" s="1"/>
  <c r="O9" i="35" s="1"/>
  <c r="P9" i="35" s="1"/>
  <c r="Q9" i="35" s="1"/>
  <c r="R9" i="35" s="1"/>
  <c r="S9" i="35" s="1"/>
  <c r="T9" i="35" s="1"/>
  <c r="U9" i="35" s="1"/>
  <c r="V9" i="35" s="1"/>
  <c r="W9" i="35" s="1"/>
  <c r="X9" i="35" s="1"/>
  <c r="Y9" i="35" s="1"/>
  <c r="Z9" i="35" s="1"/>
  <c r="AA9" i="35" s="1"/>
  <c r="AB9" i="35" s="1"/>
  <c r="AC9" i="35" s="1"/>
  <c r="AD9" i="35" s="1"/>
  <c r="AE9" i="35" s="1"/>
  <c r="AF9" i="35" s="1"/>
  <c r="AG9" i="35" s="1"/>
  <c r="AH9" i="35" s="1"/>
  <c r="AI9" i="35" s="1"/>
  <c r="AJ9" i="35" s="1"/>
  <c r="AK9" i="35" s="1"/>
  <c r="A1" i="29"/>
  <c r="M39" i="52" l="1"/>
  <c r="I40" i="52"/>
  <c r="E41" i="52"/>
  <c r="Q41" i="52"/>
  <c r="M42" i="52"/>
  <c r="I43" i="52"/>
  <c r="E44" i="52"/>
  <c r="Q44" i="52"/>
  <c r="M45" i="52"/>
  <c r="I46" i="52"/>
  <c r="E47" i="52"/>
  <c r="Q47" i="52"/>
  <c r="M48" i="52"/>
  <c r="I49" i="52"/>
  <c r="E50" i="52"/>
  <c r="Q50" i="52"/>
  <c r="M51" i="52"/>
  <c r="I52" i="52"/>
  <c r="E38" i="52"/>
  <c r="M36" i="52"/>
  <c r="I37" i="52"/>
  <c r="Q38" i="52"/>
  <c r="O39" i="52"/>
  <c r="K40" i="52"/>
  <c r="O48" i="52"/>
  <c r="K49" i="52"/>
  <c r="H38" i="52"/>
  <c r="L40" i="52"/>
  <c r="D42" i="52"/>
  <c r="P42" i="52"/>
  <c r="L43" i="52"/>
  <c r="H44" i="52"/>
  <c r="D45" i="52"/>
  <c r="P45" i="52"/>
  <c r="L46" i="52"/>
  <c r="H47" i="52"/>
  <c r="D48" i="52"/>
  <c r="P48" i="52"/>
  <c r="L49" i="52"/>
  <c r="H50" i="52"/>
  <c r="D51" i="52"/>
  <c r="P51" i="52"/>
  <c r="L52" i="52"/>
  <c r="P39" i="52"/>
  <c r="D39" i="52"/>
  <c r="H41" i="52"/>
  <c r="F16" i="29"/>
  <c r="K16" i="29"/>
  <c r="Q16" i="29" s="1"/>
  <c r="B15" i="44"/>
  <c r="B16" i="44" s="1"/>
  <c r="B17" i="44" s="1"/>
  <c r="B18" i="44" s="1"/>
  <c r="B19" i="44" s="1"/>
  <c r="B13" i="44"/>
  <c r="B14" i="44" s="1"/>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H19" i="57"/>
  <c r="H20" i="57"/>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D38" i="44"/>
  <c r="L9" i="55"/>
  <c r="L16" i="55" s="1" a="1"/>
  <c r="L16" i="55" s="1"/>
  <c r="M9" i="55"/>
  <c r="M16" i="55" s="1" a="1"/>
  <c r="M16" i="55" s="1"/>
  <c r="N9" i="55"/>
  <c r="N16" i="55" s="1" a="1"/>
  <c r="N16" i="55" s="1"/>
  <c r="E45" i="52"/>
  <c r="Q45" i="52"/>
  <c r="I50" i="52"/>
  <c r="E51" i="52"/>
  <c r="G18" i="55"/>
  <c r="G22" i="55"/>
  <c r="G10" i="55"/>
  <c r="G25" i="55"/>
  <c r="G17" i="55"/>
  <c r="G15" i="55"/>
  <c r="G23" i="55"/>
  <c r="G24" i="55"/>
  <c r="G19" i="55"/>
  <c r="G20" i="55"/>
  <c r="G21" i="55"/>
  <c r="J41" i="52"/>
  <c r="J44" i="52"/>
  <c r="N46" i="52"/>
  <c r="J50" i="52"/>
  <c r="N52" i="52"/>
  <c r="F36" i="52"/>
  <c r="R36" i="52"/>
  <c r="N37" i="52"/>
  <c r="J38" i="52"/>
  <c r="F39" i="52"/>
  <c r="N40" i="52"/>
  <c r="F42" i="52"/>
  <c r="R42" i="52"/>
  <c r="N43" i="52"/>
  <c r="F45" i="52"/>
  <c r="R45" i="52"/>
  <c r="J47" i="52"/>
  <c r="F48" i="52"/>
  <c r="R48" i="52"/>
  <c r="N49" i="52"/>
  <c r="F51" i="52"/>
  <c r="R51" i="52"/>
  <c r="E36" i="52"/>
  <c r="Q36" i="52"/>
  <c r="M37" i="52"/>
  <c r="I38" i="52"/>
  <c r="E39" i="52"/>
  <c r="Q39" i="52"/>
  <c r="M40" i="52"/>
  <c r="I41" i="52"/>
  <c r="E42" i="52"/>
  <c r="Q42" i="52"/>
  <c r="M43" i="52"/>
  <c r="I44" i="52"/>
  <c r="M46" i="52"/>
  <c r="I47" i="52"/>
  <c r="E48" i="52"/>
  <c r="Q48" i="52"/>
  <c r="M49" i="52"/>
  <c r="Q51" i="52"/>
  <c r="M52" i="52"/>
  <c r="E86" i="47"/>
  <c r="K3" i="29"/>
  <c r="U50" i="29"/>
  <c r="U51" i="29" s="1"/>
  <c r="AF50" i="29"/>
  <c r="AF51" i="29" s="1"/>
  <c r="S50" i="29"/>
  <c r="S51" i="29" s="1"/>
  <c r="Q50" i="29"/>
  <c r="Q51" i="29" s="1"/>
  <c r="AN50" i="29"/>
  <c r="AN51" i="29" s="1"/>
  <c r="V50" i="29"/>
  <c r="V51" i="29" s="1"/>
  <c r="E5" i="47"/>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AL50" i="29"/>
  <c r="AL51" i="29" s="1"/>
  <c r="Y50" i="29"/>
  <c r="Y51" i="29" s="1"/>
  <c r="R50" i="29"/>
  <c r="R51" i="29" s="1"/>
  <c r="AH50" i="29"/>
  <c r="AH51" i="29" s="1"/>
  <c r="AG50" i="29"/>
  <c r="AG51" i="29" s="1"/>
  <c r="AO50" i="29"/>
  <c r="AO51" i="29" s="1"/>
  <c r="AJ50" i="29"/>
  <c r="AJ51" i="29" s="1"/>
  <c r="K36" i="52"/>
  <c r="G37" i="52"/>
  <c r="S37" i="52"/>
  <c r="K39" i="52"/>
  <c r="G40" i="52"/>
  <c r="S40" i="52"/>
  <c r="O41" i="52"/>
  <c r="K42" i="52"/>
  <c r="G43" i="52"/>
  <c r="S43" i="52"/>
  <c r="O44" i="52"/>
  <c r="K45" i="52"/>
  <c r="G46" i="52"/>
  <c r="S46" i="52"/>
  <c r="O47" i="52"/>
  <c r="K48" i="52"/>
  <c r="G49" i="52"/>
  <c r="S49" i="52"/>
  <c r="K51" i="52"/>
  <c r="G52" i="52"/>
  <c r="S52" i="52"/>
  <c r="D33" i="29"/>
  <c r="D5" i="29"/>
  <c r="D6" i="35"/>
  <c r="E9" i="47"/>
  <c r="E8" i="47"/>
  <c r="E7" i="47"/>
  <c r="E6" i="47"/>
  <c r="S33" i="29" l="1" a="1"/>
  <c r="S33" i="29" s="1"/>
  <c r="T33" i="29" a="1"/>
  <c r="T33" i="29" s="1"/>
  <c r="T5" i="29" a="1"/>
  <c r="T5" i="29" s="1"/>
  <c r="S5" i="29" a="1"/>
  <c r="S5" i="29" s="1"/>
  <c r="L53" i="52"/>
  <c r="G16" i="29"/>
  <c r="L16" i="29"/>
  <c r="R16" i="29" s="1"/>
  <c r="AK6" i="35" a="1"/>
  <c r="AK6" i="35" s="1"/>
  <c r="AJ6" i="35" a="1"/>
  <c r="AJ6" i="35" s="1"/>
  <c r="B20" i="44"/>
  <c r="B21" i="44" s="1"/>
  <c r="B22" i="44" s="1"/>
  <c r="L11" i="55" a="1"/>
  <c r="L11" i="55" s="1"/>
  <c r="L14" i="55" a="1"/>
  <c r="L14" i="55" s="1"/>
  <c r="N11" i="55" a="1"/>
  <c r="N11" i="55" s="1"/>
  <c r="N14" i="55" a="1"/>
  <c r="N14" i="55" s="1"/>
  <c r="M11" i="55" a="1"/>
  <c r="M11" i="55" s="1"/>
  <c r="M14" i="55" a="1"/>
  <c r="M14" i="55" s="1"/>
  <c r="K6" i="35" a="1"/>
  <c r="K6" i="35" s="1"/>
  <c r="M6" i="35" a="1"/>
  <c r="M6" i="35" s="1"/>
  <c r="L6" i="35" a="1"/>
  <c r="L6" i="35" s="1"/>
  <c r="J6" i="35" a="1"/>
  <c r="J6" i="35" s="1"/>
  <c r="N6" i="35" a="1"/>
  <c r="N6" i="35" s="1"/>
  <c r="X6" i="35" a="1"/>
  <c r="X6" i="35" s="1"/>
  <c r="AH6" i="35" a="1"/>
  <c r="AH6" i="35" s="1"/>
  <c r="AB6" i="35" a="1"/>
  <c r="AB6" i="35" s="1"/>
  <c r="V6" i="35" a="1"/>
  <c r="V6" i="35" s="1"/>
  <c r="AD6" i="35" a="1"/>
  <c r="AD6" i="35" s="1"/>
  <c r="AG6" i="35" a="1"/>
  <c r="AG6" i="35" s="1"/>
  <c r="P6" i="35" a="1"/>
  <c r="P6" i="35" s="1"/>
  <c r="U6" i="35" a="1"/>
  <c r="U6" i="35" s="1"/>
  <c r="R6" i="35" a="1"/>
  <c r="R6" i="35" s="1"/>
  <c r="AE6" i="35" a="1"/>
  <c r="AE6" i="35" s="1"/>
  <c r="W6" i="35" a="1"/>
  <c r="W6" i="35" s="1"/>
  <c r="Z6" i="35" a="1"/>
  <c r="Z6" i="35" s="1"/>
  <c r="AF6" i="35" a="1"/>
  <c r="AF6" i="35" s="1"/>
  <c r="Y6" i="35" a="1"/>
  <c r="Y6" i="35" s="1"/>
  <c r="O6" i="35" a="1"/>
  <c r="O6" i="35" s="1"/>
  <c r="T6" i="35" a="1"/>
  <c r="T6" i="35" s="1"/>
  <c r="AC6" i="35" a="1"/>
  <c r="AC6" i="35" s="1"/>
  <c r="AA6" i="35" a="1"/>
  <c r="AA6" i="35" s="1"/>
  <c r="Q6" i="35" a="1"/>
  <c r="Q6" i="35" s="1"/>
  <c r="AI6" i="35" a="1"/>
  <c r="AI6" i="35" s="1"/>
  <c r="S6" i="35" a="1"/>
  <c r="S6" i="35" s="1"/>
  <c r="G8" i="56" a="1"/>
  <c r="G8" i="56" s="1"/>
  <c r="H8" i="56" a="1"/>
  <c r="H8" i="56" s="1"/>
  <c r="R8" i="56" s="1"/>
  <c r="I8" i="56" a="1"/>
  <c r="I8" i="56" s="1"/>
  <c r="H9" i="56" a="1"/>
  <c r="H9" i="56" s="1"/>
  <c r="R9" i="56" s="1"/>
  <c r="G9" i="56" a="1"/>
  <c r="G9" i="56" s="1"/>
  <c r="Q9" i="56" s="1"/>
  <c r="AA9" i="56" s="1"/>
  <c r="I9" i="56" a="1"/>
  <c r="I9" i="56" s="1"/>
  <c r="H7" i="56" a="1"/>
  <c r="H7" i="56" s="1"/>
  <c r="R7" i="56" s="1"/>
  <c r="G7" i="56" a="1"/>
  <c r="G7" i="56" s="1"/>
  <c r="I7" i="56" a="1"/>
  <c r="I7" i="56" s="1"/>
  <c r="S7" i="56" s="1"/>
  <c r="N10" i="55" a="1"/>
  <c r="N10" i="55" s="1"/>
  <c r="M10" i="55" a="1"/>
  <c r="M10" i="55" s="1"/>
  <c r="L10" i="55" a="1"/>
  <c r="L10" i="55" s="1"/>
  <c r="K10" i="55" a="1"/>
  <c r="K10" i="55" s="1"/>
  <c r="N18" i="55" a="1"/>
  <c r="N18" i="55" s="1"/>
  <c r="M18" i="55" a="1"/>
  <c r="M18" i="55" s="1"/>
  <c r="L18" i="55" a="1"/>
  <c r="L18" i="55" s="1"/>
  <c r="K18" i="55" a="1"/>
  <c r="K18" i="55" s="1"/>
  <c r="K21" i="55" a="1"/>
  <c r="K21" i="55" s="1"/>
  <c r="M21" i="55" a="1"/>
  <c r="M21" i="55" s="1"/>
  <c r="N21" i="55" a="1"/>
  <c r="N21" i="55" s="1"/>
  <c r="L21" i="55" a="1"/>
  <c r="L21" i="55" s="1"/>
  <c r="N20" i="55" a="1"/>
  <c r="N20" i="55" s="1"/>
  <c r="M20" i="55" a="1"/>
  <c r="M20" i="55" s="1"/>
  <c r="L20" i="55" a="1"/>
  <c r="L20" i="55" s="1"/>
  <c r="K20" i="55" a="1"/>
  <c r="K20" i="55" s="1"/>
  <c r="M22" i="55" a="1"/>
  <c r="M22" i="55" s="1"/>
  <c r="L22" i="55" a="1"/>
  <c r="L22" i="55" s="1"/>
  <c r="K22" i="55" a="1"/>
  <c r="K22" i="55" s="1"/>
  <c r="N22" i="55" a="1"/>
  <c r="N22" i="55" s="1"/>
  <c r="M19" i="55" a="1"/>
  <c r="M19" i="55" s="1"/>
  <c r="L19" i="55" a="1"/>
  <c r="L19" i="55" s="1"/>
  <c r="N19" i="55" a="1"/>
  <c r="N19" i="55" s="1"/>
  <c r="K19" i="55" a="1"/>
  <c r="K19" i="55" s="1"/>
  <c r="K24" i="55" a="1"/>
  <c r="K24" i="55" s="1"/>
  <c r="M24" i="55" a="1"/>
  <c r="M24" i="55" s="1"/>
  <c r="N24" i="55" a="1"/>
  <c r="N24" i="55" s="1"/>
  <c r="L24" i="55" a="1"/>
  <c r="L24" i="55" s="1"/>
  <c r="L23" i="55" a="1"/>
  <c r="L23" i="55" s="1"/>
  <c r="K23" i="55" a="1"/>
  <c r="K23" i="55" s="1"/>
  <c r="N23" i="55" a="1"/>
  <c r="N23" i="55" s="1"/>
  <c r="M23" i="55" a="1"/>
  <c r="M23" i="55" s="1"/>
  <c r="M15" i="55" a="1"/>
  <c r="M15" i="55" s="1"/>
  <c r="L15" i="55" a="1"/>
  <c r="L15" i="55" s="1"/>
  <c r="K15" i="55" a="1"/>
  <c r="K15" i="55" s="1"/>
  <c r="N15" i="55" a="1"/>
  <c r="N15" i="55" s="1"/>
  <c r="K17" i="55" a="1"/>
  <c r="K17" i="55" s="1"/>
  <c r="M17" i="55" a="1"/>
  <c r="M17" i="55" s="1"/>
  <c r="N17" i="55" a="1"/>
  <c r="N17" i="55" s="1"/>
  <c r="L17" i="55" a="1"/>
  <c r="L17" i="55" s="1"/>
  <c r="N25" i="55" a="1"/>
  <c r="N25" i="55" s="1"/>
  <c r="L25" i="55" a="1"/>
  <c r="L25" i="55" s="1"/>
  <c r="M25" i="55" a="1"/>
  <c r="M25" i="55" s="1"/>
  <c r="K25" i="55" a="1"/>
  <c r="K25" i="55" s="1"/>
  <c r="O5" i="29" a="1"/>
  <c r="O5" i="29" s="1"/>
  <c r="M5" i="29" a="1"/>
  <c r="M5" i="29" s="1"/>
  <c r="J5" i="29" a="1"/>
  <c r="J5" i="29" s="1"/>
  <c r="K5" i="29" a="1"/>
  <c r="K5" i="29" s="1"/>
  <c r="M33" i="29" a="1"/>
  <c r="M33" i="29" s="1"/>
  <c r="J33" i="29" a="1"/>
  <c r="J33" i="29" s="1"/>
  <c r="O33" i="29" a="1"/>
  <c r="O33" i="29" s="1"/>
  <c r="K33" i="29" a="1"/>
  <c r="K33" i="29" s="1"/>
  <c r="P53" i="52"/>
  <c r="H53" i="52"/>
  <c r="D53" i="52"/>
  <c r="N53" i="52"/>
  <c r="E97" i="47"/>
  <c r="G38" i="44"/>
  <c r="O9" i="55"/>
  <c r="O16" i="55" s="1" a="1"/>
  <c r="O16" i="55" s="1"/>
  <c r="E38" i="44"/>
  <c r="F38" i="44"/>
  <c r="E89" i="47"/>
  <c r="F53" i="52"/>
  <c r="E98" i="47"/>
  <c r="E92" i="47"/>
  <c r="E99" i="47"/>
  <c r="E94" i="47"/>
  <c r="E96" i="47"/>
  <c r="E95" i="47"/>
  <c r="E88" i="47"/>
  <c r="E90" i="47"/>
  <c r="E91" i="47"/>
  <c r="E93" i="47"/>
  <c r="E87" i="47"/>
  <c r="E53" i="52"/>
  <c r="J53" i="52"/>
  <c r="Q53" i="52"/>
  <c r="I53" i="52"/>
  <c r="R53" i="52"/>
  <c r="M53" i="52"/>
  <c r="G134" i="47"/>
  <c r="G127" i="47"/>
  <c r="G135" i="47"/>
  <c r="G136" i="47"/>
  <c r="K53" i="52"/>
  <c r="G53" i="52"/>
  <c r="S53" i="52"/>
  <c r="O53" i="52"/>
  <c r="S9" i="56" l="1"/>
  <c r="AC9" i="56" s="1"/>
  <c r="S8" i="56"/>
  <c r="AC8" i="56" s="1"/>
  <c r="Q8" i="56"/>
  <c r="AA8" i="56" s="1"/>
  <c r="H16" i="29"/>
  <c r="N16" i="29" s="1"/>
  <c r="T16" i="29" s="1"/>
  <c r="M16" i="29"/>
  <c r="S16" i="29" s="1"/>
  <c r="K23" i="35"/>
  <c r="L23" i="35" s="1"/>
  <c r="M23" i="35" s="1"/>
  <c r="N23" i="35" s="1"/>
  <c r="O23" i="35" s="1"/>
  <c r="P23" i="35" s="1"/>
  <c r="Q23" i="35" s="1"/>
  <c r="R23" i="35" s="1"/>
  <c r="S23" i="35" s="1"/>
  <c r="T23" i="35" s="1"/>
  <c r="U23" i="35" s="1"/>
  <c r="V23" i="35" s="1"/>
  <c r="W23" i="35" s="1"/>
  <c r="X23" i="35" s="1"/>
  <c r="Y23" i="35" s="1"/>
  <c r="Z23" i="35" s="1"/>
  <c r="AA23" i="35" s="1"/>
  <c r="AB23" i="35" s="1"/>
  <c r="AC23" i="35" s="1"/>
  <c r="AD23" i="35" s="1"/>
  <c r="AE23" i="35" s="1"/>
  <c r="AF23" i="35" s="1"/>
  <c r="AG23" i="35" s="1"/>
  <c r="AH23" i="35" s="1"/>
  <c r="AI23" i="35" s="1"/>
  <c r="AJ23" i="35" s="1"/>
  <c r="AK23" i="35" s="1"/>
  <c r="K24" i="35"/>
  <c r="L24" i="35" s="1"/>
  <c r="M24" i="35" s="1"/>
  <c r="N24" i="35" s="1"/>
  <c r="O24" i="35" s="1"/>
  <c r="P24" i="35" s="1"/>
  <c r="Q24" i="35" s="1"/>
  <c r="R24" i="35" s="1"/>
  <c r="S24" i="35" s="1"/>
  <c r="T24" i="35" s="1"/>
  <c r="U24" i="35" s="1"/>
  <c r="V24" i="35" s="1"/>
  <c r="W24" i="35" s="1"/>
  <c r="X24" i="35" s="1"/>
  <c r="Y24" i="35" s="1"/>
  <c r="Z24" i="35" s="1"/>
  <c r="AA24" i="35" s="1"/>
  <c r="AB24" i="35" s="1"/>
  <c r="AC24" i="35" s="1"/>
  <c r="AD24" i="35" s="1"/>
  <c r="AE24" i="35" s="1"/>
  <c r="AF24" i="35" s="1"/>
  <c r="AG24" i="35" s="1"/>
  <c r="AH24" i="35" s="1"/>
  <c r="AI24" i="35" s="1"/>
  <c r="AJ24" i="35" s="1"/>
  <c r="AK24" i="35" s="1"/>
  <c r="K25" i="35"/>
  <c r="L25" i="35" s="1"/>
  <c r="M25" i="35" s="1"/>
  <c r="N25" i="35" s="1"/>
  <c r="O25" i="35" s="1"/>
  <c r="P25" i="35" s="1"/>
  <c r="Q25" i="35" s="1"/>
  <c r="R25" i="35" s="1"/>
  <c r="S25" i="35" s="1"/>
  <c r="T25" i="35" s="1"/>
  <c r="U25" i="35" s="1"/>
  <c r="V25" i="35" s="1"/>
  <c r="W25" i="35" s="1"/>
  <c r="X25" i="35" s="1"/>
  <c r="Y25" i="35" s="1"/>
  <c r="Z25" i="35" s="1"/>
  <c r="AA25" i="35" s="1"/>
  <c r="AB25" i="35" s="1"/>
  <c r="AC25" i="35" s="1"/>
  <c r="AD25" i="35" s="1"/>
  <c r="AE25" i="35" s="1"/>
  <c r="AF25" i="35" s="1"/>
  <c r="AG25" i="35" s="1"/>
  <c r="AH25" i="35" s="1"/>
  <c r="AI25" i="35" s="1"/>
  <c r="AJ25" i="35" s="1"/>
  <c r="AK25" i="35" s="1"/>
  <c r="K26" i="35"/>
  <c r="L26" i="35" s="1"/>
  <c r="M26" i="35" s="1"/>
  <c r="N26" i="35" s="1"/>
  <c r="O26" i="35" s="1"/>
  <c r="P26" i="35" s="1"/>
  <c r="Q26" i="35" s="1"/>
  <c r="R26" i="35" s="1"/>
  <c r="S26" i="35" s="1"/>
  <c r="T26" i="35" s="1"/>
  <c r="U26" i="35" s="1"/>
  <c r="V26" i="35" s="1"/>
  <c r="W26" i="35" s="1"/>
  <c r="X26" i="35" s="1"/>
  <c r="Y26" i="35" s="1"/>
  <c r="Z26" i="35" s="1"/>
  <c r="AA26" i="35" s="1"/>
  <c r="AB26" i="35" s="1"/>
  <c r="AC26" i="35" s="1"/>
  <c r="AD26" i="35" s="1"/>
  <c r="AE26" i="35" s="1"/>
  <c r="AF26" i="35" s="1"/>
  <c r="AG26" i="35" s="1"/>
  <c r="AH26" i="35" s="1"/>
  <c r="AI26" i="35" s="1"/>
  <c r="AJ26" i="35" s="1"/>
  <c r="AK26" i="35" s="1"/>
  <c r="K22" i="35"/>
  <c r="L22" i="35" s="1"/>
  <c r="M22" i="35" s="1"/>
  <c r="N22" i="35" s="1"/>
  <c r="O22" i="35" s="1"/>
  <c r="P22" i="35" s="1"/>
  <c r="Q22" i="35" s="1"/>
  <c r="R22" i="35" s="1"/>
  <c r="S22" i="35" s="1"/>
  <c r="T22" i="35" s="1"/>
  <c r="U22" i="35" s="1"/>
  <c r="V22" i="35" s="1"/>
  <c r="W22" i="35" s="1"/>
  <c r="X22" i="35" s="1"/>
  <c r="Y22" i="35" s="1"/>
  <c r="Z22" i="35" s="1"/>
  <c r="AA22" i="35" s="1"/>
  <c r="AB22" i="35" s="1"/>
  <c r="AC22" i="35" s="1"/>
  <c r="AD22" i="35" s="1"/>
  <c r="AE22" i="35" s="1"/>
  <c r="AF22" i="35" s="1"/>
  <c r="AG22" i="35" s="1"/>
  <c r="AH22" i="35" s="1"/>
  <c r="AI22" i="35" s="1"/>
  <c r="AJ22" i="35" s="1"/>
  <c r="AK22" i="35" s="1"/>
  <c r="B23" i="44"/>
  <c r="B24" i="44" s="1"/>
  <c r="B25" i="44" s="1"/>
  <c r="B26" i="44" s="1"/>
  <c r="B27" i="44" s="1"/>
  <c r="B28" i="44" s="1"/>
  <c r="B29" i="44" s="1"/>
  <c r="B30" i="44" s="1"/>
  <c r="B31" i="44" s="1"/>
  <c r="B32" i="44" s="1"/>
  <c r="B33" i="44" s="1"/>
  <c r="B34" i="44" s="1"/>
  <c r="B35" i="44" s="1"/>
  <c r="B36" i="44" s="1"/>
  <c r="B37" i="44" s="1"/>
  <c r="K125" i="55"/>
  <c r="M13" i="55"/>
  <c r="M12" i="55"/>
  <c r="O11" i="55" a="1"/>
  <c r="O11" i="55" s="1"/>
  <c r="O14" i="55" a="1"/>
  <c r="O14" i="55" s="1"/>
  <c r="N13" i="55"/>
  <c r="N12" i="55"/>
  <c r="L12" i="55"/>
  <c r="L13" i="55"/>
  <c r="O21" i="55" a="1"/>
  <c r="O21" i="55" s="1"/>
  <c r="O10" i="55" a="1"/>
  <c r="O10" i="55" s="1"/>
  <c r="O23" i="55" a="1"/>
  <c r="O23" i="55" s="1"/>
  <c r="O22" i="55" a="1"/>
  <c r="O22" i="55" s="1"/>
  <c r="O17" i="55" a="1"/>
  <c r="O17" i="55" s="1"/>
  <c r="O15" i="55" a="1"/>
  <c r="O15" i="55" s="1"/>
  <c r="O20" i="55" a="1"/>
  <c r="O20" i="55" s="1"/>
  <c r="O24" i="55" a="1"/>
  <c r="O24" i="55" s="1"/>
  <c r="O19" i="55" a="1"/>
  <c r="O19" i="55" s="1"/>
  <c r="O18" i="55" a="1"/>
  <c r="O18" i="55" s="1"/>
  <c r="O25" i="55" a="1"/>
  <c r="O25" i="55" s="1"/>
  <c r="Q7" i="56"/>
  <c r="AA7" i="56" s="1"/>
  <c r="AC7" i="56"/>
  <c r="P9" i="55"/>
  <c r="P16" i="55" s="1" a="1"/>
  <c r="P16" i="55" s="1"/>
  <c r="H38" i="44"/>
  <c r="Q23" i="58"/>
  <c r="E11" i="57"/>
  <c r="F3" i="56"/>
  <c r="L3" i="29"/>
  <c r="AY30" i="58" l="1"/>
  <c r="AZ30" i="58"/>
  <c r="BA30" i="58"/>
  <c r="BB30" i="58"/>
  <c r="BC30" i="58"/>
  <c r="BD30" i="58"/>
  <c r="BE30" i="58"/>
  <c r="BF30" i="58"/>
  <c r="BG30" i="58"/>
  <c r="BG48" i="58" s="1"/>
  <c r="BH30" i="58"/>
  <c r="BH48" i="58" s="1"/>
  <c r="BI30" i="58"/>
  <c r="BJ30" i="58"/>
  <c r="BK30" i="58"/>
  <c r="BL30" i="58"/>
  <c r="BM30" i="58"/>
  <c r="BN30" i="58"/>
  <c r="BO30" i="58"/>
  <c r="BP30" i="58"/>
  <c r="BQ30" i="58"/>
  <c r="BR30" i="58"/>
  <c r="O12" i="55"/>
  <c r="O13" i="55"/>
  <c r="P11" i="55" a="1"/>
  <c r="P11" i="55" s="1"/>
  <c r="P14" i="55" a="1"/>
  <c r="P14" i="55" s="1"/>
  <c r="F7" i="56" a="1"/>
  <c r="F7" i="56" s="1"/>
  <c r="P7" i="56" s="1"/>
  <c r="Z7" i="56" s="1"/>
  <c r="F8" i="56" a="1"/>
  <c r="F8" i="56" s="1"/>
  <c r="F9" i="56" a="1"/>
  <c r="F9" i="56" s="1"/>
  <c r="P9" i="56" s="1"/>
  <c r="P18" i="55" a="1"/>
  <c r="P18" i="55" s="1"/>
  <c r="P19" i="55" a="1"/>
  <c r="P19" i="55" s="1"/>
  <c r="P22" i="55" a="1"/>
  <c r="P22" i="55" s="1"/>
  <c r="P114" i="55" s="1"/>
  <c r="P24" i="55" a="1"/>
  <c r="P24" i="55" s="1"/>
  <c r="P10" i="55" a="1"/>
  <c r="P10" i="55" s="1"/>
  <c r="P20" i="55" a="1"/>
  <c r="P20" i="55" s="1"/>
  <c r="P17" i="55" a="1"/>
  <c r="P17" i="55" s="1"/>
  <c r="P103" i="55" s="1"/>
  <c r="P21" i="55" a="1"/>
  <c r="P21" i="55" s="1"/>
  <c r="P15" i="55" a="1"/>
  <c r="P15" i="55" s="1"/>
  <c r="P91" i="55" s="1"/>
  <c r="P25" i="55" a="1"/>
  <c r="P25" i="55" s="1"/>
  <c r="P125" i="55" s="1"/>
  <c r="P23" i="55" a="1"/>
  <c r="P23" i="55" s="1"/>
  <c r="E15" i="57" a="1"/>
  <c r="E15" i="57" s="1"/>
  <c r="E14" i="57" a="1"/>
  <c r="E14" i="57" s="1"/>
  <c r="E13" i="57" a="1"/>
  <c r="E13" i="57" s="1"/>
  <c r="L5" i="29" a="1"/>
  <c r="L5" i="29" s="1"/>
  <c r="L33" i="29" a="1"/>
  <c r="L33" i="29" s="1"/>
  <c r="O41" i="29" s="1"/>
  <c r="N56" i="29" s="1" a="1"/>
  <c r="N56" i="29" s="1"/>
  <c r="E24" i="60"/>
  <c r="Q30" i="58"/>
  <c r="Q48" i="58" s="1"/>
  <c r="P24" i="58"/>
  <c r="O24" i="58" s="1"/>
  <c r="N24" i="58" s="1"/>
  <c r="M24" i="58" s="1"/>
  <c r="L24" i="58" s="1"/>
  <c r="R30" i="58"/>
  <c r="R48" i="58" s="1"/>
  <c r="S30" i="58"/>
  <c r="S48" i="58" s="1"/>
  <c r="T30" i="58"/>
  <c r="T48" i="58" s="1"/>
  <c r="U30" i="58"/>
  <c r="U48" i="58" s="1"/>
  <c r="V30" i="58"/>
  <c r="V48" i="58" s="1"/>
  <c r="W30" i="58"/>
  <c r="W48" i="58" s="1"/>
  <c r="X30" i="58"/>
  <c r="X48" i="58" s="1"/>
  <c r="Y30" i="58"/>
  <c r="Y48" i="58" s="1"/>
  <c r="Z30" i="58"/>
  <c r="Z48" i="58" s="1"/>
  <c r="AA30" i="58"/>
  <c r="AA48" i="58" s="1"/>
  <c r="AB30" i="58"/>
  <c r="AB48" i="58" s="1"/>
  <c r="AC30" i="58"/>
  <c r="AC48" i="58" s="1"/>
  <c r="AD30" i="58"/>
  <c r="AD48" i="58" s="1"/>
  <c r="AE30" i="58"/>
  <c r="AE48" i="58" s="1"/>
  <c r="AF30" i="58"/>
  <c r="AF48" i="58" s="1"/>
  <c r="AG30" i="58"/>
  <c r="AG48" i="58" s="1"/>
  <c r="AH30" i="58"/>
  <c r="AH48" i="58" s="1"/>
  <c r="AI30" i="58"/>
  <c r="AI48" i="58" s="1"/>
  <c r="AJ30" i="58"/>
  <c r="AJ48" i="58" s="1"/>
  <c r="AK30" i="58"/>
  <c r="AK48" i="58" s="1"/>
  <c r="AL30" i="58"/>
  <c r="AL48" i="58" s="1"/>
  <c r="AM30" i="58"/>
  <c r="AM48" i="58" s="1"/>
  <c r="AN30" i="58"/>
  <c r="AN48" i="58" s="1"/>
  <c r="AO30" i="58"/>
  <c r="AO48" i="58" s="1"/>
  <c r="AP30" i="58"/>
  <c r="AP48" i="58" s="1"/>
  <c r="AQ30" i="58"/>
  <c r="AQ48" i="58" s="1"/>
  <c r="AR30" i="58"/>
  <c r="AR48" i="58" s="1"/>
  <c r="AS30" i="58"/>
  <c r="AS48" i="58" s="1"/>
  <c r="AT30" i="58"/>
  <c r="AT48" i="58" s="1"/>
  <c r="AU30" i="58"/>
  <c r="AU48" i="58" s="1"/>
  <c r="AV30" i="58"/>
  <c r="AV48" i="58" s="1"/>
  <c r="AW30" i="58"/>
  <c r="AW48" i="58" s="1"/>
  <c r="AX30" i="58"/>
  <c r="AX48" i="58" s="1"/>
  <c r="I38" i="44"/>
  <c r="Q9" i="55"/>
  <c r="Q16" i="55" s="1" a="1"/>
  <c r="Q16" i="55" s="1"/>
  <c r="Q35" i="55" s="1"/>
  <c r="P8" i="56" l="1"/>
  <c r="Z8" i="56" s="1"/>
  <c r="G104" i="56"/>
  <c r="H104" i="56" s="1"/>
  <c r="I104" i="56" s="1"/>
  <c r="BJ48" i="58"/>
  <c r="BR48" i="58"/>
  <c r="BF48" i="58"/>
  <c r="BI48" i="58"/>
  <c r="BQ48" i="58"/>
  <c r="BE48" i="58"/>
  <c r="BD48" i="58"/>
  <c r="BO48" i="58"/>
  <c r="BC48" i="58"/>
  <c r="BN48" i="58"/>
  <c r="BB48" i="58"/>
  <c r="BA48" i="58"/>
  <c r="BP48" i="58"/>
  <c r="BM48" i="58"/>
  <c r="BL48" i="58"/>
  <c r="AZ48" i="58"/>
  <c r="BK48" i="58"/>
  <c r="AY48" i="58"/>
  <c r="H130" i="47"/>
  <c r="P12" i="55"/>
  <c r="P13" i="55"/>
  <c r="Q14" i="55" a="1"/>
  <c r="Q14" i="55" s="1"/>
  <c r="Q11" i="55" a="1"/>
  <c r="Q11" i="55" s="1"/>
  <c r="Q15" i="55" a="1"/>
  <c r="Q15" i="55" s="1"/>
  <c r="Q21" i="55" a="1"/>
  <c r="Q21" i="55" s="1"/>
  <c r="Q17" i="55" a="1"/>
  <c r="Q17" i="55" s="1"/>
  <c r="Q23" i="55" a="1"/>
  <c r="Q23" i="55" s="1"/>
  <c r="Q10" i="55" a="1"/>
  <c r="Q10" i="55" s="1"/>
  <c r="Q18" i="55" a="1"/>
  <c r="Q18" i="55" s="1"/>
  <c r="Q24" i="55" a="1"/>
  <c r="Q24" i="55" s="1"/>
  <c r="Q22" i="55" a="1"/>
  <c r="Q22" i="55" s="1"/>
  <c r="Q25" i="55" a="1"/>
  <c r="Q25" i="55" s="1"/>
  <c r="Q19" i="55" a="1"/>
  <c r="Q19" i="55" s="1"/>
  <c r="Q20" i="55" a="1"/>
  <c r="Q20" i="55" s="1"/>
  <c r="E36" i="60"/>
  <c r="Z9" i="56"/>
  <c r="Y14" i="57"/>
  <c r="Y55" i="57" s="1"/>
  <c r="O14" i="57"/>
  <c r="Y15" i="57"/>
  <c r="Y56" i="57" s="1"/>
  <c r="O15" i="57"/>
  <c r="Y13" i="57"/>
  <c r="Y54" i="57" s="1"/>
  <c r="O13" i="57"/>
  <c r="E16" i="57"/>
  <c r="E33" i="57" s="1"/>
  <c r="R23" i="58"/>
  <c r="R14" i="58"/>
  <c r="Q31" i="58"/>
  <c r="Q34" i="58" s="1"/>
  <c r="J38" i="44"/>
  <c r="L44" i="55"/>
  <c r="L41" i="55"/>
  <c r="L34" i="55"/>
  <c r="E28" i="57" l="1"/>
  <c r="Q12" i="55"/>
  <c r="Q13" i="55"/>
  <c r="Q32" i="55" s="1"/>
  <c r="H137" i="47" s="1"/>
  <c r="H138" i="47"/>
  <c r="P76" i="56"/>
  <c r="P92" i="56" s="1"/>
  <c r="Z92" i="56" s="1"/>
  <c r="E23" i="60"/>
  <c r="E22" i="60"/>
  <c r="Y16" i="57"/>
  <c r="O16" i="57"/>
  <c r="O107" i="57"/>
  <c r="O93" i="57"/>
  <c r="O75" i="57"/>
  <c r="O54" i="57"/>
  <c r="E54" i="57" s="1"/>
  <c r="O56" i="57"/>
  <c r="E56" i="57" s="1"/>
  <c r="O86" i="57"/>
  <c r="O101" i="57"/>
  <c r="O109" i="57"/>
  <c r="O81" i="57"/>
  <c r="O108" i="57"/>
  <c r="O55" i="57"/>
  <c r="E55" i="57" s="1"/>
  <c r="O97" i="57"/>
  <c r="R31" i="58"/>
  <c r="R34" i="58" s="1"/>
  <c r="R35" i="58" s="1"/>
  <c r="R36" i="58" s="1"/>
  <c r="R24" i="58"/>
  <c r="S23" i="58"/>
  <c r="S31" i="58" s="1"/>
  <c r="S34" i="58" s="1"/>
  <c r="S35" i="58" s="1"/>
  <c r="S14" i="58"/>
  <c r="Q35" i="58"/>
  <c r="N3" i="29"/>
  <c r="K38" i="44"/>
  <c r="M44" i="55"/>
  <c r="N44" i="55" s="1"/>
  <c r="O44" i="55" s="1"/>
  <c r="L29" i="55"/>
  <c r="M41" i="55"/>
  <c r="N41" i="55" s="1"/>
  <c r="O41" i="55" s="1"/>
  <c r="P41" i="55" s="1"/>
  <c r="Z43" i="56" l="1"/>
  <c r="Z76" i="56" s="1"/>
  <c r="N5" i="29" a="1"/>
  <c r="N5" i="29" s="1"/>
  <c r="N33" i="29" a="1"/>
  <c r="N33" i="29" s="1"/>
  <c r="G43" i="56"/>
  <c r="H43" i="56" s="1"/>
  <c r="I43" i="56" s="1"/>
  <c r="E34" i="60"/>
  <c r="E37" i="60" s="1"/>
  <c r="E25" i="60"/>
  <c r="E17" i="60" s="1"/>
  <c r="E35" i="60"/>
  <c r="E38" i="60" s="1"/>
  <c r="Y107" i="57"/>
  <c r="E107" i="57" s="1"/>
  <c r="Y101" i="57"/>
  <c r="E101" i="57" s="1"/>
  <c r="Y86" i="57"/>
  <c r="E86" i="57" s="1"/>
  <c r="Y75" i="57"/>
  <c r="E75" i="57" s="1"/>
  <c r="Y93" i="57"/>
  <c r="E93" i="57" s="1"/>
  <c r="Y109" i="57"/>
  <c r="E109" i="57" s="1"/>
  <c r="Y97" i="57"/>
  <c r="E97" i="57" s="1"/>
  <c r="Y81" i="57"/>
  <c r="E81" i="57" s="1"/>
  <c r="Y108" i="57"/>
  <c r="E108" i="57" s="1"/>
  <c r="S24" i="58"/>
  <c r="Q168" i="58"/>
  <c r="Q169" i="58"/>
  <c r="Q36" i="58"/>
  <c r="Q41" i="58" s="1"/>
  <c r="R168" i="58"/>
  <c r="R169" i="58"/>
  <c r="S36" i="58"/>
  <c r="S41" i="58" s="1"/>
  <c r="S168" i="58"/>
  <c r="S169" i="58"/>
  <c r="T14" i="58"/>
  <c r="T23" i="58"/>
  <c r="H255" i="57"/>
  <c r="N262" i="57" s="1"/>
  <c r="P44" i="55"/>
  <c r="H254" i="57"/>
  <c r="N261" i="57" s="1"/>
  <c r="H253" i="57"/>
  <c r="N260" i="57" s="1"/>
  <c r="M29" i="55"/>
  <c r="N29" i="55" s="1"/>
  <c r="O29" i="55" s="1"/>
  <c r="P29" i="55" s="1"/>
  <c r="M34" i="55"/>
  <c r="N34" i="55" s="1"/>
  <c r="O34" i="55" s="1"/>
  <c r="P34" i="55" s="1"/>
  <c r="Q34" i="55" s="1"/>
  <c r="Q43" i="55"/>
  <c r="Q41" i="55"/>
  <c r="N176" i="56" l="1" a="1"/>
  <c r="N176" i="56" s="1"/>
  <c r="P176" i="56" a="1"/>
  <c r="P176" i="56" s="1"/>
  <c r="L176" i="56" a="1"/>
  <c r="L176" i="56" s="1"/>
  <c r="O176" i="56" s="1" a="1"/>
  <c r="O176" i="56" s="1"/>
  <c r="G92" i="56"/>
  <c r="F82" i="56"/>
  <c r="F83" i="56"/>
  <c r="F78" i="56"/>
  <c r="AT77" i="56"/>
  <c r="Q43" i="56"/>
  <c r="Q76" i="56" s="1"/>
  <c r="Q92" i="56" s="1"/>
  <c r="AA92" i="56" s="1"/>
  <c r="O50" i="57"/>
  <c r="I92" i="56"/>
  <c r="E18" i="60"/>
  <c r="S43" i="56"/>
  <c r="E31" i="60"/>
  <c r="E19" i="60"/>
  <c r="AA32" i="57"/>
  <c r="Q87" i="57"/>
  <c r="Q56" i="57"/>
  <c r="Q109" i="57"/>
  <c r="T31" i="58"/>
  <c r="T34" i="58" s="1"/>
  <c r="T35" i="58" s="1"/>
  <c r="T36" i="58" s="1"/>
  <c r="T41" i="58" s="1"/>
  <c r="R41" i="58"/>
  <c r="U14" i="58"/>
  <c r="U23" i="58"/>
  <c r="T24" i="58"/>
  <c r="Q31" i="55"/>
  <c r="H136" i="47" s="1"/>
  <c r="H257" i="57"/>
  <c r="N264" i="57" s="1"/>
  <c r="Q44" i="55"/>
  <c r="H256" i="57"/>
  <c r="N263" i="57" s="1"/>
  <c r="Q29" i="55"/>
  <c r="H258" i="57"/>
  <c r="N265" i="57" s="1"/>
  <c r="H127" i="47"/>
  <c r="H135" i="47"/>
  <c r="Q42" i="55"/>
  <c r="AA56" i="57" l="1"/>
  <c r="M176" i="56" a="1"/>
  <c r="M176" i="56" s="1"/>
  <c r="G76" i="56"/>
  <c r="S76" i="56"/>
  <c r="S92" i="56" s="1"/>
  <c r="AC92" i="56" s="1"/>
  <c r="G56" i="57"/>
  <c r="AA43" i="56"/>
  <c r="AA76" i="56" s="1"/>
  <c r="Y49" i="57"/>
  <c r="Y57" i="57" s="1"/>
  <c r="O57" i="57"/>
  <c r="O58" i="57" s="1"/>
  <c r="P62" i="57" s="1"/>
  <c r="G32" i="57"/>
  <c r="G33" i="57" s="1"/>
  <c r="I76" i="56"/>
  <c r="AC43" i="56"/>
  <c r="O51" i="57"/>
  <c r="Y51" i="57" s="1"/>
  <c r="O110" i="57"/>
  <c r="Y50" i="57"/>
  <c r="AA109" i="57"/>
  <c r="G109" i="57" s="1"/>
  <c r="AA87" i="57"/>
  <c r="G87" i="57" s="1"/>
  <c r="G90" i="57" s="1"/>
  <c r="U24" i="58"/>
  <c r="U31" i="58"/>
  <c r="U34" i="58" s="1"/>
  <c r="U35" i="58" s="1"/>
  <c r="U36" i="58" s="1"/>
  <c r="U41" i="58" s="1"/>
  <c r="T168" i="58"/>
  <c r="T169" i="58"/>
  <c r="V14" i="58"/>
  <c r="V23" i="58"/>
  <c r="M28" i="44"/>
  <c r="M29" i="44" s="1"/>
  <c r="H134" i="47"/>
  <c r="I127" i="47"/>
  <c r="AC76" i="56" l="1"/>
  <c r="E57" i="57"/>
  <c r="Y58" i="57"/>
  <c r="Y59" i="57" s="1"/>
  <c r="Y60" i="57" s="1"/>
  <c r="P49" i="57"/>
  <c r="Y110" i="57"/>
  <c r="E110" i="57" s="1"/>
  <c r="O111" i="57"/>
  <c r="Y111" i="57" s="1"/>
  <c r="E111" i="57" s="1"/>
  <c r="O61" i="57"/>
  <c r="V24" i="58"/>
  <c r="O59" i="57"/>
  <c r="U168" i="58"/>
  <c r="U169" i="58"/>
  <c r="W23" i="58"/>
  <c r="V31" i="58"/>
  <c r="V34" i="58" s="1"/>
  <c r="V35" i="58" s="1"/>
  <c r="V36" i="58" s="1"/>
  <c r="V41" i="58" s="1"/>
  <c r="N28" i="44"/>
  <c r="N29" i="44" s="1"/>
  <c r="J127" i="47"/>
  <c r="G6" i="47"/>
  <c r="Y61" i="57" l="1"/>
  <c r="E58" i="57"/>
  <c r="P57" i="57"/>
  <c r="P58" i="57" s="1"/>
  <c r="P59" i="57" s="1"/>
  <c r="P50" i="57"/>
  <c r="Z49" i="57"/>
  <c r="X23" i="58"/>
  <c r="X31" i="58" s="1"/>
  <c r="X34" i="58" s="1"/>
  <c r="X35" i="58" s="1"/>
  <c r="X36" i="58" s="1"/>
  <c r="O60" i="57"/>
  <c r="E59" i="57"/>
  <c r="E60" i="57" s="1"/>
  <c r="V168" i="58"/>
  <c r="V169" i="58"/>
  <c r="W31" i="58"/>
  <c r="W34" i="58" s="1"/>
  <c r="W35" i="58" s="1"/>
  <c r="W36" i="58" s="1"/>
  <c r="W41" i="58" s="1"/>
  <c r="W24" i="58"/>
  <c r="O28" i="44"/>
  <c r="O29" i="44" s="1"/>
  <c r="G7" i="47"/>
  <c r="H6" i="47"/>
  <c r="G9" i="47"/>
  <c r="G8" i="47"/>
  <c r="G5" i="47"/>
  <c r="P61" i="57" l="1"/>
  <c r="Z57" i="57"/>
  <c r="F49" i="57"/>
  <c r="P51" i="57"/>
  <c r="Z51" i="57" s="1"/>
  <c r="F51" i="57" s="1"/>
  <c r="P110" i="57"/>
  <c r="Z50" i="57"/>
  <c r="F50" i="57" s="1"/>
  <c r="X24" i="58"/>
  <c r="Y23" i="58"/>
  <c r="P60" i="57"/>
  <c r="W169" i="58"/>
  <c r="W168" i="58"/>
  <c r="X41" i="58"/>
  <c r="X169" i="58"/>
  <c r="X168" i="58"/>
  <c r="P28" i="44"/>
  <c r="P29" i="44" s="1"/>
  <c r="H9" i="47"/>
  <c r="I6" i="47"/>
  <c r="H5" i="47"/>
  <c r="H8" i="47"/>
  <c r="H7" i="47"/>
  <c r="Z110" i="57" l="1"/>
  <c r="F110" i="57" s="1"/>
  <c r="P111" i="57"/>
  <c r="Z111" i="57" s="1"/>
  <c r="F111" i="57" s="1"/>
  <c r="F57" i="57"/>
  <c r="Z58" i="57"/>
  <c r="Z61" i="57" s="1"/>
  <c r="Y24" i="58"/>
  <c r="Z23" i="58"/>
  <c r="Y31" i="58"/>
  <c r="Y34" i="58" s="1"/>
  <c r="Y35" i="58" s="1"/>
  <c r="Y169" i="58" s="1"/>
  <c r="Q28" i="44"/>
  <c r="Q29" i="44" s="1"/>
  <c r="J6" i="47"/>
  <c r="I9" i="47"/>
  <c r="I7" i="47"/>
  <c r="I8" i="47"/>
  <c r="I5" i="47"/>
  <c r="Z24" i="58" l="1"/>
  <c r="AA23" i="58"/>
  <c r="AA31" i="58" s="1"/>
  <c r="AA34" i="58" s="1"/>
  <c r="AA35" i="58" s="1"/>
  <c r="Z59" i="57"/>
  <c r="F58" i="57"/>
  <c r="Z31" i="58"/>
  <c r="Z34" i="58" s="1"/>
  <c r="Z35" i="58" s="1"/>
  <c r="Z168" i="58" s="1"/>
  <c r="Y36" i="58"/>
  <c r="Y41" i="58" s="1"/>
  <c r="Y168" i="58"/>
  <c r="R28" i="44"/>
  <c r="R29" i="44" s="1"/>
  <c r="J5" i="47"/>
  <c r="J9" i="47"/>
  <c r="J8" i="47"/>
  <c r="K6" i="47"/>
  <c r="J7" i="47"/>
  <c r="AB23" i="58" l="1"/>
  <c r="AB31" i="58" s="1"/>
  <c r="AB34" i="58" s="1"/>
  <c r="AB35" i="58" s="1"/>
  <c r="AA24" i="58"/>
  <c r="Z36" i="58"/>
  <c r="Z41" i="58" s="1"/>
  <c r="Z169" i="58"/>
  <c r="Z60" i="57"/>
  <c r="F59" i="57"/>
  <c r="F60" i="57" s="1"/>
  <c r="AA169" i="58"/>
  <c r="AA168" i="58"/>
  <c r="AA36" i="58"/>
  <c r="S28" i="44"/>
  <c r="S29" i="44" s="1"/>
  <c r="K9" i="47"/>
  <c r="K7" i="47"/>
  <c r="K8" i="47"/>
  <c r="K5" i="47"/>
  <c r="L6" i="47"/>
  <c r="AC23" i="58" l="1"/>
  <c r="AB24" i="58"/>
  <c r="AA41" i="58"/>
  <c r="AB168" i="58"/>
  <c r="AB169" i="58"/>
  <c r="AB36" i="58"/>
  <c r="AB41" i="58" s="1"/>
  <c r="T28" i="44"/>
  <c r="T29" i="44" s="1"/>
  <c r="L8" i="47"/>
  <c r="L9" i="47"/>
  <c r="M6" i="47"/>
  <c r="L5" i="47"/>
  <c r="L7" i="47"/>
  <c r="AC24" i="58" l="1"/>
  <c r="AD23" i="58"/>
  <c r="AC31" i="58"/>
  <c r="AC34" i="58" s="1"/>
  <c r="AC35" i="58" s="1"/>
  <c r="AC36" i="58" s="1"/>
  <c r="AC41" i="58" s="1"/>
  <c r="U28" i="44"/>
  <c r="P3" i="29"/>
  <c r="M7" i="47"/>
  <c r="M9" i="47"/>
  <c r="M5" i="47"/>
  <c r="M8" i="47"/>
  <c r="N6" i="47"/>
  <c r="U29" i="44" l="1"/>
  <c r="I47" i="57"/>
  <c r="AD24" i="58"/>
  <c r="AE23" i="58"/>
  <c r="AD31" i="58"/>
  <c r="AD34" i="58" s="1"/>
  <c r="AD35" i="58" s="1"/>
  <c r="AC169" i="58"/>
  <c r="AC168" i="58"/>
  <c r="P33" i="29" a="1"/>
  <c r="P33" i="29" s="1"/>
  <c r="P5" i="29" a="1"/>
  <c r="P5" i="29" s="1"/>
  <c r="V28" i="44"/>
  <c r="V29" i="44" s="1"/>
  <c r="N7" i="47"/>
  <c r="N9" i="47"/>
  <c r="O6" i="47"/>
  <c r="N5" i="47"/>
  <c r="N8" i="47"/>
  <c r="AE24" i="58" l="1"/>
  <c r="AC47" i="57"/>
  <c r="S47" i="57"/>
  <c r="AI60" i="58"/>
  <c r="AD60" i="58"/>
  <c r="AE31" i="58"/>
  <c r="AE34" i="58" s="1"/>
  <c r="AE35" i="58" s="1"/>
  <c r="AF23" i="58"/>
  <c r="AF31" i="58" s="1"/>
  <c r="AF34" i="58" s="1"/>
  <c r="H21" i="57"/>
  <c r="R32" i="57" s="1"/>
  <c r="AD169" i="58"/>
  <c r="AD168" i="58"/>
  <c r="AD36" i="58"/>
  <c r="AD41" i="58" s="1"/>
  <c r="W28" i="44"/>
  <c r="W29" i="44" s="1"/>
  <c r="P6" i="47"/>
  <c r="O7" i="47"/>
  <c r="O9" i="47"/>
  <c r="O5" i="47"/>
  <c r="O8" i="47"/>
  <c r="AG23" i="58" l="1"/>
  <c r="AH23" i="58" s="1"/>
  <c r="AF24" i="58"/>
  <c r="AB32" i="57"/>
  <c r="S32" i="57"/>
  <c r="R56" i="57"/>
  <c r="R109" i="57"/>
  <c r="R87" i="57"/>
  <c r="AF35" i="58"/>
  <c r="AE168" i="58"/>
  <c r="AE169" i="58"/>
  <c r="AE36" i="58"/>
  <c r="AE41" i="58" s="1"/>
  <c r="X28" i="44"/>
  <c r="X29" i="44" s="1"/>
  <c r="P7" i="47"/>
  <c r="P5" i="47"/>
  <c r="P8" i="47"/>
  <c r="Q6" i="47"/>
  <c r="P9" i="47"/>
  <c r="AG31" i="58" l="1"/>
  <c r="AG34" i="58" s="1"/>
  <c r="AG24" i="58"/>
  <c r="V32" i="57"/>
  <c r="AF32" i="57" s="1"/>
  <c r="AC32" i="57"/>
  <c r="I32" i="57" s="1"/>
  <c r="AB56" i="57"/>
  <c r="U32" i="57"/>
  <c r="AE32" i="57" s="1"/>
  <c r="H32" i="57"/>
  <c r="H33" i="57" s="1"/>
  <c r="AB109" i="57"/>
  <c r="H109" i="57" s="1"/>
  <c r="H56" i="57"/>
  <c r="AB87" i="57"/>
  <c r="H87" i="57" s="1"/>
  <c r="H90" i="57" s="1"/>
  <c r="S87" i="57"/>
  <c r="AH24" i="58"/>
  <c r="AF168" i="58"/>
  <c r="AF169" i="58"/>
  <c r="AF36" i="58"/>
  <c r="AF41" i="58" s="1"/>
  <c r="AG35" i="58"/>
  <c r="AH31" i="58"/>
  <c r="AH34" i="58" s="1"/>
  <c r="Y28" i="44"/>
  <c r="Y29" i="44" s="1"/>
  <c r="AI23" i="58"/>
  <c r="Q8" i="47"/>
  <c r="Q5" i="47"/>
  <c r="Q7" i="47"/>
  <c r="Q9" i="47"/>
  <c r="R6" i="47"/>
  <c r="V109" i="57" l="1"/>
  <c r="V87" i="57"/>
  <c r="V90" i="57" s="1"/>
  <c r="V56" i="57"/>
  <c r="U56" i="57"/>
  <c r="U109" i="57"/>
  <c r="U87" i="57"/>
  <c r="U90" i="57" s="1"/>
  <c r="AI24" i="58"/>
  <c r="AG168" i="58"/>
  <c r="AG169" i="58"/>
  <c r="AG36" i="58"/>
  <c r="AG41" i="58" s="1"/>
  <c r="AH35" i="58"/>
  <c r="AI31" i="58"/>
  <c r="AI34" i="58" s="1"/>
  <c r="AJ23" i="58"/>
  <c r="Z28" i="44"/>
  <c r="Z29" i="44" s="1"/>
  <c r="R9" i="47"/>
  <c r="R5" i="47"/>
  <c r="R8" i="47"/>
  <c r="S6" i="47"/>
  <c r="R7" i="47"/>
  <c r="AJ24" i="58" l="1"/>
  <c r="AH169" i="58"/>
  <c r="AH168" i="58"/>
  <c r="AH36" i="58"/>
  <c r="AH41" i="58" s="1"/>
  <c r="AI35" i="58"/>
  <c r="AJ31" i="58"/>
  <c r="AJ34" i="58" s="1"/>
  <c r="AA28" i="44"/>
  <c r="AA29" i="44" s="1"/>
  <c r="AK23" i="58"/>
  <c r="S8" i="47"/>
  <c r="S7" i="47"/>
  <c r="T6" i="47"/>
  <c r="S5" i="47"/>
  <c r="S9" i="47"/>
  <c r="AK24" i="58" l="1"/>
  <c r="AJ35" i="58"/>
  <c r="AI169" i="58"/>
  <c r="AI168" i="58"/>
  <c r="AI36" i="58"/>
  <c r="AI41" i="58" s="1"/>
  <c r="AK31" i="58"/>
  <c r="AK34" i="58" s="1"/>
  <c r="AL23" i="58"/>
  <c r="AB28" i="44"/>
  <c r="AB29" i="44" s="1"/>
  <c r="T9" i="47"/>
  <c r="T7" i="47"/>
  <c r="U6" i="47"/>
  <c r="T5" i="47"/>
  <c r="T8" i="47"/>
  <c r="AJ169" i="58" l="1"/>
  <c r="AJ168" i="58"/>
  <c r="AJ36" i="58"/>
  <c r="AJ41" i="58" s="1"/>
  <c r="AK35" i="58"/>
  <c r="AL31" i="58"/>
  <c r="AL34" i="58" s="1"/>
  <c r="AL24" i="58"/>
  <c r="AC28" i="44"/>
  <c r="AC29" i="44" s="1"/>
  <c r="AM23" i="58"/>
  <c r="U7" i="47"/>
  <c r="U8" i="47"/>
  <c r="V6" i="47"/>
  <c r="U5" i="47"/>
  <c r="U9" i="47"/>
  <c r="AL35" i="58" l="1"/>
  <c r="AK169" i="58"/>
  <c r="AK168" i="58"/>
  <c r="AK36" i="58"/>
  <c r="AK41" i="58" s="1"/>
  <c r="AM31" i="58"/>
  <c r="AM34" i="58" s="1"/>
  <c r="AM24" i="58"/>
  <c r="AD28" i="44"/>
  <c r="AD29" i="44" s="1"/>
  <c r="R9" i="55"/>
  <c r="R16" i="55" s="1" a="1"/>
  <c r="R16" i="55" s="1"/>
  <c r="R35" i="55" s="1"/>
  <c r="J11" i="57"/>
  <c r="AO9" i="55"/>
  <c r="AL9" i="55"/>
  <c r="AL16" i="55" s="1" a="1"/>
  <c r="AL16" i="55" s="1"/>
  <c r="Y9" i="55"/>
  <c r="Y16" i="55" s="1" a="1"/>
  <c r="Y16" i="55" s="1"/>
  <c r="AN9" i="55"/>
  <c r="AN16" i="55" s="1" a="1"/>
  <c r="AN16" i="55" s="1"/>
  <c r="AK9" i="55"/>
  <c r="AK16" i="55" s="1" a="1"/>
  <c r="AK16" i="55" s="1"/>
  <c r="Z9" i="55"/>
  <c r="Z16" i="55" s="1" a="1"/>
  <c r="Z16" i="55" s="1"/>
  <c r="AF9" i="55"/>
  <c r="AF16" i="55" s="1" a="1"/>
  <c r="AF16" i="55" s="1"/>
  <c r="T9" i="55"/>
  <c r="T16" i="55" s="1" a="1"/>
  <c r="T16" i="55" s="1"/>
  <c r="AA9" i="55"/>
  <c r="AA16" i="55" s="1" a="1"/>
  <c r="AA16" i="55" s="1"/>
  <c r="AJ9" i="55"/>
  <c r="AJ16" i="55" s="1" a="1"/>
  <c r="AJ16" i="55" s="1"/>
  <c r="J3" i="56"/>
  <c r="AB9" i="55"/>
  <c r="AB16" i="55" s="1" a="1"/>
  <c r="AB16" i="55" s="1"/>
  <c r="AG9" i="55"/>
  <c r="AG16" i="55" s="1" a="1"/>
  <c r="AG16" i="55" s="1"/>
  <c r="W9" i="55"/>
  <c r="W16" i="55" s="1" a="1"/>
  <c r="W16" i="55" s="1"/>
  <c r="AI9" i="55"/>
  <c r="AI16" i="55" s="1" a="1"/>
  <c r="AI16" i="55" s="1"/>
  <c r="V9" i="55"/>
  <c r="V16" i="55" s="1" a="1"/>
  <c r="V16" i="55" s="1"/>
  <c r="AD9" i="55"/>
  <c r="AD16" i="55" s="1" a="1"/>
  <c r="AD16" i="55" s="1"/>
  <c r="AM9" i="55"/>
  <c r="AM16" i="55" s="1" a="1"/>
  <c r="AM16" i="55" s="1"/>
  <c r="AH9" i="55"/>
  <c r="AH16" i="55" s="1" a="1"/>
  <c r="AH16" i="55" s="1"/>
  <c r="K3" i="56"/>
  <c r="U9" i="55"/>
  <c r="U16" i="55" s="1" a="1"/>
  <c r="U16" i="55" s="1"/>
  <c r="I11" i="57"/>
  <c r="AE9" i="55"/>
  <c r="AE16" i="55" s="1" a="1"/>
  <c r="AE16" i="55" s="1"/>
  <c r="S9" i="55"/>
  <c r="S16" i="55" s="1" a="1"/>
  <c r="S16" i="55" s="1"/>
  <c r="X9" i="55"/>
  <c r="X16" i="55" s="1" a="1"/>
  <c r="X16" i="55" s="1"/>
  <c r="AC9" i="55"/>
  <c r="AC16" i="55" s="1" a="1"/>
  <c r="AC16" i="55" s="1"/>
  <c r="Q3" i="29"/>
  <c r="V8" i="47"/>
  <c r="V7" i="47"/>
  <c r="W6" i="47"/>
  <c r="V9" i="47"/>
  <c r="V5" i="47"/>
  <c r="AO16" i="55" l="1" a="1"/>
  <c r="AO16" i="55" s="1"/>
  <c r="AO11" i="55" a="1"/>
  <c r="AO11" i="55" s="1"/>
  <c r="AO14" i="55" a="1"/>
  <c r="AO14" i="55" s="1"/>
  <c r="AO10" i="55" a="1"/>
  <c r="AO10" i="55" s="1"/>
  <c r="AO15" i="55" a="1"/>
  <c r="AO15" i="55" s="1"/>
  <c r="S35" i="55"/>
  <c r="I130" i="47"/>
  <c r="Y14" i="55" a="1"/>
  <c r="Y14" i="55" s="1"/>
  <c r="AI14" i="55" a="1"/>
  <c r="AI14" i="55" s="1"/>
  <c r="AC14" i="55" a="1"/>
  <c r="AC14" i="55" s="1"/>
  <c r="AJ14" i="55" a="1"/>
  <c r="AJ14" i="55" s="1"/>
  <c r="AL14" i="55" a="1"/>
  <c r="AL14" i="55" s="1"/>
  <c r="R14" i="55" a="1"/>
  <c r="R14" i="55" s="1"/>
  <c r="AA14" i="55" a="1"/>
  <c r="AA14" i="55" s="1"/>
  <c r="V14" i="55" a="1"/>
  <c r="V14" i="55" s="1"/>
  <c r="W14" i="55" a="1"/>
  <c r="W14" i="55" s="1"/>
  <c r="AE14" i="55" a="1"/>
  <c r="AE14" i="55" s="1"/>
  <c r="T14" i="55" a="1"/>
  <c r="T14" i="55" s="1"/>
  <c r="AG14" i="55" a="1"/>
  <c r="AG14" i="55" s="1"/>
  <c r="AB14" i="55" a="1"/>
  <c r="AB14" i="55" s="1"/>
  <c r="U14" i="55" a="1"/>
  <c r="U14" i="55" s="1"/>
  <c r="AH14" i="55" a="1"/>
  <c r="AH14" i="55" s="1"/>
  <c r="AF14" i="55" a="1"/>
  <c r="AF14" i="55" s="1"/>
  <c r="X14" i="55" a="1"/>
  <c r="X14" i="55" s="1"/>
  <c r="S14" i="55" a="1"/>
  <c r="S14" i="55" s="1"/>
  <c r="AM14" i="55" a="1"/>
  <c r="AM14" i="55" s="1"/>
  <c r="Z14" i="55" a="1"/>
  <c r="Z14" i="55" s="1"/>
  <c r="AN14" i="55" a="1"/>
  <c r="AN14" i="55" s="1"/>
  <c r="AD14" i="55" a="1"/>
  <c r="AD14" i="55" s="1"/>
  <c r="AK14" i="55" a="1"/>
  <c r="AK14" i="55" s="1"/>
  <c r="AC11" i="55" a="1"/>
  <c r="AC11" i="55" s="1"/>
  <c r="AL11" i="55" a="1"/>
  <c r="AL11" i="55" s="1"/>
  <c r="Y11" i="55" a="1"/>
  <c r="Y11" i="55" s="1"/>
  <c r="AA11" i="55" a="1"/>
  <c r="AA11" i="55" s="1"/>
  <c r="X11" i="55" a="1"/>
  <c r="X11" i="55" s="1"/>
  <c r="R11" i="55" a="1"/>
  <c r="R11" i="55" s="1"/>
  <c r="AI11" i="55" a="1"/>
  <c r="AI11" i="55" s="1"/>
  <c r="AB11" i="55" a="1"/>
  <c r="AB11" i="55" s="1"/>
  <c r="AJ11" i="55" a="1"/>
  <c r="AJ11" i="55" s="1"/>
  <c r="AF11" i="55" a="1"/>
  <c r="AF11" i="55" s="1"/>
  <c r="W11" i="55" a="1"/>
  <c r="W11" i="55" s="1"/>
  <c r="AE11" i="55" a="1"/>
  <c r="AE11" i="55" s="1"/>
  <c r="Z11" i="55" a="1"/>
  <c r="Z11" i="55" s="1"/>
  <c r="S11" i="55" a="1"/>
  <c r="S11" i="55" s="1"/>
  <c r="U11" i="55" a="1"/>
  <c r="U11" i="55" s="1"/>
  <c r="T11" i="55" a="1"/>
  <c r="T11" i="55" s="1"/>
  <c r="AH11" i="55" a="1"/>
  <c r="AH11" i="55" s="1"/>
  <c r="AD11" i="55" a="1"/>
  <c r="AD11" i="55" s="1"/>
  <c r="AK11" i="55" a="1"/>
  <c r="AK11" i="55" s="1"/>
  <c r="AG11" i="55" a="1"/>
  <c r="AG11" i="55" s="1"/>
  <c r="AM11" i="55" a="1"/>
  <c r="AM11" i="55" s="1"/>
  <c r="V11" i="55" a="1"/>
  <c r="V11" i="55" s="1"/>
  <c r="AN11" i="55" a="1"/>
  <c r="AN11" i="55" s="1"/>
  <c r="AO21" i="55" a="1"/>
  <c r="AO21" i="55" s="1"/>
  <c r="AO20" i="55" a="1"/>
  <c r="AO20" i="55" s="1"/>
  <c r="AO17" i="55" a="1"/>
  <c r="AO17" i="55" s="1"/>
  <c r="AO24" i="55" a="1"/>
  <c r="AO24" i="55" s="1"/>
  <c r="AO25" i="55" a="1"/>
  <c r="AO25" i="55" s="1"/>
  <c r="AO22" i="55" a="1"/>
  <c r="AO22" i="55" s="1"/>
  <c r="AO19" i="55" a="1"/>
  <c r="AO19" i="55" s="1"/>
  <c r="AO18" i="55" a="1"/>
  <c r="AO18" i="55" s="1"/>
  <c r="AO23" i="55" a="1"/>
  <c r="AO23" i="55" s="1"/>
  <c r="AJ18" i="55" a="1"/>
  <c r="AJ18" i="55" s="1"/>
  <c r="AJ23" i="55" a="1"/>
  <c r="AJ23" i="55" s="1"/>
  <c r="AJ19" i="55" a="1"/>
  <c r="AJ19" i="55" s="1"/>
  <c r="AJ25" i="55" a="1"/>
  <c r="AJ25" i="55" s="1"/>
  <c r="AJ10" i="55" a="1"/>
  <c r="AJ10" i="55" s="1"/>
  <c r="AJ22" i="55" a="1"/>
  <c r="AJ22" i="55" s="1"/>
  <c r="AJ24" i="55" a="1"/>
  <c r="AJ24" i="55" s="1"/>
  <c r="AJ20" i="55" a="1"/>
  <c r="AJ20" i="55" s="1"/>
  <c r="AJ15" i="55" a="1"/>
  <c r="AJ15" i="55" s="1"/>
  <c r="AJ21" i="55" a="1"/>
  <c r="AJ21" i="55" s="1"/>
  <c r="AJ17" i="55" a="1"/>
  <c r="AJ17" i="55" s="1"/>
  <c r="AG18" i="55" a="1"/>
  <c r="AG18" i="55" s="1"/>
  <c r="AG20" i="55" a="1"/>
  <c r="AG20" i="55" s="1"/>
  <c r="AG23" i="55" a="1"/>
  <c r="AG23" i="55" s="1"/>
  <c r="AG10" i="55" a="1"/>
  <c r="AG10" i="55" s="1"/>
  <c r="AG21" i="55" a="1"/>
  <c r="AG21" i="55" s="1"/>
  <c r="AG22" i="55" a="1"/>
  <c r="AG22" i="55" s="1"/>
  <c r="AG19" i="55" a="1"/>
  <c r="AG19" i="55" s="1"/>
  <c r="AG24" i="55" a="1"/>
  <c r="AG24" i="55" s="1"/>
  <c r="AG15" i="55" a="1"/>
  <c r="AG15" i="55" s="1"/>
  <c r="AG25" i="55" a="1"/>
  <c r="AG25" i="55" s="1"/>
  <c r="AG17" i="55" a="1"/>
  <c r="AG17" i="55" s="1"/>
  <c r="AA24" i="55" a="1"/>
  <c r="AA24" i="55" s="1"/>
  <c r="AA20" i="55" a="1"/>
  <c r="AA20" i="55" s="1"/>
  <c r="AA21" i="55" a="1"/>
  <c r="AA21" i="55" s="1"/>
  <c r="AA23" i="55" a="1"/>
  <c r="AA23" i="55" s="1"/>
  <c r="AA19" i="55" a="1"/>
  <c r="AA19" i="55" s="1"/>
  <c r="AA17" i="55" a="1"/>
  <c r="AA17" i="55" s="1"/>
  <c r="AA10" i="55" a="1"/>
  <c r="AA10" i="55" s="1"/>
  <c r="AA22" i="55" a="1"/>
  <c r="AA22" i="55" s="1"/>
  <c r="AA25" i="55" a="1"/>
  <c r="AA25" i="55" s="1"/>
  <c r="AA18" i="55" a="1"/>
  <c r="AA18" i="55" s="1"/>
  <c r="AA15" i="55" a="1"/>
  <c r="AA15" i="55" s="1"/>
  <c r="T24" i="55" a="1"/>
  <c r="T24" i="55" s="1"/>
  <c r="T10" i="55" a="1"/>
  <c r="T10" i="55" s="1"/>
  <c r="T23" i="55" a="1"/>
  <c r="T23" i="55" s="1"/>
  <c r="T17" i="55" a="1"/>
  <c r="T17" i="55" s="1"/>
  <c r="T22" i="55" a="1"/>
  <c r="T22" i="55" s="1"/>
  <c r="T20" i="55" a="1"/>
  <c r="T20" i="55" s="1"/>
  <c r="T18" i="55" a="1"/>
  <c r="T18" i="55" s="1"/>
  <c r="T21" i="55" a="1"/>
  <c r="T21" i="55" s="1"/>
  <c r="T19" i="55" a="1"/>
  <c r="T19" i="55" s="1"/>
  <c r="T25" i="55" a="1"/>
  <c r="T25" i="55" s="1"/>
  <c r="T15" i="55" a="1"/>
  <c r="T15" i="55" s="1"/>
  <c r="S25" i="55" a="1"/>
  <c r="S25" i="55" s="1"/>
  <c r="S18" i="55" a="1"/>
  <c r="S18" i="55" s="1"/>
  <c r="S19" i="55" a="1"/>
  <c r="S19" i="55" s="1"/>
  <c r="S22" i="55" a="1"/>
  <c r="S22" i="55" s="1"/>
  <c r="S24" i="55" a="1"/>
  <c r="S24" i="55" s="1"/>
  <c r="S21" i="55" a="1"/>
  <c r="S21" i="55" s="1"/>
  <c r="S10" i="55" a="1"/>
  <c r="S10" i="55" s="1"/>
  <c r="S15" i="55" a="1"/>
  <c r="S15" i="55" s="1"/>
  <c r="S17" i="55" a="1"/>
  <c r="S17" i="55" s="1"/>
  <c r="S20" i="55" a="1"/>
  <c r="S20" i="55" s="1"/>
  <c r="S23" i="55" a="1"/>
  <c r="S23" i="55" s="1"/>
  <c r="AH10" i="55" a="1"/>
  <c r="AH10" i="55" s="1"/>
  <c r="AH25" i="55" a="1"/>
  <c r="AH25" i="55" s="1"/>
  <c r="AH20" i="55" a="1"/>
  <c r="AH20" i="55" s="1"/>
  <c r="AH22" i="55" a="1"/>
  <c r="AH22" i="55" s="1"/>
  <c r="AH19" i="55" a="1"/>
  <c r="AH19" i="55" s="1"/>
  <c r="AH15" i="55" a="1"/>
  <c r="AH15" i="55" s="1"/>
  <c r="AH24" i="55" a="1"/>
  <c r="AH24" i="55" s="1"/>
  <c r="AH21" i="55" a="1"/>
  <c r="AH21" i="55" s="1"/>
  <c r="AH17" i="55" a="1"/>
  <c r="AH17" i="55" s="1"/>
  <c r="AH23" i="55" a="1"/>
  <c r="AH23" i="55" s="1"/>
  <c r="AH18" i="55" a="1"/>
  <c r="AH18" i="55" s="1"/>
  <c r="AF19" i="55" a="1"/>
  <c r="AF19" i="55" s="1"/>
  <c r="AF24" i="55" a="1"/>
  <c r="AF24" i="55" s="1"/>
  <c r="AF23" i="55" a="1"/>
  <c r="AF23" i="55" s="1"/>
  <c r="AF17" i="55" a="1"/>
  <c r="AF17" i="55" s="1"/>
  <c r="AF21" i="55" a="1"/>
  <c r="AF21" i="55" s="1"/>
  <c r="AF20" i="55" a="1"/>
  <c r="AF20" i="55" s="1"/>
  <c r="AF15" i="55" a="1"/>
  <c r="AF15" i="55" s="1"/>
  <c r="AF18" i="55" a="1"/>
  <c r="AF18" i="55" s="1"/>
  <c r="AF10" i="55" a="1"/>
  <c r="AF10" i="55" s="1"/>
  <c r="AF25" i="55" a="1"/>
  <c r="AF25" i="55" s="1"/>
  <c r="AF22" i="55" a="1"/>
  <c r="AF22" i="55" s="1"/>
  <c r="AE24" i="55" a="1"/>
  <c r="AE24" i="55" s="1"/>
  <c r="AE17" i="55" a="1"/>
  <c r="AE17" i="55" s="1"/>
  <c r="AE22" i="55" a="1"/>
  <c r="AE22" i="55" s="1"/>
  <c r="AE10" i="55" a="1"/>
  <c r="AE10" i="55" s="1"/>
  <c r="AE15" i="55" a="1"/>
  <c r="AE15" i="55" s="1"/>
  <c r="AE20" i="55" a="1"/>
  <c r="AE20" i="55" s="1"/>
  <c r="AE21" i="55" a="1"/>
  <c r="AE21" i="55" s="1"/>
  <c r="AE18" i="55" a="1"/>
  <c r="AE18" i="55" s="1"/>
  <c r="AE19" i="55" a="1"/>
  <c r="AE19" i="55" s="1"/>
  <c r="AE23" i="55" a="1"/>
  <c r="AE23" i="55" s="1"/>
  <c r="AE25" i="55" a="1"/>
  <c r="AE25" i="55" s="1"/>
  <c r="R23" i="55" a="1"/>
  <c r="R23" i="55" s="1"/>
  <c r="R10" i="55" a="1"/>
  <c r="R10" i="55" s="1"/>
  <c r="R18" i="55" a="1"/>
  <c r="R18" i="55" s="1"/>
  <c r="R20" i="55" a="1"/>
  <c r="R20" i="55" s="1"/>
  <c r="R25" i="55" a="1"/>
  <c r="R25" i="55" s="1"/>
  <c r="R22" i="55" a="1"/>
  <c r="R22" i="55" s="1"/>
  <c r="R19" i="55" a="1"/>
  <c r="R19" i="55" s="1"/>
  <c r="R24" i="55" a="1"/>
  <c r="R24" i="55" s="1"/>
  <c r="R43" i="55" s="1"/>
  <c r="R21" i="55" a="1"/>
  <c r="R21" i="55" s="1"/>
  <c r="R15" i="55" a="1"/>
  <c r="R15" i="55" s="1"/>
  <c r="R17" i="55" a="1"/>
  <c r="R17" i="55" s="1"/>
  <c r="AM22" i="55" a="1"/>
  <c r="AM22" i="55" s="1"/>
  <c r="AM15" i="55" a="1"/>
  <c r="AM15" i="55" s="1"/>
  <c r="AM18" i="55" a="1"/>
  <c r="AM18" i="55" s="1"/>
  <c r="AM19" i="55" a="1"/>
  <c r="AM19" i="55" s="1"/>
  <c r="AM23" i="55" a="1"/>
  <c r="AM23" i="55" s="1"/>
  <c r="AM21" i="55" a="1"/>
  <c r="AM21" i="55" s="1"/>
  <c r="AM10" i="55" a="1"/>
  <c r="AM10" i="55" s="1"/>
  <c r="AM24" i="55" a="1"/>
  <c r="AM24" i="55" s="1"/>
  <c r="AM20" i="55" a="1"/>
  <c r="AM20" i="55" s="1"/>
  <c r="AM25" i="55" a="1"/>
  <c r="AM25" i="55" s="1"/>
  <c r="AM17" i="55" a="1"/>
  <c r="AM17" i="55" s="1"/>
  <c r="Z23" i="55" a="1"/>
  <c r="Z23" i="55" s="1"/>
  <c r="Z17" i="55" a="1"/>
  <c r="Z17" i="55" s="1"/>
  <c r="Z18" i="55" a="1"/>
  <c r="Z18" i="55" s="1"/>
  <c r="Z22" i="55" a="1"/>
  <c r="Z22" i="55" s="1"/>
  <c r="Z15" i="55" a="1"/>
  <c r="Z15" i="55" s="1"/>
  <c r="Z20" i="55" a="1"/>
  <c r="Z20" i="55" s="1"/>
  <c r="Z21" i="55" a="1"/>
  <c r="Z21" i="55" s="1"/>
  <c r="Z24" i="55" a="1"/>
  <c r="Z24" i="55" s="1"/>
  <c r="Z10" i="55" a="1"/>
  <c r="Z10" i="55" s="1"/>
  <c r="Z19" i="55" a="1"/>
  <c r="Z19" i="55" s="1"/>
  <c r="Z25" i="55" a="1"/>
  <c r="Z25" i="55" s="1"/>
  <c r="AB19" i="55" a="1"/>
  <c r="AB19" i="55" s="1"/>
  <c r="AB17" i="55" a="1"/>
  <c r="AB17" i="55" s="1"/>
  <c r="AB22" i="55" a="1"/>
  <c r="AB22" i="55" s="1"/>
  <c r="AB10" i="55" a="1"/>
  <c r="AB10" i="55" s="1"/>
  <c r="AB18" i="55" a="1"/>
  <c r="AB18" i="55" s="1"/>
  <c r="AB21" i="55" a="1"/>
  <c r="AB21" i="55" s="1"/>
  <c r="AB23" i="55" a="1"/>
  <c r="AB23" i="55" s="1"/>
  <c r="AB25" i="55" a="1"/>
  <c r="AB25" i="55" s="1"/>
  <c r="AB15" i="55" a="1"/>
  <c r="AB15" i="55" s="1"/>
  <c r="AB20" i="55" a="1"/>
  <c r="AB20" i="55" s="1"/>
  <c r="AB24" i="55" a="1"/>
  <c r="AB24" i="55" s="1"/>
  <c r="AK19" i="55" a="1"/>
  <c r="AK19" i="55" s="1"/>
  <c r="AK10" i="55" a="1"/>
  <c r="AK10" i="55" s="1"/>
  <c r="AK21" i="55" a="1"/>
  <c r="AK21" i="55" s="1"/>
  <c r="AK20" i="55" a="1"/>
  <c r="AK20" i="55" s="1"/>
  <c r="AK24" i="55" a="1"/>
  <c r="AK24" i="55" s="1"/>
  <c r="AK25" i="55" a="1"/>
  <c r="AK25" i="55" s="1"/>
  <c r="AK18" i="55" a="1"/>
  <c r="AK18" i="55" s="1"/>
  <c r="AK22" i="55" a="1"/>
  <c r="AK22" i="55" s="1"/>
  <c r="AK15" i="55" a="1"/>
  <c r="AK15" i="55" s="1"/>
  <c r="AK17" i="55" a="1"/>
  <c r="AK17" i="55" s="1"/>
  <c r="AK23" i="55" a="1"/>
  <c r="AK23" i="55" s="1"/>
  <c r="J9" i="56" a="1"/>
  <c r="J9" i="56" s="1"/>
  <c r="T9" i="56" s="1"/>
  <c r="J8" i="56" a="1"/>
  <c r="J8" i="56" s="1"/>
  <c r="J7" i="56" a="1"/>
  <c r="J7" i="56" s="1"/>
  <c r="K8" i="56" a="1"/>
  <c r="K8" i="56" s="1"/>
  <c r="U8" i="56" s="1"/>
  <c r="K9" i="56" a="1"/>
  <c r="K9" i="56" s="1"/>
  <c r="U9" i="56" s="1"/>
  <c r="K7" i="56" a="1"/>
  <c r="K7" i="56" s="1"/>
  <c r="AH8" i="56"/>
  <c r="AH9" i="56"/>
  <c r="V10" i="55" a="1"/>
  <c r="V10" i="55" s="1"/>
  <c r="V20" i="55" a="1"/>
  <c r="V20" i="55" s="1"/>
  <c r="V21" i="55" a="1"/>
  <c r="V21" i="55" s="1"/>
  <c r="V23" i="55" a="1"/>
  <c r="V23" i="55" s="1"/>
  <c r="V17" i="55" a="1"/>
  <c r="V17" i="55" s="1"/>
  <c r="V25" i="55" a="1"/>
  <c r="V25" i="55" s="1"/>
  <c r="V18" i="55" a="1"/>
  <c r="V18" i="55" s="1"/>
  <c r="V24" i="55" a="1"/>
  <c r="V24" i="55" s="1"/>
  <c r="V19" i="55" a="1"/>
  <c r="V19" i="55" s="1"/>
  <c r="V15" i="55" a="1"/>
  <c r="V15" i="55" s="1"/>
  <c r="V22" i="55" a="1"/>
  <c r="V22" i="55" s="1"/>
  <c r="AN19" i="55" a="1"/>
  <c r="AN19" i="55" s="1"/>
  <c r="AN21" i="55" a="1"/>
  <c r="AN21" i="55" s="1"/>
  <c r="AN23" i="55" a="1"/>
  <c r="AN23" i="55" s="1"/>
  <c r="AN20" i="55" a="1"/>
  <c r="AN20" i="55" s="1"/>
  <c r="AN24" i="55" a="1"/>
  <c r="AN24" i="55" s="1"/>
  <c r="AN22" i="55" a="1"/>
  <c r="AN22" i="55" s="1"/>
  <c r="AN25" i="55" a="1"/>
  <c r="AN25" i="55" s="1"/>
  <c r="AN10" i="55" a="1"/>
  <c r="AN10" i="55" s="1"/>
  <c r="AN18" i="55" a="1"/>
  <c r="AN18" i="55" s="1"/>
  <c r="AN15" i="55" a="1"/>
  <c r="AN15" i="55" s="1"/>
  <c r="AN17" i="55" a="1"/>
  <c r="AN17" i="55" s="1"/>
  <c r="I15" i="57" a="1"/>
  <c r="I15" i="57" s="1"/>
  <c r="I14" i="57" a="1"/>
  <c r="I14" i="57" s="1"/>
  <c r="I13" i="57" a="1"/>
  <c r="I13" i="57" s="1"/>
  <c r="U23" i="55" a="1"/>
  <c r="U23" i="55" s="1"/>
  <c r="U15" i="55" a="1"/>
  <c r="U15" i="55" s="1"/>
  <c r="U17" i="55" a="1"/>
  <c r="U17" i="55" s="1"/>
  <c r="U10" i="55" a="1"/>
  <c r="U10" i="55" s="1"/>
  <c r="U20" i="55" a="1"/>
  <c r="U20" i="55" s="1"/>
  <c r="U19" i="55" a="1"/>
  <c r="U19" i="55" s="1"/>
  <c r="U18" i="55" a="1"/>
  <c r="U18" i="55" s="1"/>
  <c r="U21" i="55" a="1"/>
  <c r="U21" i="55" s="1"/>
  <c r="U25" i="55" a="1"/>
  <c r="U25" i="55" s="1"/>
  <c r="U22" i="55" a="1"/>
  <c r="U22" i="55" s="1"/>
  <c r="U24" i="55" a="1"/>
  <c r="U24" i="55" s="1"/>
  <c r="AI20" i="55" a="1"/>
  <c r="AI20" i="55" s="1"/>
  <c r="AI25" i="55" a="1"/>
  <c r="AI25" i="55" s="1"/>
  <c r="AI15" i="55" a="1"/>
  <c r="AI15" i="55" s="1"/>
  <c r="AI21" i="55" a="1"/>
  <c r="AI21" i="55" s="1"/>
  <c r="AI24" i="55" a="1"/>
  <c r="AI24" i="55" s="1"/>
  <c r="AI23" i="55" a="1"/>
  <c r="AI23" i="55" s="1"/>
  <c r="AI19" i="55" a="1"/>
  <c r="AI19" i="55" s="1"/>
  <c r="AI18" i="55" a="1"/>
  <c r="AI18" i="55" s="1"/>
  <c r="AI22" i="55" a="1"/>
  <c r="AI22" i="55" s="1"/>
  <c r="AI10" i="55" a="1"/>
  <c r="AI10" i="55" s="1"/>
  <c r="AI17" i="55" a="1"/>
  <c r="AI17" i="55" s="1"/>
  <c r="Y20" i="55" a="1"/>
  <c r="Y20" i="55" s="1"/>
  <c r="Y19" i="55" a="1"/>
  <c r="Y19" i="55" s="1"/>
  <c r="Y15" i="55" a="1"/>
  <c r="Y15" i="55" s="1"/>
  <c r="Y17" i="55" a="1"/>
  <c r="Y17" i="55" s="1"/>
  <c r="Y10" i="55" a="1"/>
  <c r="Y10" i="55" s="1"/>
  <c r="Y23" i="55" a="1"/>
  <c r="Y23" i="55" s="1"/>
  <c r="Y22" i="55" a="1"/>
  <c r="Y22" i="55" s="1"/>
  <c r="Y25" i="55" a="1"/>
  <c r="Y25" i="55" s="1"/>
  <c r="Y18" i="55" a="1"/>
  <c r="Y18" i="55" s="1"/>
  <c r="Y21" i="55" a="1"/>
  <c r="Y21" i="55" s="1"/>
  <c r="Y24" i="55" a="1"/>
  <c r="Y24" i="55" s="1"/>
  <c r="J14" i="57" a="1"/>
  <c r="J14" i="57" s="1"/>
  <c r="J13" i="57" a="1"/>
  <c r="J13" i="57" s="1"/>
  <c r="J15" i="57" a="1"/>
  <c r="J15" i="57" s="1"/>
  <c r="AD18" i="55" a="1"/>
  <c r="AD18" i="55" s="1"/>
  <c r="AD20" i="55" a="1"/>
  <c r="AD20" i="55" s="1"/>
  <c r="AD17" i="55" a="1"/>
  <c r="AD17" i="55" s="1"/>
  <c r="AD25" i="55" a="1"/>
  <c r="AD25" i="55" s="1"/>
  <c r="AD19" i="55" a="1"/>
  <c r="AD19" i="55" s="1"/>
  <c r="AD10" i="55" a="1"/>
  <c r="AD10" i="55" s="1"/>
  <c r="AD24" i="55" a="1"/>
  <c r="AD24" i="55" s="1"/>
  <c r="AD22" i="55" a="1"/>
  <c r="AD22" i="55" s="1"/>
  <c r="AD21" i="55" a="1"/>
  <c r="AD21" i="55" s="1"/>
  <c r="AD23" i="55" a="1"/>
  <c r="AD23" i="55" s="1"/>
  <c r="AD15" i="55" a="1"/>
  <c r="AD15" i="55" s="1"/>
  <c r="AC19" i="55" a="1"/>
  <c r="AC19" i="55" s="1"/>
  <c r="AC23" i="55" a="1"/>
  <c r="AC23" i="55" s="1"/>
  <c r="AC25" i="55" a="1"/>
  <c r="AC25" i="55" s="1"/>
  <c r="AC18" i="55" a="1"/>
  <c r="AC18" i="55" s="1"/>
  <c r="AC21" i="55" a="1"/>
  <c r="AC21" i="55" s="1"/>
  <c r="AC17" i="55" a="1"/>
  <c r="AC17" i="55" s="1"/>
  <c r="AC10" i="55" a="1"/>
  <c r="AC10" i="55" s="1"/>
  <c r="AC79" i="55" s="1"/>
  <c r="AC20" i="55" a="1"/>
  <c r="AC20" i="55" s="1"/>
  <c r="AC22" i="55" a="1"/>
  <c r="AC22" i="55" s="1"/>
  <c r="AC15" i="55" a="1"/>
  <c r="AC15" i="55" s="1"/>
  <c r="AC24" i="55" a="1"/>
  <c r="AC24" i="55" s="1"/>
  <c r="X22" i="55" a="1"/>
  <c r="X22" i="55" s="1"/>
  <c r="X18" i="55" a="1"/>
  <c r="X18" i="55" s="1"/>
  <c r="X21" i="55" a="1"/>
  <c r="X21" i="55" s="1"/>
  <c r="X20" i="55" a="1"/>
  <c r="X20" i="55" s="1"/>
  <c r="X10" i="55" a="1"/>
  <c r="X10" i="55" s="1"/>
  <c r="X15" i="55" a="1"/>
  <c r="X15" i="55" s="1"/>
  <c r="X19" i="55" a="1"/>
  <c r="X19" i="55" s="1"/>
  <c r="X17" i="55" a="1"/>
  <c r="X17" i="55" s="1"/>
  <c r="X24" i="55" a="1"/>
  <c r="X24" i="55" s="1"/>
  <c r="X25" i="55" a="1"/>
  <c r="X25" i="55" s="1"/>
  <c r="X23" i="55" a="1"/>
  <c r="X23" i="55" s="1"/>
  <c r="W23" i="55" a="1"/>
  <c r="W23" i="55" s="1"/>
  <c r="W25" i="55" a="1"/>
  <c r="W25" i="55" s="1"/>
  <c r="W19" i="55" a="1"/>
  <c r="W19" i="55" s="1"/>
  <c r="W17" i="55" a="1"/>
  <c r="W17" i="55" s="1"/>
  <c r="W22" i="55" a="1"/>
  <c r="W22" i="55" s="1"/>
  <c r="W15" i="55" a="1"/>
  <c r="W15" i="55" s="1"/>
  <c r="W10" i="55" a="1"/>
  <c r="W10" i="55" s="1"/>
  <c r="W18" i="55" a="1"/>
  <c r="W18" i="55" s="1"/>
  <c r="W24" i="55" a="1"/>
  <c r="W24" i="55" s="1"/>
  <c r="W20" i="55" a="1"/>
  <c r="W20" i="55" s="1"/>
  <c r="W21" i="55" a="1"/>
  <c r="W21" i="55" s="1"/>
  <c r="AL24" i="55" a="1"/>
  <c r="AL24" i="55" s="1"/>
  <c r="AL10" i="55" a="1"/>
  <c r="AL10" i="55" s="1"/>
  <c r="AL21" i="55" a="1"/>
  <c r="AL21" i="55" s="1"/>
  <c r="AL17" i="55" a="1"/>
  <c r="AL17" i="55" s="1"/>
  <c r="AL15" i="55" a="1"/>
  <c r="AL15" i="55" s="1"/>
  <c r="AL18" i="55" a="1"/>
  <c r="AL18" i="55" s="1"/>
  <c r="AL22" i="55" a="1"/>
  <c r="AL22" i="55" s="1"/>
  <c r="AL19" i="55" a="1"/>
  <c r="AL19" i="55" s="1"/>
  <c r="AL23" i="55" a="1"/>
  <c r="AL23" i="55" s="1"/>
  <c r="AL25" i="55" a="1"/>
  <c r="AL25" i="55" s="1"/>
  <c r="AL20" i="55" a="1"/>
  <c r="AL20" i="55" s="1"/>
  <c r="R33" i="29" a="1"/>
  <c r="R33" i="29" s="1"/>
  <c r="R5" i="29" a="1"/>
  <c r="R5" i="29" s="1"/>
  <c r="Q33" i="29" a="1"/>
  <c r="Q33" i="29" s="1"/>
  <c r="Q5" i="29" a="1"/>
  <c r="Q5" i="29" s="1"/>
  <c r="AM35" i="58"/>
  <c r="AL169" i="58"/>
  <c r="AL168" i="58"/>
  <c r="AL36" i="58"/>
  <c r="AL41" i="58" s="1"/>
  <c r="AN23" i="58"/>
  <c r="AN24" i="58" s="1"/>
  <c r="AO10" i="58"/>
  <c r="AE28" i="44"/>
  <c r="J47" i="57" s="1"/>
  <c r="AP9" i="55"/>
  <c r="AP16" i="55" s="1" a="1"/>
  <c r="AP16" i="55" s="1"/>
  <c r="AB9" i="56"/>
  <c r="W5" i="47"/>
  <c r="X6" i="47"/>
  <c r="W8" i="47"/>
  <c r="W7" i="47"/>
  <c r="W9" i="47"/>
  <c r="AD47" i="57" l="1"/>
  <c r="T47" i="57"/>
  <c r="J43" i="56"/>
  <c r="K43" i="56" s="1"/>
  <c r="T7" i="56"/>
  <c r="J104" i="56"/>
  <c r="K104" i="56" s="1"/>
  <c r="L104" i="56" s="1"/>
  <c r="M104" i="56" s="1"/>
  <c r="N104" i="56" s="1"/>
  <c r="T8" i="56"/>
  <c r="AD8" i="56" s="1"/>
  <c r="AG7" i="56"/>
  <c r="U7" i="56"/>
  <c r="V43" i="56"/>
  <c r="V76" i="56" s="1"/>
  <c r="V92" i="56" s="1"/>
  <c r="AF8" i="56"/>
  <c r="AD9" i="56"/>
  <c r="AF9" i="56"/>
  <c r="AE9" i="56"/>
  <c r="AG9" i="56"/>
  <c r="AE8" i="56"/>
  <c r="AG8" i="56"/>
  <c r="AQ9" i="55"/>
  <c r="AQ16" i="55" s="1" a="1"/>
  <c r="AQ16" i="55" s="1"/>
  <c r="AP14" i="55" a="1"/>
  <c r="AP14" i="55" s="1"/>
  <c r="AP22" i="55" a="1"/>
  <c r="AP22" i="55" s="1"/>
  <c r="AP18" i="55" a="1"/>
  <c r="AP18" i="55" s="1"/>
  <c r="AP24" i="55" a="1"/>
  <c r="AP24" i="55" s="1"/>
  <c r="AP23" i="55" a="1"/>
  <c r="AP23" i="55" s="1"/>
  <c r="AP21" i="55" a="1"/>
  <c r="AP21" i="55" s="1"/>
  <c r="AP20" i="55" a="1"/>
  <c r="AP20" i="55" s="1"/>
  <c r="AP25" i="55" a="1"/>
  <c r="AP25" i="55" s="1"/>
  <c r="AP15" i="55" a="1"/>
  <c r="AP15" i="55" s="1"/>
  <c r="AP19" i="55" a="1"/>
  <c r="AP19" i="55" s="1"/>
  <c r="AP10" i="55" a="1"/>
  <c r="AP10" i="55" s="1"/>
  <c r="AP17" i="55" a="1"/>
  <c r="AP17" i="55" s="1"/>
  <c r="AP11" i="55"/>
  <c r="AQ11" i="55"/>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O36" i="55" s="1"/>
  <c r="T35" i="55"/>
  <c r="J130" i="47"/>
  <c r="AK13" i="55"/>
  <c r="AK12" i="55"/>
  <c r="S12" i="55"/>
  <c r="S13" i="55"/>
  <c r="AG13" i="55"/>
  <c r="AG12" i="55"/>
  <c r="R13" i="55"/>
  <c r="R32" i="55" s="1"/>
  <c r="I137" i="47" s="1"/>
  <c r="R12" i="55"/>
  <c r="AD12" i="55"/>
  <c r="AD13" i="55"/>
  <c r="X13" i="55"/>
  <c r="X12" i="55"/>
  <c r="T12" i="55"/>
  <c r="T13" i="55"/>
  <c r="AL13" i="55"/>
  <c r="AL12" i="55"/>
  <c r="AO12" i="55"/>
  <c r="AO13" i="55"/>
  <c r="AF13" i="55"/>
  <c r="AF12" i="55"/>
  <c r="AE12" i="55"/>
  <c r="AE13" i="55"/>
  <c r="AJ12" i="55"/>
  <c r="AJ13" i="55"/>
  <c r="AN12" i="55"/>
  <c r="AN13" i="55"/>
  <c r="AH13" i="55"/>
  <c r="AH12" i="55"/>
  <c r="W13" i="55"/>
  <c r="W12" i="55"/>
  <c r="AC12" i="55"/>
  <c r="AC13" i="55"/>
  <c r="Z12" i="55"/>
  <c r="Z13" i="55"/>
  <c r="U13" i="55"/>
  <c r="U12" i="55"/>
  <c r="V13" i="55"/>
  <c r="V12" i="55"/>
  <c r="AI13" i="55"/>
  <c r="AI12" i="55"/>
  <c r="AM12" i="55"/>
  <c r="AM13" i="55"/>
  <c r="AB12" i="55"/>
  <c r="AB13" i="55"/>
  <c r="AA12" i="55"/>
  <c r="AA13" i="55"/>
  <c r="Y12" i="55"/>
  <c r="Y13" i="55"/>
  <c r="I138" i="47"/>
  <c r="S30" i="55"/>
  <c r="T33" i="55"/>
  <c r="U33" i="55" s="1"/>
  <c r="V33" i="55" s="1"/>
  <c r="W33" i="55" s="1"/>
  <c r="X33" i="55" s="1"/>
  <c r="Y33" i="55" s="1"/>
  <c r="Z33" i="55" s="1"/>
  <c r="AA33" i="55" s="1"/>
  <c r="AB33" i="55" s="1"/>
  <c r="AC33" i="55" s="1"/>
  <c r="AD33" i="55" s="1"/>
  <c r="AD14" i="57"/>
  <c r="T14" i="57"/>
  <c r="T15" i="57"/>
  <c r="AD15" i="57"/>
  <c r="AD13" i="57"/>
  <c r="T13" i="57"/>
  <c r="S13" i="57"/>
  <c r="AC13" i="57" s="1"/>
  <c r="S14" i="57"/>
  <c r="AC14" i="57" s="1"/>
  <c r="S15" i="57"/>
  <c r="AC15" i="57" s="1"/>
  <c r="I16" i="57"/>
  <c r="AO23" i="58"/>
  <c r="AO24" i="58" s="1"/>
  <c r="AM169" i="58"/>
  <c r="AM168" i="58"/>
  <c r="AM36" i="58"/>
  <c r="AM41" i="58" s="1"/>
  <c r="AP10" i="58"/>
  <c r="AN31" i="58"/>
  <c r="AN34" i="58" s="1"/>
  <c r="AB8" i="56"/>
  <c r="S43" i="55"/>
  <c r="I135" i="47"/>
  <c r="M16" i="57"/>
  <c r="R42" i="55"/>
  <c r="T32" i="57"/>
  <c r="R34" i="55"/>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34" i="55" s="1"/>
  <c r="R29" i="55"/>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29" i="55" s="1"/>
  <c r="AE29" i="44"/>
  <c r="AF29" i="44"/>
  <c r="R41" i="55"/>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AO41" i="55" s="1"/>
  <c r="R44" i="55"/>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44" i="55" s="1"/>
  <c r="J16" i="57"/>
  <c r="X8" i="47"/>
  <c r="X9" i="47"/>
  <c r="Y6" i="47"/>
  <c r="X7" i="47"/>
  <c r="X5" i="47"/>
  <c r="AD32" i="57" l="1"/>
  <c r="L32" i="57" s="1"/>
  <c r="L43" i="56"/>
  <c r="V176" i="56" a="1"/>
  <c r="V176" i="56" s="1"/>
  <c r="X176" i="56" a="1"/>
  <c r="X176" i="56" s="1"/>
  <c r="AF7" i="56"/>
  <c r="AF43" i="56" s="1"/>
  <c r="AF76" i="56" s="1"/>
  <c r="AF92" i="56" s="1"/>
  <c r="Q176" i="56" a="1"/>
  <c r="Q176" i="56" s="1"/>
  <c r="R176" i="56" a="1"/>
  <c r="R176" i="56" s="1"/>
  <c r="S176" i="56" s="1" a="1"/>
  <c r="S176" i="56" s="1"/>
  <c r="T176" i="56" s="1" a="1"/>
  <c r="T176" i="56" s="1"/>
  <c r="U176" i="56" s="1" a="1"/>
  <c r="U176" i="56" s="1"/>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AP12" i="55"/>
  <c r="AP13" i="55"/>
  <c r="AQ14" i="55" a="1"/>
  <c r="AQ14" i="55" s="1"/>
  <c r="AQ22" i="55" a="1"/>
  <c r="AQ22" i="55" s="1"/>
  <c r="AQ24" i="55" a="1"/>
  <c r="AQ24" i="55" s="1"/>
  <c r="AQ18" i="55" a="1"/>
  <c r="AQ18" i="55" s="1"/>
  <c r="AQ23" i="55" a="1"/>
  <c r="AQ23" i="55" s="1"/>
  <c r="AQ21" i="55" a="1"/>
  <c r="AQ21" i="55" s="1"/>
  <c r="AQ25" i="55" a="1"/>
  <c r="AQ25" i="55" s="1"/>
  <c r="AQ10" i="55" a="1"/>
  <c r="AQ10" i="55" s="1"/>
  <c r="AQ20" i="55" a="1"/>
  <c r="AQ20" i="55" s="1"/>
  <c r="AQ17" i="55" a="1"/>
  <c r="AQ17" i="55" s="1"/>
  <c r="AQ15" i="55" a="1"/>
  <c r="AQ15" i="55" s="1"/>
  <c r="AQ19" i="55" a="1"/>
  <c r="AQ19" i="55" s="1"/>
  <c r="AP36" i="55"/>
  <c r="U35" i="55"/>
  <c r="K130" i="47"/>
  <c r="S32" i="55"/>
  <c r="T32" i="55" s="1"/>
  <c r="K137" i="47" s="1"/>
  <c r="J138" i="47"/>
  <c r="T30" i="55"/>
  <c r="R43" i="56"/>
  <c r="T43" i="56" s="1"/>
  <c r="W43" i="56" s="1"/>
  <c r="W76" i="56" s="1"/>
  <c r="Q49" i="57"/>
  <c r="AO31" i="58"/>
  <c r="AO34" i="58" s="1"/>
  <c r="AO35" i="58" s="1"/>
  <c r="AD16" i="57"/>
  <c r="AG16" i="57"/>
  <c r="W32" i="57"/>
  <c r="T87" i="57"/>
  <c r="T56" i="57"/>
  <c r="W107" i="57"/>
  <c r="W93" i="57"/>
  <c r="W54" i="57"/>
  <c r="W75" i="57"/>
  <c r="T75" i="57"/>
  <c r="T54" i="57"/>
  <c r="T107" i="57"/>
  <c r="T93" i="57"/>
  <c r="T16" i="57"/>
  <c r="T55" i="57"/>
  <c r="T108" i="57"/>
  <c r="T97" i="57"/>
  <c r="T81" i="57"/>
  <c r="S109" i="57"/>
  <c r="S101" i="57"/>
  <c r="S86" i="57"/>
  <c r="S56" i="57"/>
  <c r="T86" i="57"/>
  <c r="T101" i="57"/>
  <c r="T109" i="57"/>
  <c r="S16" i="57"/>
  <c r="AC16" i="57" s="1"/>
  <c r="S55" i="57"/>
  <c r="S81" i="57"/>
  <c r="S97" i="57"/>
  <c r="S108" i="57"/>
  <c r="W101" i="57"/>
  <c r="W86" i="57"/>
  <c r="S93" i="57"/>
  <c r="S107" i="57"/>
  <c r="S75" i="57"/>
  <c r="S54" i="57"/>
  <c r="W16" i="57"/>
  <c r="W97" i="57"/>
  <c r="W108" i="57"/>
  <c r="W55" i="57"/>
  <c r="W81" i="57"/>
  <c r="AN35" i="58"/>
  <c r="AP23" i="58"/>
  <c r="AQ10" i="58"/>
  <c r="AP41" i="55"/>
  <c r="AP34" i="55"/>
  <c r="AP44" i="55"/>
  <c r="AP29" i="55"/>
  <c r="AD7" i="56"/>
  <c r="AD93" i="57"/>
  <c r="AD75" i="57"/>
  <c r="AC75" i="57"/>
  <c r="AC93" i="57"/>
  <c r="AB7" i="56"/>
  <c r="AH7" i="56"/>
  <c r="AE7" i="56"/>
  <c r="AG93" i="57"/>
  <c r="AG75" i="57"/>
  <c r="T43" i="55"/>
  <c r="J135" i="47"/>
  <c r="K127" i="47"/>
  <c r="H92" i="56"/>
  <c r="S42" i="55"/>
  <c r="I134" i="47"/>
  <c r="Y7" i="47"/>
  <c r="Y8" i="47"/>
  <c r="Z6" i="47"/>
  <c r="Y5" i="47"/>
  <c r="Y9" i="47"/>
  <c r="I136" i="47" l="1"/>
  <c r="J32" i="57"/>
  <c r="K32" i="57"/>
  <c r="AG32" i="57"/>
  <c r="M32" i="57" s="1"/>
  <c r="AP31" i="55"/>
  <c r="AQ34" i="55"/>
  <c r="AQ36" i="55"/>
  <c r="K75" i="57"/>
  <c r="L75" i="57"/>
  <c r="K93" i="57"/>
  <c r="L93" i="57"/>
  <c r="M43" i="56"/>
  <c r="L92" i="56"/>
  <c r="L76" i="56" s="1"/>
  <c r="M111" i="56" a="1"/>
  <c r="M111" i="56" s="1"/>
  <c r="Y176" i="56" a="1"/>
  <c r="Y176" i="56" s="1"/>
  <c r="AI176" i="56" a="1"/>
  <c r="AI176" i="56" s="1"/>
  <c r="W92" i="56"/>
  <c r="AQ29" i="55"/>
  <c r="AQ44" i="55"/>
  <c r="AQ12" i="55"/>
  <c r="AQ13" i="55"/>
  <c r="AQ41" i="55"/>
  <c r="J137" i="47"/>
  <c r="V35" i="55"/>
  <c r="L130" i="47"/>
  <c r="U32" i="55"/>
  <c r="V32" i="55" s="1"/>
  <c r="U30" i="55"/>
  <c r="K138" i="47"/>
  <c r="J75" i="57"/>
  <c r="M75" i="57"/>
  <c r="R76" i="56"/>
  <c r="R92" i="56" s="1"/>
  <c r="AB92" i="56" s="1"/>
  <c r="I93" i="57"/>
  <c r="AB43" i="56"/>
  <c r="AB76" i="56" s="1"/>
  <c r="M93" i="57"/>
  <c r="I75" i="57"/>
  <c r="J93" i="57"/>
  <c r="W176" i="56" a="1"/>
  <c r="W176" i="56" s="1"/>
  <c r="Z176" i="56" s="1" a="1"/>
  <c r="Z176" i="56" s="1"/>
  <c r="AA176" i="56" s="1" a="1"/>
  <c r="AA176" i="56" s="1"/>
  <c r="AB176" i="56" s="1" a="1"/>
  <c r="AB176" i="56" s="1"/>
  <c r="AC176" i="56" s="1" a="1"/>
  <c r="AC176" i="56" s="1"/>
  <c r="AD176" i="56" s="1" a="1"/>
  <c r="AD176" i="56" s="1"/>
  <c r="AE176" i="56" s="1" a="1"/>
  <c r="AE176" i="56" s="1"/>
  <c r="AF176" i="56" s="1" a="1"/>
  <c r="AF176" i="56" s="1"/>
  <c r="AG176" i="56" a="1"/>
  <c r="AG176" i="56" s="1"/>
  <c r="H76" i="56"/>
  <c r="W109" i="57"/>
  <c r="Q50" i="57"/>
  <c r="AA49" i="57"/>
  <c r="G49" i="57" s="1"/>
  <c r="R49" i="57" s="1"/>
  <c r="U43" i="56"/>
  <c r="T76" i="56"/>
  <c r="T92" i="56" s="1"/>
  <c r="W87" i="57"/>
  <c r="W56" i="57"/>
  <c r="AN169" i="58"/>
  <c r="AN168" i="58"/>
  <c r="AN36" i="58"/>
  <c r="AN41" i="58" s="1"/>
  <c r="AQ23" i="58"/>
  <c r="AR10" i="58"/>
  <c r="AP31" i="58"/>
  <c r="AP34" i="58" s="1"/>
  <c r="AP24" i="58"/>
  <c r="AO169" i="58"/>
  <c r="AO168" i="58"/>
  <c r="AO36" i="58"/>
  <c r="T42" i="55"/>
  <c r="J134" i="47"/>
  <c r="L127" i="47"/>
  <c r="Q57" i="57"/>
  <c r="J92" i="56"/>
  <c r="R111" i="56" s="1" a="1"/>
  <c r="R111" i="56" s="1"/>
  <c r="J136" i="47"/>
  <c r="U43" i="55"/>
  <c r="K135" i="47"/>
  <c r="AA6" i="47"/>
  <c r="Z8" i="47"/>
  <c r="Z5" i="47"/>
  <c r="Z9" i="47"/>
  <c r="Z7" i="47"/>
  <c r="AQ31" i="55" l="1"/>
  <c r="P111" i="56" a="1"/>
  <c r="P111" i="56" s="1"/>
  <c r="N43" i="56"/>
  <c r="N92" i="56" s="1"/>
  <c r="M92" i="56"/>
  <c r="M76" i="56" s="1"/>
  <c r="J137" i="56"/>
  <c r="G87" i="47" s="1"/>
  <c r="N111" i="56" a="1"/>
  <c r="N111" i="56" s="1"/>
  <c r="AH176" i="56" a="1"/>
  <c r="AH176" i="56" s="1"/>
  <c r="W35" i="55"/>
  <c r="M130" i="47"/>
  <c r="L137" i="47"/>
  <c r="W32" i="55"/>
  <c r="M137" i="47"/>
  <c r="V30" i="55"/>
  <c r="L138" i="47"/>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AS176" i="56" a="1"/>
  <c r="AS176" i="56" s="1"/>
  <c r="J76" i="56"/>
  <c r="AD111" i="56" a="1"/>
  <c r="AD111" i="56" s="1"/>
  <c r="AC49" i="57"/>
  <c r="AF49" i="57" s="1"/>
  <c r="AA57" i="57"/>
  <c r="G57" i="57" s="1"/>
  <c r="AB49" i="57"/>
  <c r="AB57" i="57" s="1"/>
  <c r="R50" i="57"/>
  <c r="R57" i="57"/>
  <c r="Q110" i="57"/>
  <c r="AA50" i="57"/>
  <c r="G50" i="57" s="1"/>
  <c r="Q51" i="57"/>
  <c r="AA51" i="57" s="1"/>
  <c r="G51" i="57" s="1"/>
  <c r="X43" i="56"/>
  <c r="X76" i="56" s="1"/>
  <c r="U76" i="56"/>
  <c r="U92" i="56" s="1"/>
  <c r="Q58" i="57"/>
  <c r="AO41" i="58"/>
  <c r="AQ24" i="58"/>
  <c r="AP35" i="58"/>
  <c r="AR23" i="58"/>
  <c r="AQ31" i="58"/>
  <c r="AQ34" i="58" s="1"/>
  <c r="M127" i="47"/>
  <c r="U42" i="55"/>
  <c r="K134" i="47"/>
  <c r="K136" i="47"/>
  <c r="K92" i="56"/>
  <c r="S111" i="56" s="1" a="1"/>
  <c r="S111" i="56" s="1"/>
  <c r="V43" i="55"/>
  <c r="L135" i="47"/>
  <c r="AD43" i="56"/>
  <c r="AA7" i="47"/>
  <c r="AA9" i="47"/>
  <c r="AB6" i="47"/>
  <c r="AA5" i="47"/>
  <c r="AA8" i="47"/>
  <c r="AF57" i="57" l="1"/>
  <c r="AF50" i="57"/>
  <c r="AC57" i="57"/>
  <c r="AE49" i="57"/>
  <c r="T111" i="56" a="1"/>
  <c r="T111" i="56" s="1"/>
  <c r="U111" i="56" s="1" a="1"/>
  <c r="U111" i="56" s="1"/>
  <c r="V111" i="56" s="1" a="1"/>
  <c r="V111" i="56" s="1"/>
  <c r="Q137" i="56" s="1"/>
  <c r="K137" i="56"/>
  <c r="H87" i="47" s="1"/>
  <c r="O111" i="56" a="1"/>
  <c r="O111" i="56" s="1"/>
  <c r="L137" i="56" s="1"/>
  <c r="I87" i="47" s="1"/>
  <c r="Q111" i="56" a="1"/>
  <c r="Q111" i="56" s="1"/>
  <c r="AD76" i="56"/>
  <c r="AD92" i="56" s="1"/>
  <c r="AG43" i="56"/>
  <c r="AG76" i="56" s="1"/>
  <c r="X35" i="55"/>
  <c r="N130" i="47"/>
  <c r="W30" i="55"/>
  <c r="M138" i="47"/>
  <c r="X32" i="55"/>
  <c r="N137" i="47"/>
  <c r="H49" i="57"/>
  <c r="S49" i="57" s="1"/>
  <c r="S50" i="57" s="1"/>
  <c r="AC50" i="57"/>
  <c r="AC51" i="57" s="1"/>
  <c r="AE111" i="56" a="1"/>
  <c r="AE111" i="56" s="1"/>
  <c r="AF111" i="56" s="1" a="1"/>
  <c r="AF111" i="56" s="1"/>
  <c r="AA137" i="56" s="1"/>
  <c r="AN111" i="56" a="1"/>
  <c r="AN111" i="56" s="1"/>
  <c r="AT176" i="56" a="1"/>
  <c r="AT176" i="56" s="1"/>
  <c r="AU176" i="56" a="1"/>
  <c r="AU176" i="56" s="1"/>
  <c r="AV176" i="56" s="1" a="1"/>
  <c r="AV176" i="56" s="1"/>
  <c r="AW176" i="56" s="1" a="1"/>
  <c r="AW176" i="56" s="1"/>
  <c r="Q111" i="57"/>
  <c r="AA111" i="57" s="1"/>
  <c r="G111" i="57" s="1"/>
  <c r="AA110" i="57"/>
  <c r="G110" i="57" s="1"/>
  <c r="H57" i="57"/>
  <c r="R58" i="57"/>
  <c r="R61" i="57" s="1"/>
  <c r="R110" i="57"/>
  <c r="AB50" i="57"/>
  <c r="H50" i="57" s="1"/>
  <c r="R51" i="57"/>
  <c r="AB51" i="57" s="1"/>
  <c r="H51" i="57" s="1"/>
  <c r="AB58" i="57"/>
  <c r="AB59" i="57" s="1"/>
  <c r="AB60" i="57" s="1"/>
  <c r="AA58" i="57"/>
  <c r="AA59" i="57" s="1"/>
  <c r="AA60" i="57" s="1"/>
  <c r="X92" i="56"/>
  <c r="Q59" i="57"/>
  <c r="AD49" i="57"/>
  <c r="Q61" i="57"/>
  <c r="AP168" i="58"/>
  <c r="AP169" i="58"/>
  <c r="AP36" i="58"/>
  <c r="AP41" i="58" s="1"/>
  <c r="AQ35" i="58"/>
  <c r="AR24" i="58"/>
  <c r="AS23" i="58"/>
  <c r="AR31" i="58"/>
  <c r="AR34" i="58" s="1"/>
  <c r="K76" i="56"/>
  <c r="AE43" i="56"/>
  <c r="V42" i="55"/>
  <c r="L134" i="47"/>
  <c r="L136" i="47"/>
  <c r="W43" i="55"/>
  <c r="M135" i="47"/>
  <c r="N127" i="47"/>
  <c r="AB9" i="47"/>
  <c r="AC6" i="47"/>
  <c r="AB7" i="47"/>
  <c r="AB8" i="47"/>
  <c r="AB5" i="47"/>
  <c r="AF110" i="57" l="1"/>
  <c r="AF51" i="57"/>
  <c r="AE57" i="57"/>
  <c r="AE50" i="57"/>
  <c r="R137" i="56"/>
  <c r="W111" i="56" a="1"/>
  <c r="W111" i="56" s="1"/>
  <c r="X111" i="56" s="1" a="1"/>
  <c r="X111" i="56" s="1"/>
  <c r="Y111" i="56" s="1" a="1"/>
  <c r="Y111" i="56" s="1"/>
  <c r="Z111" i="56" s="1" a="1"/>
  <c r="Z111" i="56" s="1"/>
  <c r="AC111" i="56" s="1" a="1"/>
  <c r="AC111" i="56" s="1"/>
  <c r="AG92" i="56"/>
  <c r="AG111" i="56" a="1"/>
  <c r="AG111" i="56" s="1"/>
  <c r="AH111" i="56" s="1" a="1"/>
  <c r="AH111" i="56" s="1"/>
  <c r="AI111" i="56" s="1" a="1"/>
  <c r="AI111" i="56" s="1"/>
  <c r="AJ111" i="56" s="1" a="1"/>
  <c r="AJ111" i="56" s="1"/>
  <c r="AK111" i="56" s="1" a="1"/>
  <c r="AK111" i="56" s="1"/>
  <c r="AL111" i="56" s="1" a="1"/>
  <c r="AL111" i="56" s="1"/>
  <c r="AM111" i="56" s="1" a="1"/>
  <c r="AM111" i="56" s="1"/>
  <c r="AB137" i="56"/>
  <c r="Y35" i="55"/>
  <c r="O130" i="47"/>
  <c r="Y32" i="55"/>
  <c r="O137" i="47"/>
  <c r="X30" i="55"/>
  <c r="N138" i="47"/>
  <c r="I49" i="57"/>
  <c r="V49" i="57" s="1"/>
  <c r="S57" i="57"/>
  <c r="I57" i="57" s="1"/>
  <c r="AC110" i="57"/>
  <c r="AO111" i="56" a="1"/>
  <c r="AO111" i="56" s="1"/>
  <c r="AP111" i="56" s="1" a="1"/>
  <c r="AP111" i="56" s="1"/>
  <c r="AQ111" i="56" s="1" a="1"/>
  <c r="AQ111" i="56" s="1"/>
  <c r="AR111" i="56" s="1" a="1"/>
  <c r="AR111" i="56" s="1"/>
  <c r="AS111" i="56" s="1" a="1"/>
  <c r="AS111" i="56" s="1"/>
  <c r="AT111" i="56" s="1" a="1"/>
  <c r="AT111" i="56" s="1"/>
  <c r="AU111" i="56" s="1" a="1"/>
  <c r="AU111" i="56" s="1"/>
  <c r="AV111" i="56" s="1" a="1"/>
  <c r="AV111" i="56" s="1"/>
  <c r="AW111" i="56" s="1" a="1"/>
  <c r="AW111" i="56" s="1"/>
  <c r="AX111" i="56" a="1"/>
  <c r="AX111" i="56" s="1"/>
  <c r="AY111" i="56" s="1" a="1"/>
  <c r="AY111" i="56" s="1"/>
  <c r="AZ111" i="56" s="1" a="1"/>
  <c r="AZ111" i="56" s="1"/>
  <c r="G58" i="57"/>
  <c r="AB61" i="57"/>
  <c r="AD57" i="57"/>
  <c r="AB110" i="57"/>
  <c r="H110" i="57" s="1"/>
  <c r="R111" i="57"/>
  <c r="AB111" i="57" s="1"/>
  <c r="H111" i="57" s="1"/>
  <c r="H58" i="57"/>
  <c r="R59" i="57"/>
  <c r="S51" i="57"/>
  <c r="I51" i="57" s="1"/>
  <c r="S110" i="57"/>
  <c r="S111" i="57" s="1"/>
  <c r="AA61" i="57"/>
  <c r="I50" i="57"/>
  <c r="AD50" i="57"/>
  <c r="AH43" i="56"/>
  <c r="AH76" i="56" s="1"/>
  <c r="AE76" i="56"/>
  <c r="AE92" i="56" s="1"/>
  <c r="Q60" i="57"/>
  <c r="G59" i="57"/>
  <c r="G60" i="57" s="1"/>
  <c r="AG49" i="57"/>
  <c r="M137" i="56"/>
  <c r="J87" i="47" s="1"/>
  <c r="AS31" i="58"/>
  <c r="AS34" i="58" s="1"/>
  <c r="AT23" i="58"/>
  <c r="AQ169" i="58"/>
  <c r="AQ168" i="58"/>
  <c r="AQ36" i="58"/>
  <c r="AQ41" i="58" s="1"/>
  <c r="AR35" i="58"/>
  <c r="AS24" i="58"/>
  <c r="N76" i="56"/>
  <c r="O127" i="47"/>
  <c r="M136" i="47"/>
  <c r="X43" i="55"/>
  <c r="N135" i="47"/>
  <c r="W42" i="55"/>
  <c r="M134" i="47"/>
  <c r="AC5" i="47"/>
  <c r="AC8" i="47"/>
  <c r="AD6" i="47"/>
  <c r="AC9" i="47"/>
  <c r="AC7" i="47"/>
  <c r="AE110" i="57" l="1"/>
  <c r="AE51" i="57"/>
  <c r="V57" i="57"/>
  <c r="V50" i="57"/>
  <c r="T49" i="57"/>
  <c r="L49" i="57" s="1"/>
  <c r="U49" i="57"/>
  <c r="AA111" i="56" a="1"/>
  <c r="AA111" i="56" s="1"/>
  <c r="AB111" i="56" a="1"/>
  <c r="AB111" i="56" s="1"/>
  <c r="Z35" i="55"/>
  <c r="P130" i="47"/>
  <c r="S58" i="57"/>
  <c r="S59" i="57" s="1"/>
  <c r="S60" i="57" s="1"/>
  <c r="Y30" i="55"/>
  <c r="O138" i="47"/>
  <c r="Z32" i="55"/>
  <c r="P137" i="47"/>
  <c r="AD51" i="57"/>
  <c r="AD110" i="57"/>
  <c r="I110" i="57"/>
  <c r="R60" i="57"/>
  <c r="H59" i="57"/>
  <c r="H60" i="57" s="1"/>
  <c r="AH92" i="56"/>
  <c r="AG57" i="57"/>
  <c r="AG50" i="57"/>
  <c r="N137" i="56"/>
  <c r="K87" i="47" s="1"/>
  <c r="AT24" i="58"/>
  <c r="AR169" i="58"/>
  <c r="AR168" i="58"/>
  <c r="AR36" i="58"/>
  <c r="AR41" i="58" s="1"/>
  <c r="AT31" i="58"/>
  <c r="AT34" i="58" s="1"/>
  <c r="AU23" i="58"/>
  <c r="AS35" i="58"/>
  <c r="N136" i="47"/>
  <c r="Y43" i="55"/>
  <c r="O135" i="47"/>
  <c r="X42" i="55"/>
  <c r="N134" i="47"/>
  <c r="P127" i="47"/>
  <c r="AD9" i="47"/>
  <c r="AD7" i="47"/>
  <c r="AE6" i="47"/>
  <c r="AD8" i="47"/>
  <c r="AD5" i="47"/>
  <c r="K49" i="57" l="1"/>
  <c r="T50" i="57"/>
  <c r="J50" i="57" s="1"/>
  <c r="T57" i="57"/>
  <c r="L57" i="57" s="1"/>
  <c r="J49" i="57"/>
  <c r="W49" i="57" s="1"/>
  <c r="W50" i="57" s="1"/>
  <c r="W110" i="57" s="1"/>
  <c r="W111" i="57" s="1"/>
  <c r="V51" i="57"/>
  <c r="V110" i="57"/>
  <c r="V111" i="57" s="1"/>
  <c r="V163" i="57"/>
  <c r="V58" i="57"/>
  <c r="V59" i="57" s="1"/>
  <c r="V60" i="57" s="1"/>
  <c r="V161" i="57"/>
  <c r="V162" i="57"/>
  <c r="U57" i="57"/>
  <c r="U50" i="57"/>
  <c r="AA35" i="55"/>
  <c r="Q130" i="47"/>
  <c r="S61" i="57"/>
  <c r="AA32" i="55"/>
  <c r="Q137" i="47"/>
  <c r="Z30" i="55"/>
  <c r="P138" i="47"/>
  <c r="M49" i="57"/>
  <c r="J57" i="57"/>
  <c r="W57" i="57"/>
  <c r="W58" i="57" s="1"/>
  <c r="W59" i="57" s="1"/>
  <c r="W60" i="57" s="1"/>
  <c r="AG110" i="57"/>
  <c r="AG51" i="57"/>
  <c r="O137" i="56"/>
  <c r="L87" i="47" s="1"/>
  <c r="AU24" i="58"/>
  <c r="AU31" i="58"/>
  <c r="AU34" i="58" s="1"/>
  <c r="AV23" i="58"/>
  <c r="AT35" i="58"/>
  <c r="AS169" i="58"/>
  <c r="AS168" i="58"/>
  <c r="AS36" i="58"/>
  <c r="AS41" i="58" s="1"/>
  <c r="Q127" i="47"/>
  <c r="O136" i="47"/>
  <c r="Y42" i="55"/>
  <c r="O134" i="47"/>
  <c r="Z43" i="55"/>
  <c r="P135" i="47"/>
  <c r="AE7" i="47"/>
  <c r="AE5" i="47"/>
  <c r="AE9" i="47"/>
  <c r="AF6" i="47"/>
  <c r="AE8" i="47"/>
  <c r="M110" i="57" l="1"/>
  <c r="K57" i="57"/>
  <c r="M50" i="57"/>
  <c r="T58" i="57"/>
  <c r="T59" i="57" s="1"/>
  <c r="L50" i="57"/>
  <c r="T51" i="57"/>
  <c r="J51" i="57" s="1"/>
  <c r="K50" i="57"/>
  <c r="W51" i="57"/>
  <c r="M51" i="57" s="1"/>
  <c r="T110" i="57"/>
  <c r="L110" i="57" s="1"/>
  <c r="V61" i="57"/>
  <c r="V151" i="57"/>
  <c r="V150" i="57"/>
  <c r="V149" i="57"/>
  <c r="U51" i="57"/>
  <c r="U110" i="57"/>
  <c r="U111" i="57" s="1"/>
  <c r="U162" i="57"/>
  <c r="U163" i="57"/>
  <c r="U161" i="57"/>
  <c r="U58" i="57"/>
  <c r="U59" i="57" s="1"/>
  <c r="U60" i="57" s="1"/>
  <c r="AB35" i="55"/>
  <c r="R130" i="47"/>
  <c r="M57" i="57"/>
  <c r="AA30" i="55"/>
  <c r="Q138" i="47"/>
  <c r="AB32" i="55"/>
  <c r="R137" i="47"/>
  <c r="W162" i="57"/>
  <c r="W61" i="57"/>
  <c r="P137" i="56"/>
  <c r="M87" i="47" s="1"/>
  <c r="AT169" i="58"/>
  <c r="AT168" i="58"/>
  <c r="AT36" i="58"/>
  <c r="AT41" i="58" s="1"/>
  <c r="AW23" i="58"/>
  <c r="AX23" i="58" s="1"/>
  <c r="AY23" i="58" s="1"/>
  <c r="AV31" i="58"/>
  <c r="AV34" i="58" s="1"/>
  <c r="AU35" i="58"/>
  <c r="AV24" i="58"/>
  <c r="P136" i="47"/>
  <c r="Z42" i="55"/>
  <c r="P134" i="47"/>
  <c r="R127" i="47"/>
  <c r="Q135" i="47"/>
  <c r="AA43" i="55"/>
  <c r="AF8" i="47"/>
  <c r="AH6" i="47"/>
  <c r="AJ6" i="47" s="1"/>
  <c r="AG6" i="47"/>
  <c r="AF5" i="47"/>
  <c r="AF9" i="47"/>
  <c r="AF7" i="47"/>
  <c r="T61" i="57" l="1"/>
  <c r="J110" i="57"/>
  <c r="K51" i="57"/>
  <c r="K110" i="57"/>
  <c r="T111" i="57"/>
  <c r="L51" i="57"/>
  <c r="U61" i="57"/>
  <c r="U150" i="57"/>
  <c r="U151" i="57"/>
  <c r="U149" i="57"/>
  <c r="T60" i="57"/>
  <c r="AZ23" i="58"/>
  <c r="AY31" i="58"/>
  <c r="AY34" i="58" s="1"/>
  <c r="AY35" i="58" s="1"/>
  <c r="AC35" i="55"/>
  <c r="S130" i="47"/>
  <c r="AC32" i="55"/>
  <c r="S137" i="47"/>
  <c r="AB30" i="55"/>
  <c r="R138" i="47"/>
  <c r="S137" i="56"/>
  <c r="N87" i="47" s="1"/>
  <c r="AW24" i="58"/>
  <c r="AU168" i="58"/>
  <c r="AU169" i="58"/>
  <c r="AU36" i="58"/>
  <c r="AU41" i="58" s="1"/>
  <c r="AV35" i="58"/>
  <c r="AW31" i="58"/>
  <c r="AW34" i="58" s="1"/>
  <c r="AA42" i="55"/>
  <c r="Q134" i="47"/>
  <c r="AB43" i="55"/>
  <c r="R135" i="47"/>
  <c r="Q136" i="47"/>
  <c r="S127" i="47"/>
  <c r="AG7" i="47"/>
  <c r="AH7" i="47"/>
  <c r="AJ7" i="47" s="1"/>
  <c r="AH9" i="47"/>
  <c r="AJ9" i="47" s="1"/>
  <c r="AG9" i="47"/>
  <c r="AH5" i="47"/>
  <c r="AJ5" i="47" s="1"/>
  <c r="AG5" i="47"/>
  <c r="AH8" i="47"/>
  <c r="AJ8" i="47" s="1"/>
  <c r="AG8" i="47"/>
  <c r="AY36" i="58" l="1"/>
  <c r="AY168" i="58"/>
  <c r="AY169" i="58"/>
  <c r="BA23" i="58"/>
  <c r="AZ31" i="58"/>
  <c r="AZ34" i="58" s="1"/>
  <c r="AZ35" i="58" s="1"/>
  <c r="AD35" i="55"/>
  <c r="T130" i="47"/>
  <c r="AC30" i="55"/>
  <c r="S138" i="47"/>
  <c r="AD32" i="55"/>
  <c r="T137" i="47"/>
  <c r="T137" i="56"/>
  <c r="O87" i="47" s="1"/>
  <c r="AX24" i="58"/>
  <c r="AY24" i="58" s="1"/>
  <c r="AZ24" i="58" s="1"/>
  <c r="AX31" i="58"/>
  <c r="AX34" i="58" s="1"/>
  <c r="AW35" i="58"/>
  <c r="AV168" i="58"/>
  <c r="AV169" i="58"/>
  <c r="AV36" i="58"/>
  <c r="AV41" i="58" s="1"/>
  <c r="AC43" i="55"/>
  <c r="S135" i="47"/>
  <c r="R136" i="47"/>
  <c r="T127" i="47"/>
  <c r="AB42" i="55"/>
  <c r="R134" i="47"/>
  <c r="AZ36" i="58" l="1"/>
  <c r="AZ41" i="58" s="1"/>
  <c r="AZ168" i="58"/>
  <c r="AZ169" i="58"/>
  <c r="BA24" i="58"/>
  <c r="BB23" i="58"/>
  <c r="BA31" i="58"/>
  <c r="BA34" i="58" s="1"/>
  <c r="BA35" i="58" s="1"/>
  <c r="AE35" i="55"/>
  <c r="U130" i="47"/>
  <c r="AE32" i="55"/>
  <c r="U137" i="47"/>
  <c r="AD30" i="55"/>
  <c r="T138" i="47"/>
  <c r="U137" i="56"/>
  <c r="P87" i="47" s="1"/>
  <c r="AW168" i="58"/>
  <c r="AW169" i="58"/>
  <c r="AW36" i="58"/>
  <c r="AW41" i="58" s="1"/>
  <c r="AX35" i="58"/>
  <c r="AC42" i="55"/>
  <c r="S134" i="47"/>
  <c r="AD43" i="55"/>
  <c r="T135" i="47"/>
  <c r="S136" i="47"/>
  <c r="AE33" i="55"/>
  <c r="U127" i="47"/>
  <c r="BB24" i="58" l="1"/>
  <c r="BA36" i="58"/>
  <c r="BA41" i="58" s="1"/>
  <c r="BA168" i="58"/>
  <c r="BA169" i="58"/>
  <c r="BC23" i="58"/>
  <c r="BB31" i="58"/>
  <c r="BB34" i="58" s="1"/>
  <c r="BB35" i="58" s="1"/>
  <c r="AF35" i="55"/>
  <c r="V130" i="47"/>
  <c r="AE30" i="55"/>
  <c r="U138" i="47"/>
  <c r="AF32" i="55"/>
  <c r="V137" i="47"/>
  <c r="V137" i="56"/>
  <c r="Q87" i="47" s="1"/>
  <c r="AX169" i="58"/>
  <c r="AX168" i="58"/>
  <c r="AX36" i="58"/>
  <c r="AF33" i="55"/>
  <c r="V127" i="47"/>
  <c r="T136" i="47"/>
  <c r="AE43" i="55"/>
  <c r="U135" i="47"/>
  <c r="AD42" i="55"/>
  <c r="T134" i="47"/>
  <c r="BB36" i="58" l="1"/>
  <c r="BB41" i="58" s="1"/>
  <c r="BB169" i="58"/>
  <c r="BB168" i="58"/>
  <c r="BD23" i="58"/>
  <c r="BC31" i="58"/>
  <c r="BC34" i="58" s="1"/>
  <c r="BC35" i="58" s="1"/>
  <c r="AX41" i="58"/>
  <c r="X46" i="58" s="1" a="1"/>
  <c r="X46" i="58" s="1"/>
  <c r="AY41" i="58"/>
  <c r="BC24" i="58"/>
  <c r="AG35" i="55"/>
  <c r="W130" i="47"/>
  <c r="AG32" i="55"/>
  <c r="W137" i="47"/>
  <c r="AF30" i="55"/>
  <c r="V138" i="47"/>
  <c r="W137" i="56"/>
  <c r="R87" i="47" s="1"/>
  <c r="AF43" i="55"/>
  <c r="V135" i="47"/>
  <c r="U136" i="47"/>
  <c r="AG33" i="55"/>
  <c r="W127" i="47"/>
  <c r="AE42" i="55"/>
  <c r="U134" i="47"/>
  <c r="BD24" i="58" l="1"/>
  <c r="AD46" i="58" a="1"/>
  <c r="AD46" i="58" s="1"/>
  <c r="U46" i="58" a="1"/>
  <c r="U46" i="58" s="1"/>
  <c r="Y46" i="58" a="1"/>
  <c r="Y46" i="58" s="1"/>
  <c r="L45" i="58" a="1"/>
  <c r="L45" i="58" s="1"/>
  <c r="N44" i="58" a="1"/>
  <c r="N44" i="58" s="1"/>
  <c r="AK43" i="58" a="1"/>
  <c r="AK43" i="58" s="1"/>
  <c r="U43" i="58" a="1"/>
  <c r="U43" i="58" s="1"/>
  <c r="U45" i="58" a="1"/>
  <c r="U45" i="58" s="1"/>
  <c r="AL45" i="58" a="1"/>
  <c r="AL45" i="58" s="1"/>
  <c r="AT45" i="58" a="1"/>
  <c r="AT45" i="58" s="1"/>
  <c r="AQ45" i="58" a="1"/>
  <c r="AQ45" i="58" s="1"/>
  <c r="AF46" i="58" a="1"/>
  <c r="AF46" i="58" s="1"/>
  <c r="Y45" i="58" a="1"/>
  <c r="Y45" i="58" s="1"/>
  <c r="AG43" i="58" a="1"/>
  <c r="AG43" i="58" s="1"/>
  <c r="AX44" i="58" a="1"/>
  <c r="AX44" i="58" s="1"/>
  <c r="AN45" i="58" a="1"/>
  <c r="AN45" i="58" s="1"/>
  <c r="AP43" i="58" a="1"/>
  <c r="AP43" i="58" s="1"/>
  <c r="AK45" i="58" a="1"/>
  <c r="AK45" i="58" s="1"/>
  <c r="W43" i="58" a="1"/>
  <c r="W43" i="58" s="1"/>
  <c r="V43" i="58" a="1"/>
  <c r="V43" i="58" s="1"/>
  <c r="AI43" i="58" a="1"/>
  <c r="AI43" i="58" s="1"/>
  <c r="AV43" i="58" a="1"/>
  <c r="AV43" i="58" s="1"/>
  <c r="AE43" i="58" a="1"/>
  <c r="AE43" i="58" s="1"/>
  <c r="AK44" i="58" a="1"/>
  <c r="AK44" i="58" s="1"/>
  <c r="AV44" i="58" a="1"/>
  <c r="AV44" i="58" s="1"/>
  <c r="AH46" i="58" a="1"/>
  <c r="AH46" i="58" s="1"/>
  <c r="AC45" i="58" a="1"/>
  <c r="AC45" i="58" s="1"/>
  <c r="U44" i="58" a="1"/>
  <c r="U44" i="58" s="1"/>
  <c r="V44" i="58" a="1"/>
  <c r="V44" i="58" s="1"/>
  <c r="V45" i="58" a="1"/>
  <c r="V45" i="58" s="1"/>
  <c r="AU43" i="58" a="1"/>
  <c r="AU43" i="58" s="1"/>
  <c r="AX45" i="58" a="1"/>
  <c r="AX45" i="58" s="1"/>
  <c r="AI45" i="58" a="1"/>
  <c r="AI45" i="58" s="1"/>
  <c r="W45" i="58" a="1"/>
  <c r="W45" i="58" s="1"/>
  <c r="S43" i="58" a="1"/>
  <c r="S43" i="58" s="1"/>
  <c r="AP46" i="58" a="1"/>
  <c r="AP46" i="58" s="1"/>
  <c r="AP44" i="58" a="1"/>
  <c r="AP44" i="58" s="1"/>
  <c r="M43" i="58" a="1"/>
  <c r="M43" i="58" s="1"/>
  <c r="M49" i="58" s="1"/>
  <c r="M181" i="58" s="1"/>
  <c r="AF45" i="58" a="1"/>
  <c r="AF45" i="58" s="1"/>
  <c r="T45" i="58" a="1"/>
  <c r="T45" i="58" s="1"/>
  <c r="AW45" i="58" a="1"/>
  <c r="AW45" i="58" s="1"/>
  <c r="S44" i="58" a="1"/>
  <c r="S44" i="58" s="1"/>
  <c r="AE44" i="58" a="1"/>
  <c r="AE44" i="58" s="1"/>
  <c r="AL46" i="58" a="1"/>
  <c r="AL46" i="58" s="1"/>
  <c r="AM44" i="58" a="1"/>
  <c r="AM44" i="58" s="1"/>
  <c r="X45" i="58" a="1"/>
  <c r="X45" i="58" s="1"/>
  <c r="AH44" i="58" a="1"/>
  <c r="AH44" i="58" s="1"/>
  <c r="AU44" i="58" a="1"/>
  <c r="AU44" i="58" s="1"/>
  <c r="AS44" i="58" a="1"/>
  <c r="AS44" i="58" s="1"/>
  <c r="AG44" i="58" a="1"/>
  <c r="AG44" i="58" s="1"/>
  <c r="AC46" i="58" a="1"/>
  <c r="AC46" i="58" s="1"/>
  <c r="Z45" i="58" a="1"/>
  <c r="Z45" i="58" s="1"/>
  <c r="AN43" i="58" a="1"/>
  <c r="AN43" i="58" s="1"/>
  <c r="W46" i="58" a="1"/>
  <c r="W46" i="58" s="1"/>
  <c r="AU46" i="58" a="1"/>
  <c r="AU46" i="58" s="1"/>
  <c r="AO43" i="58" a="1"/>
  <c r="AO43" i="58" s="1"/>
  <c r="M44" i="58" a="1"/>
  <c r="M44" i="58" s="1"/>
  <c r="M50" i="58" s="1"/>
  <c r="M193" i="58" s="1"/>
  <c r="AV45" i="58" a="1"/>
  <c r="AV45" i="58" s="1"/>
  <c r="R46" i="58" a="1"/>
  <c r="R46" i="58" s="1"/>
  <c r="AG46" i="58" a="1"/>
  <c r="AG46" i="58" s="1"/>
  <c r="AH43" i="58" a="1"/>
  <c r="AH43" i="58" s="1"/>
  <c r="AU45" i="58" a="1"/>
  <c r="AU45" i="58" s="1"/>
  <c r="AW43" i="58" a="1"/>
  <c r="AW43" i="58" s="1"/>
  <c r="T44" i="58" a="1"/>
  <c r="T44" i="58" s="1"/>
  <c r="AB43" i="58" a="1"/>
  <c r="AB43" i="58" s="1"/>
  <c r="R43" i="58" a="1"/>
  <c r="R43" i="58" s="1"/>
  <c r="R44" i="58" a="1"/>
  <c r="R44" i="58" s="1"/>
  <c r="P43" i="58" a="1"/>
  <c r="P43" i="58" s="1"/>
  <c r="O46" i="58" a="1"/>
  <c r="O46" i="58" s="1"/>
  <c r="AQ43" i="58" a="1"/>
  <c r="AQ43" i="58" s="1"/>
  <c r="AJ44" i="58" a="1"/>
  <c r="AJ44" i="58" s="1"/>
  <c r="AS45" i="58" a="1"/>
  <c r="AS45" i="58" s="1"/>
  <c r="AT46" i="58" a="1"/>
  <c r="AT46" i="58" s="1"/>
  <c r="AN46" i="58" a="1"/>
  <c r="AN46" i="58" s="1"/>
  <c r="W44" i="58" a="1"/>
  <c r="W44" i="58" s="1"/>
  <c r="L46" i="58" a="1"/>
  <c r="L46" i="58" s="1"/>
  <c r="S45" i="58" a="1"/>
  <c r="S45" i="58" s="1"/>
  <c r="AM46" i="58" a="1"/>
  <c r="AM46" i="58" s="1"/>
  <c r="Z43" i="58" a="1"/>
  <c r="Z43" i="58" s="1"/>
  <c r="AR44" i="58" a="1"/>
  <c r="AR44" i="58" s="1"/>
  <c r="AR43" i="58" a="1"/>
  <c r="AR43" i="58" s="1"/>
  <c r="AI46" i="58" a="1"/>
  <c r="AI46" i="58" s="1"/>
  <c r="AR45" i="58" a="1"/>
  <c r="AR45" i="58" s="1"/>
  <c r="R45" i="58" a="1"/>
  <c r="R45" i="58" s="1"/>
  <c r="AM43" i="58" a="1"/>
  <c r="AM43" i="58" s="1"/>
  <c r="Q46" i="58" a="1"/>
  <c r="Q46" i="58" s="1"/>
  <c r="AD43" i="58" a="1"/>
  <c r="AD43" i="58" s="1"/>
  <c r="N45" i="58" a="1"/>
  <c r="N45" i="58" s="1"/>
  <c r="AF43" i="58" a="1"/>
  <c r="AF43" i="58" s="1"/>
  <c r="P45" i="58" a="1"/>
  <c r="P45" i="58" s="1"/>
  <c r="AB45" i="58" a="1"/>
  <c r="AB45" i="58" s="1"/>
  <c r="Q43" i="58" a="1"/>
  <c r="Q43" i="58" s="1"/>
  <c r="AM45" i="58" a="1"/>
  <c r="AM45" i="58" s="1"/>
  <c r="AJ46" i="58" a="1"/>
  <c r="AJ46" i="58" s="1"/>
  <c r="AE45" i="58" a="1"/>
  <c r="AE45" i="58" s="1"/>
  <c r="O44" i="58" a="1"/>
  <c r="O44" i="58" s="1"/>
  <c r="AP45" i="58" a="1"/>
  <c r="AP45" i="58" s="1"/>
  <c r="AA46" i="58" a="1"/>
  <c r="AA46" i="58" s="1"/>
  <c r="P44" i="58" a="1"/>
  <c r="P44" i="58" s="1"/>
  <c r="M46" i="58" a="1"/>
  <c r="M46" i="58" s="1"/>
  <c r="M52" i="58" s="1"/>
  <c r="M214" i="58" s="1"/>
  <c r="AD45" i="58" a="1"/>
  <c r="AD45" i="58" s="1"/>
  <c r="AA43" i="58" a="1"/>
  <c r="AA43" i="58" s="1"/>
  <c r="AA45" i="58" a="1"/>
  <c r="AA45" i="58" s="1"/>
  <c r="O43" i="58" a="1"/>
  <c r="O43" i="58" s="1"/>
  <c r="N43" i="58" a="1"/>
  <c r="N43" i="58" s="1"/>
  <c r="Q44" i="58" a="1"/>
  <c r="Q44" i="58" s="1"/>
  <c r="AW44" i="58" a="1"/>
  <c r="AW44" i="58" s="1"/>
  <c r="AC43" i="58" a="1"/>
  <c r="AC43" i="58" s="1"/>
  <c r="AL43" i="58" a="1"/>
  <c r="AL43" i="58" s="1"/>
  <c r="T43" i="58" a="1"/>
  <c r="T43" i="58" s="1"/>
  <c r="AS46" i="58" a="1"/>
  <c r="AS46" i="58" s="1"/>
  <c r="V46" i="58" a="1"/>
  <c r="V46" i="58" s="1"/>
  <c r="AJ45" i="58" a="1"/>
  <c r="AJ45" i="58" s="1"/>
  <c r="AR46" i="58" a="1"/>
  <c r="AR46" i="58" s="1"/>
  <c r="AT44" i="58" a="1"/>
  <c r="AT44" i="58" s="1"/>
  <c r="O45" i="58" a="1"/>
  <c r="O45" i="58" s="1"/>
  <c r="AB44" i="58" a="1"/>
  <c r="AB44" i="58" s="1"/>
  <c r="Y44" i="58" a="1"/>
  <c r="Y44" i="58" s="1"/>
  <c r="M45" i="58" a="1"/>
  <c r="M45" i="58" s="1"/>
  <c r="M51" i="58" s="1"/>
  <c r="M204" i="58" s="1"/>
  <c r="AG45" i="58" a="1"/>
  <c r="AG45" i="58" s="1"/>
  <c r="AK46" i="58" a="1"/>
  <c r="AK46" i="58" s="1"/>
  <c r="AE46" i="58" a="1"/>
  <c r="AE46" i="58" s="1"/>
  <c r="AQ46" i="58" a="1"/>
  <c r="AQ46" i="58" s="1"/>
  <c r="AI44" i="58" a="1"/>
  <c r="AI44" i="58" s="1"/>
  <c r="AV46" i="58" a="1"/>
  <c r="AV46" i="58" s="1"/>
  <c r="Z46" i="58" a="1"/>
  <c r="Z46" i="58" s="1"/>
  <c r="P46" i="58" a="1"/>
  <c r="P46" i="58" s="1"/>
  <c r="L43" i="58" a="1"/>
  <c r="L43" i="58" s="1"/>
  <c r="X44" i="58" a="1"/>
  <c r="X44" i="58" s="1"/>
  <c r="AO44" i="58" a="1"/>
  <c r="AO44" i="58" s="1"/>
  <c r="AF44" i="58" a="1"/>
  <c r="AF44" i="58" s="1"/>
  <c r="AA44" i="58" a="1"/>
  <c r="AA44" i="58" s="1"/>
  <c r="Q45" i="58" a="1"/>
  <c r="Q45" i="58" s="1"/>
  <c r="Y43" i="58" a="1"/>
  <c r="Y43" i="58" s="1"/>
  <c r="AX43" i="58" a="1"/>
  <c r="AX43" i="58" s="1"/>
  <c r="X43" i="58" a="1"/>
  <c r="X43" i="58" s="1"/>
  <c r="AL44" i="58" a="1"/>
  <c r="AL44" i="58" s="1"/>
  <c r="AN44" i="58" a="1"/>
  <c r="AN44" i="58" s="1"/>
  <c r="AQ44" i="58" a="1"/>
  <c r="AQ44" i="58" s="1"/>
  <c r="Z44" i="58" a="1"/>
  <c r="Z44" i="58" s="1"/>
  <c r="AT43" i="58" a="1"/>
  <c r="AT43" i="58" s="1"/>
  <c r="AO46" i="58" a="1"/>
  <c r="AO46" i="58" s="1"/>
  <c r="AH45" i="58" a="1"/>
  <c r="AH45" i="58" s="1"/>
  <c r="S46" i="58" a="1"/>
  <c r="S46" i="58" s="1"/>
  <c r="AO45" i="58" a="1"/>
  <c r="AO45" i="58" s="1"/>
  <c r="AD44" i="58" a="1"/>
  <c r="AD44" i="58" s="1"/>
  <c r="N46" i="58" a="1"/>
  <c r="N46" i="58" s="1"/>
  <c r="T46" i="58" a="1"/>
  <c r="T46" i="58" s="1"/>
  <c r="L44" i="58" a="1"/>
  <c r="L44" i="58" s="1"/>
  <c r="AB46" i="58" a="1"/>
  <c r="AB46" i="58" s="1"/>
  <c r="AJ43" i="58" a="1"/>
  <c r="AJ43" i="58" s="1"/>
  <c r="AW46" i="58" a="1"/>
  <c r="AW46" i="58" s="1"/>
  <c r="AC44" i="58" a="1"/>
  <c r="AC44" i="58" s="1"/>
  <c r="BC36" i="58"/>
  <c r="BC41" i="58" s="1"/>
  <c r="BC169" i="58"/>
  <c r="BC168" i="58"/>
  <c r="AS43" i="58" a="1"/>
  <c r="AS43" i="58" s="1"/>
  <c r="BA44" i="58" a="1"/>
  <c r="BA44" i="58" s="1"/>
  <c r="BK44" i="58" a="1"/>
  <c r="BK44" i="58" s="1"/>
  <c r="BQ43" i="58" a="1"/>
  <c r="BQ43" i="58" s="1"/>
  <c r="BN44" i="58" a="1"/>
  <c r="BN44" i="58" s="1"/>
  <c r="BA45" i="58" a="1"/>
  <c r="BA45" i="58" s="1"/>
  <c r="AZ44" i="58" a="1"/>
  <c r="AZ44" i="58" s="1"/>
  <c r="BK45" i="58" a="1"/>
  <c r="BK45" i="58" s="1"/>
  <c r="BR45" i="58" a="1"/>
  <c r="BR45" i="58" s="1"/>
  <c r="AY45" i="58" a="1"/>
  <c r="AY45" i="58" s="1"/>
  <c r="BL44" i="58" a="1"/>
  <c r="BL44" i="58" s="1"/>
  <c r="BR43" i="58" a="1"/>
  <c r="BR43" i="58" s="1"/>
  <c r="BC43" i="58" a="1"/>
  <c r="BC43" i="58" s="1"/>
  <c r="AY43" i="58" a="1"/>
  <c r="AY43" i="58" s="1"/>
  <c r="BB43" i="58" a="1"/>
  <c r="BB43" i="58" s="1"/>
  <c r="BO45" i="58" a="1"/>
  <c r="BO45" i="58" s="1"/>
  <c r="BQ44" i="58" a="1"/>
  <c r="BQ44" i="58" s="1"/>
  <c r="BL43" i="58" a="1"/>
  <c r="BL43" i="58" s="1"/>
  <c r="BI45" i="58" a="1"/>
  <c r="BI45" i="58" s="1"/>
  <c r="BH45" i="58" a="1"/>
  <c r="BH45" i="58" s="1"/>
  <c r="BE43" i="58" a="1"/>
  <c r="BE43" i="58" s="1"/>
  <c r="BI44" i="58" a="1"/>
  <c r="BI44" i="58" s="1"/>
  <c r="BP43" i="58" a="1"/>
  <c r="BP43" i="58" s="1"/>
  <c r="BF43" i="58" a="1"/>
  <c r="BF43" i="58" s="1"/>
  <c r="BJ44" i="58" a="1"/>
  <c r="BJ44" i="58" s="1"/>
  <c r="AZ43" i="58" a="1"/>
  <c r="AZ43" i="58" s="1"/>
  <c r="BP44" i="58" a="1"/>
  <c r="BP44" i="58" s="1"/>
  <c r="BJ43" i="58" a="1"/>
  <c r="BJ43" i="58" s="1"/>
  <c r="BF44" i="58" a="1"/>
  <c r="BF44" i="58" s="1"/>
  <c r="BQ45" i="58" a="1"/>
  <c r="BQ45" i="58" s="1"/>
  <c r="BD45" i="58" a="1"/>
  <c r="BD45" i="58" s="1"/>
  <c r="AY44" i="58" a="1"/>
  <c r="AY44" i="58" s="1"/>
  <c r="BM45" i="58" a="1"/>
  <c r="BM45" i="58" s="1"/>
  <c r="BH44" i="58" a="1"/>
  <c r="BH44" i="58" s="1"/>
  <c r="BE44" i="58" a="1"/>
  <c r="BE44" i="58" s="1"/>
  <c r="BN45" i="58" a="1"/>
  <c r="BN45" i="58" s="1"/>
  <c r="BK43" i="58" a="1"/>
  <c r="BK43" i="58" s="1"/>
  <c r="BB44" i="58" a="1"/>
  <c r="BB44" i="58" s="1"/>
  <c r="BC45" i="58" a="1"/>
  <c r="BC45" i="58" s="1"/>
  <c r="BD44" i="58" a="1"/>
  <c r="BD44" i="58" s="1"/>
  <c r="BM44" i="58" a="1"/>
  <c r="BM44" i="58" s="1"/>
  <c r="BJ45" i="58" a="1"/>
  <c r="BJ45" i="58" s="1"/>
  <c r="BH43" i="58" a="1"/>
  <c r="BH43" i="58" s="1"/>
  <c r="BD43" i="58" a="1"/>
  <c r="BD43" i="58" s="1"/>
  <c r="BC44" i="58" a="1"/>
  <c r="BC44" i="58" s="1"/>
  <c r="BG44" i="58" a="1"/>
  <c r="BG44" i="58" s="1"/>
  <c r="BL45" i="58" a="1"/>
  <c r="BL45" i="58" s="1"/>
  <c r="BR44" i="58" a="1"/>
  <c r="BR44" i="58" s="1"/>
  <c r="AZ45" i="58" a="1"/>
  <c r="AZ45" i="58" s="1"/>
  <c r="BP45" i="58" a="1"/>
  <c r="BP45" i="58" s="1"/>
  <c r="BA43" i="58" a="1"/>
  <c r="BA43" i="58" s="1"/>
  <c r="BG43" i="58" a="1"/>
  <c r="BG43" i="58" s="1"/>
  <c r="BI43" i="58" a="1"/>
  <c r="BI43" i="58" s="1"/>
  <c r="BE45" i="58" a="1"/>
  <c r="BE45" i="58" s="1"/>
  <c r="BN43" i="58" a="1"/>
  <c r="BN43" i="58" s="1"/>
  <c r="BB45" i="58" a="1"/>
  <c r="BB45" i="58" s="1"/>
  <c r="BM43" i="58" a="1"/>
  <c r="BM43" i="58" s="1"/>
  <c r="BO44" i="58" a="1"/>
  <c r="BO44" i="58" s="1"/>
  <c r="BG45" i="58" a="1"/>
  <c r="BG45" i="58" s="1"/>
  <c r="BO43" i="58" a="1"/>
  <c r="BO43" i="58" s="1"/>
  <c r="BF45" i="58" a="1"/>
  <c r="BF45" i="58" s="1"/>
  <c r="BE23" i="58"/>
  <c r="BD31" i="58"/>
  <c r="BD34" i="58" s="1"/>
  <c r="BD35" i="58" s="1"/>
  <c r="AH35" i="55"/>
  <c r="X130" i="47"/>
  <c r="AG30" i="55"/>
  <c r="W138" i="47"/>
  <c r="AH32" i="55"/>
  <c r="X137" i="47"/>
  <c r="X137" i="56"/>
  <c r="S87" i="47" s="1"/>
  <c r="AH33" i="55"/>
  <c r="X127" i="47"/>
  <c r="V136" i="47"/>
  <c r="AF42" i="55"/>
  <c r="V134" i="47"/>
  <c r="AG43" i="55"/>
  <c r="W135" i="47"/>
  <c r="M180" i="58" l="1"/>
  <c r="N49" i="58"/>
  <c r="O49" i="58" s="1"/>
  <c r="M215" i="58"/>
  <c r="M227" i="58" s="1"/>
  <c r="M265" i="58" s="1"/>
  <c r="N50" i="58"/>
  <c r="N192" i="58" s="1"/>
  <c r="M192" i="58"/>
  <c r="M203" i="58"/>
  <c r="M53" i="58"/>
  <c r="N51" i="58"/>
  <c r="N204" i="58" s="1"/>
  <c r="N52" i="58"/>
  <c r="N215" i="58" s="1"/>
  <c r="BD36" i="58"/>
  <c r="BD41" i="58" s="1"/>
  <c r="BD169" i="58"/>
  <c r="BD168" i="58"/>
  <c r="BF23" i="58"/>
  <c r="BE31" i="58"/>
  <c r="BE34" i="58" s="1"/>
  <c r="BE35" i="58" s="1"/>
  <c r="BE24" i="58"/>
  <c r="AI35" i="55"/>
  <c r="Y130" i="47"/>
  <c r="AI32" i="55"/>
  <c r="Y137" i="47"/>
  <c r="AH30" i="55"/>
  <c r="X138" i="47"/>
  <c r="O50" i="58"/>
  <c r="N193" i="58"/>
  <c r="Y137" i="56"/>
  <c r="T87" i="47" s="1"/>
  <c r="Y127" i="47"/>
  <c r="AI33" i="55"/>
  <c r="W136" i="47"/>
  <c r="AG42" i="55"/>
  <c r="W134" i="47"/>
  <c r="X135" i="47"/>
  <c r="AH43" i="55"/>
  <c r="N180" i="58" l="1"/>
  <c r="N181" i="58"/>
  <c r="N203" i="58"/>
  <c r="M226" i="58"/>
  <c r="M264" i="58" s="1"/>
  <c r="N53" i="58"/>
  <c r="O51" i="58"/>
  <c r="O203" i="58" s="1"/>
  <c r="O52" i="58"/>
  <c r="P52" i="58" s="1"/>
  <c r="N214" i="58"/>
  <c r="BE36" i="58"/>
  <c r="BE41" i="58" s="1"/>
  <c r="BE169" i="58"/>
  <c r="BE168" i="58"/>
  <c r="BF24" i="58"/>
  <c r="BG23" i="58"/>
  <c r="BF31" i="58"/>
  <c r="BF34" i="58" s="1"/>
  <c r="BF35" i="58" s="1"/>
  <c r="AJ35" i="55"/>
  <c r="Z130" i="47"/>
  <c r="AI30" i="55"/>
  <c r="Y138" i="47"/>
  <c r="AJ32" i="55"/>
  <c r="Z137" i="47"/>
  <c r="N227" i="58"/>
  <c r="N265" i="58" s="1"/>
  <c r="O180" i="58"/>
  <c r="P49" i="58"/>
  <c r="O181" i="58"/>
  <c r="O193" i="58"/>
  <c r="O192" i="58"/>
  <c r="P50" i="58"/>
  <c r="Z137" i="56"/>
  <c r="U87" i="47" s="1"/>
  <c r="X136" i="47"/>
  <c r="X134" i="47"/>
  <c r="AH42" i="55"/>
  <c r="AI43" i="55"/>
  <c r="Y135" i="47"/>
  <c r="AJ33" i="55"/>
  <c r="Z127" i="47"/>
  <c r="O215" i="58" l="1"/>
  <c r="N226" i="58"/>
  <c r="N264" i="58" s="1"/>
  <c r="O204" i="58"/>
  <c r="P51" i="58"/>
  <c r="P203" i="58" s="1"/>
  <c r="O214" i="58"/>
  <c r="O226" i="58" s="1"/>
  <c r="O264" i="58" s="1"/>
  <c r="O53" i="58"/>
  <c r="BF36" i="58"/>
  <c r="BF41" i="58" s="1"/>
  <c r="BF169" i="58"/>
  <c r="BF168" i="58"/>
  <c r="BH23" i="58"/>
  <c r="BG31" i="58"/>
  <c r="BG34" i="58" s="1"/>
  <c r="BG35" i="58" s="1"/>
  <c r="BG24" i="58"/>
  <c r="AK35" i="55"/>
  <c r="AA130" i="47"/>
  <c r="AK32" i="55"/>
  <c r="AA137" i="47"/>
  <c r="AJ30" i="55"/>
  <c r="Z138" i="47"/>
  <c r="P215" i="58"/>
  <c r="P214" i="58"/>
  <c r="Q52" i="58"/>
  <c r="P193" i="58"/>
  <c r="P192" i="58"/>
  <c r="Q50" i="58"/>
  <c r="P180" i="58"/>
  <c r="P181" i="58"/>
  <c r="Q49" i="58"/>
  <c r="AC137" i="56"/>
  <c r="V87" i="47" s="1"/>
  <c r="AI42" i="55"/>
  <c r="Y134" i="47"/>
  <c r="Y136" i="47"/>
  <c r="AK33" i="55"/>
  <c r="AA127" i="47"/>
  <c r="AJ43" i="55"/>
  <c r="Z135" i="47"/>
  <c r="P204" i="58" l="1"/>
  <c r="P53" i="58"/>
  <c r="Q51" i="58"/>
  <c r="Q53" i="58" s="1"/>
  <c r="O227" i="58"/>
  <c r="O265" i="58" s="1"/>
  <c r="BG36" i="58"/>
  <c r="BG41" i="58" s="1"/>
  <c r="BG169" i="58"/>
  <c r="BG168" i="58"/>
  <c r="BH24" i="58"/>
  <c r="BI23" i="58"/>
  <c r="BH31" i="58"/>
  <c r="BH34" i="58" s="1"/>
  <c r="BH35" i="58" s="1"/>
  <c r="AL35" i="55"/>
  <c r="AB130" i="47"/>
  <c r="AK30" i="55"/>
  <c r="AA138" i="47"/>
  <c r="AL32" i="55"/>
  <c r="AB137" i="47"/>
  <c r="P227" i="58"/>
  <c r="P265" i="58" s="1"/>
  <c r="P226" i="58"/>
  <c r="P264" i="58" s="1"/>
  <c r="R50" i="58"/>
  <c r="Q193" i="58"/>
  <c r="Q192" i="58"/>
  <c r="Q215" i="58"/>
  <c r="Q214" i="58"/>
  <c r="R52" i="58"/>
  <c r="R49" i="58"/>
  <c r="Q181" i="58"/>
  <c r="Q180" i="58"/>
  <c r="AD137" i="56"/>
  <c r="W87" i="47" s="1"/>
  <c r="AA135" i="47"/>
  <c r="AK43" i="55"/>
  <c r="Z136" i="47"/>
  <c r="AL33" i="55"/>
  <c r="AB127" i="47"/>
  <c r="Z134" i="47"/>
  <c r="AJ42" i="55"/>
  <c r="R51" i="58" l="1"/>
  <c r="S51" i="58" s="1"/>
  <c r="Q203" i="58"/>
  <c r="Q226" i="58" s="1"/>
  <c r="Q264" i="58" s="1"/>
  <c r="G119" i="47" s="1"/>
  <c r="Q204" i="58"/>
  <c r="Q227" i="58" s="1"/>
  <c r="Q265" i="58" s="1"/>
  <c r="G125" i="47" s="1"/>
  <c r="BH36" i="58"/>
  <c r="BH41" i="58" s="1"/>
  <c r="BH169" i="58"/>
  <c r="BH168" i="58"/>
  <c r="BJ23" i="58"/>
  <c r="BI31" i="58"/>
  <c r="BI34" i="58" s="1"/>
  <c r="BI35" i="58" s="1"/>
  <c r="BI24" i="58"/>
  <c r="AM35" i="55"/>
  <c r="AC130" i="47"/>
  <c r="AM32" i="55"/>
  <c r="AC137" i="47"/>
  <c r="AL30" i="55"/>
  <c r="AB138" i="47"/>
  <c r="R204" i="58"/>
  <c r="R203" i="58"/>
  <c r="R53" i="58"/>
  <c r="S49" i="58"/>
  <c r="R181" i="58"/>
  <c r="R180" i="58"/>
  <c r="S52" i="58"/>
  <c r="R215" i="58"/>
  <c r="R214" i="58"/>
  <c r="S50" i="58"/>
  <c r="R192" i="58"/>
  <c r="R193" i="58"/>
  <c r="AE137" i="56"/>
  <c r="X87" i="47" s="1"/>
  <c r="AA136" i="47"/>
  <c r="AL43" i="55"/>
  <c r="AB135" i="47"/>
  <c r="AK42" i="55"/>
  <c r="AA134" i="47"/>
  <c r="AM33" i="55"/>
  <c r="AC127" i="47"/>
  <c r="BI36" i="58" l="1"/>
  <c r="BI41" i="58" s="1"/>
  <c r="BI168" i="58"/>
  <c r="BI169" i="58"/>
  <c r="BJ24" i="58"/>
  <c r="BK23" i="58"/>
  <c r="BJ31" i="58"/>
  <c r="BJ34" i="58" s="1"/>
  <c r="BJ35" i="58" s="1"/>
  <c r="AN35" i="55"/>
  <c r="AD130" i="47"/>
  <c r="AM30" i="55"/>
  <c r="AC138" i="47"/>
  <c r="AN32" i="55"/>
  <c r="AD137" i="47"/>
  <c r="T52" i="58"/>
  <c r="S215" i="58"/>
  <c r="S214" i="58"/>
  <c r="T49" i="58"/>
  <c r="S53" i="58"/>
  <c r="S180" i="58"/>
  <c r="S181" i="58"/>
  <c r="R227" i="58"/>
  <c r="R265" i="58" s="1"/>
  <c r="H125" i="47" s="1"/>
  <c r="R226" i="58"/>
  <c r="R264" i="58" s="1"/>
  <c r="H119" i="47" s="1"/>
  <c r="S192" i="58"/>
  <c r="T50" i="58"/>
  <c r="S193" i="58"/>
  <c r="T51" i="58"/>
  <c r="S204" i="58"/>
  <c r="S203" i="58"/>
  <c r="AF137" i="56"/>
  <c r="Y87" i="47" s="1"/>
  <c r="AB136" i="47"/>
  <c r="AN33" i="55"/>
  <c r="AD127" i="47"/>
  <c r="AL42" i="55"/>
  <c r="AB134" i="47"/>
  <c r="AM43" i="55"/>
  <c r="AC135" i="47"/>
  <c r="BJ36" i="58" l="1"/>
  <c r="BJ41" i="58" s="1"/>
  <c r="BJ168" i="58"/>
  <c r="BJ169" i="58"/>
  <c r="BL23" i="58"/>
  <c r="BK31" i="58"/>
  <c r="BK34" i="58" s="1"/>
  <c r="BK35" i="58" s="1"/>
  <c r="BK24" i="58"/>
  <c r="AO35" i="55"/>
  <c r="AP35" i="55" s="1"/>
  <c r="AE130" i="47"/>
  <c r="AO32" i="55"/>
  <c r="AE137" i="47"/>
  <c r="AN30" i="55"/>
  <c r="AD138" i="47"/>
  <c r="S227" i="58"/>
  <c r="S265" i="58" s="1"/>
  <c r="I125" i="47" s="1"/>
  <c r="S226" i="58"/>
  <c r="S264" i="58" s="1"/>
  <c r="I119" i="47" s="1"/>
  <c r="U50" i="58"/>
  <c r="T192" i="58"/>
  <c r="T193" i="58"/>
  <c r="T180" i="58"/>
  <c r="T181" i="58"/>
  <c r="T53" i="58"/>
  <c r="U49" i="58"/>
  <c r="T204" i="58"/>
  <c r="U51" i="58"/>
  <c r="T203" i="58"/>
  <c r="T215" i="58"/>
  <c r="T214" i="58"/>
  <c r="U52" i="58"/>
  <c r="AG137" i="56"/>
  <c r="Z87" i="47" s="1"/>
  <c r="AM42" i="55"/>
  <c r="AC134" i="47"/>
  <c r="AC136" i="47"/>
  <c r="AD135" i="47"/>
  <c r="AN43" i="55"/>
  <c r="AO33" i="55"/>
  <c r="AE127" i="47"/>
  <c r="BL24" i="58" l="1"/>
  <c r="BK36" i="58"/>
  <c r="BK41" i="58" s="1"/>
  <c r="BK168" i="58"/>
  <c r="BK169" i="58"/>
  <c r="BM23" i="58"/>
  <c r="BL31" i="58"/>
  <c r="BL34" i="58" s="1"/>
  <c r="BL35" i="58" s="1"/>
  <c r="AF130" i="47"/>
  <c r="AO30" i="55"/>
  <c r="AE138" i="47"/>
  <c r="AP32" i="55"/>
  <c r="AF137" i="47"/>
  <c r="V51" i="58"/>
  <c r="U204" i="58"/>
  <c r="U203" i="58"/>
  <c r="U53" i="58"/>
  <c r="U180" i="58"/>
  <c r="U181" i="58"/>
  <c r="V49" i="58"/>
  <c r="T227" i="58"/>
  <c r="T265" i="58" s="1"/>
  <c r="J125" i="47" s="1"/>
  <c r="T226" i="58"/>
  <c r="T264" i="58" s="1"/>
  <c r="J119" i="47" s="1"/>
  <c r="V52" i="58"/>
  <c r="U214" i="58"/>
  <c r="U215" i="58"/>
  <c r="U192" i="58"/>
  <c r="V50" i="58"/>
  <c r="U193" i="58"/>
  <c r="AH137" i="56"/>
  <c r="AA87" i="47" s="1"/>
  <c r="AP33" i="55"/>
  <c r="AF127" i="47"/>
  <c r="AO43" i="55"/>
  <c r="AE135" i="47"/>
  <c r="AD136" i="47"/>
  <c r="AN42" i="55"/>
  <c r="AD134" i="47"/>
  <c r="BL36" i="58" l="1"/>
  <c r="BL41" i="58" s="1"/>
  <c r="BL168" i="58"/>
  <c r="BL169" i="58"/>
  <c r="BN23" i="58"/>
  <c r="BM31" i="58"/>
  <c r="BM34" i="58" s="1"/>
  <c r="BM35" i="58" s="1"/>
  <c r="BM24" i="58"/>
  <c r="AQ35" i="55"/>
  <c r="AH130" i="47" s="1"/>
  <c r="AJ130" i="47" s="1"/>
  <c r="AG130" i="47"/>
  <c r="AQ32" i="55"/>
  <c r="AH137" i="47" s="1"/>
  <c r="AJ137" i="47" s="1"/>
  <c r="AG137" i="47"/>
  <c r="AP30" i="55"/>
  <c r="AF138" i="47"/>
  <c r="V53" i="58"/>
  <c r="V181" i="58"/>
  <c r="W49" i="58"/>
  <c r="V180" i="58"/>
  <c r="U227" i="58"/>
  <c r="U265" i="58" s="1"/>
  <c r="K125" i="47" s="1"/>
  <c r="V193" i="58"/>
  <c r="W50" i="58"/>
  <c r="V192" i="58"/>
  <c r="V215" i="58"/>
  <c r="W52" i="58"/>
  <c r="V214" i="58"/>
  <c r="U226" i="58"/>
  <c r="U264" i="58" s="1"/>
  <c r="K119" i="47" s="1"/>
  <c r="V204" i="58"/>
  <c r="V203" i="58"/>
  <c r="W51" i="58"/>
  <c r="AI137" i="56"/>
  <c r="AB87" i="47" s="1"/>
  <c r="AQ33" i="55"/>
  <c r="AH127" i="47" s="1"/>
  <c r="AJ127" i="47" s="1"/>
  <c r="AG127" i="47"/>
  <c r="AE136" i="47"/>
  <c r="AE134" i="47"/>
  <c r="AO42" i="55"/>
  <c r="AP43" i="55"/>
  <c r="AF135" i="47"/>
  <c r="BN24" i="58" l="1"/>
  <c r="BM36" i="58"/>
  <c r="BM41" i="58" s="1"/>
  <c r="BM169" i="58"/>
  <c r="BM168" i="58"/>
  <c r="BO23" i="58"/>
  <c r="BN31" i="58"/>
  <c r="BN34" i="58" s="1"/>
  <c r="BN35" i="58" s="1"/>
  <c r="AQ30" i="55"/>
  <c r="AH138" i="47" s="1"/>
  <c r="AJ138" i="47" s="1"/>
  <c r="AG138" i="47"/>
  <c r="V227" i="58"/>
  <c r="V265" i="58" s="1"/>
  <c r="L125" i="47" s="1"/>
  <c r="V226" i="58"/>
  <c r="V264" i="58" s="1"/>
  <c r="L119" i="47" s="1"/>
  <c r="W192" i="58"/>
  <c r="X50" i="58"/>
  <c r="W193" i="58"/>
  <c r="W215" i="58"/>
  <c r="W214" i="58"/>
  <c r="X52" i="58"/>
  <c r="W203" i="58"/>
  <c r="W204" i="58"/>
  <c r="X51" i="58"/>
  <c r="X49" i="58"/>
  <c r="W180" i="58"/>
  <c r="W53" i="58"/>
  <c r="W181" i="58"/>
  <c r="AJ137" i="56"/>
  <c r="AC87" i="47" s="1"/>
  <c r="AF136" i="47"/>
  <c r="AP42" i="55"/>
  <c r="AF134" i="47"/>
  <c r="AQ43" i="55"/>
  <c r="AH135" i="47" s="1"/>
  <c r="AJ135" i="47" s="1"/>
  <c r="AG135" i="47"/>
  <c r="BN36" i="58" l="1"/>
  <c r="BN41" i="58" s="1"/>
  <c r="BN169" i="58"/>
  <c r="BN168" i="58"/>
  <c r="BP23" i="58"/>
  <c r="BO31" i="58"/>
  <c r="BO34" i="58" s="1"/>
  <c r="BO35" i="58" s="1"/>
  <c r="BO24" i="58"/>
  <c r="X203" i="58"/>
  <c r="X204" i="58"/>
  <c r="Y51" i="58"/>
  <c r="X214" i="58"/>
  <c r="X215" i="58"/>
  <c r="Y52" i="58"/>
  <c r="W226" i="58"/>
  <c r="W264" i="58" s="1"/>
  <c r="M119" i="47" s="1"/>
  <c r="X180" i="58"/>
  <c r="Y49" i="58"/>
  <c r="X53" i="58"/>
  <c r="X181" i="58"/>
  <c r="W227" i="58"/>
  <c r="W265" i="58" s="1"/>
  <c r="M125" i="47" s="1"/>
  <c r="X193" i="58"/>
  <c r="X192" i="58"/>
  <c r="Y50" i="58"/>
  <c r="AK137" i="56"/>
  <c r="AD87" i="47" s="1"/>
  <c r="AH136" i="47"/>
  <c r="AJ136" i="47" s="1"/>
  <c r="AG136" i="47"/>
  <c r="AG134" i="47"/>
  <c r="AQ42" i="55"/>
  <c r="AH134" i="47" s="1"/>
  <c r="AJ134" i="47" s="1"/>
  <c r="BP24" i="58" l="1"/>
  <c r="BO36" i="58"/>
  <c r="BO41" i="58" s="1"/>
  <c r="BO169" i="58"/>
  <c r="BO168" i="58"/>
  <c r="BQ23" i="58"/>
  <c r="BP31" i="58"/>
  <c r="BP34" i="58" s="1"/>
  <c r="BP35" i="58" s="1"/>
  <c r="X226" i="58"/>
  <c r="X264" i="58" s="1"/>
  <c r="N119" i="47" s="1"/>
  <c r="Z49" i="58"/>
  <c r="Y53" i="58"/>
  <c r="Y180" i="58"/>
  <c r="Y181" i="58"/>
  <c r="Y215" i="58"/>
  <c r="Y214" i="58"/>
  <c r="Z52" i="58"/>
  <c r="Z50" i="58"/>
  <c r="Y193" i="58"/>
  <c r="Y192" i="58"/>
  <c r="Z51" i="58"/>
  <c r="Y204" i="58"/>
  <c r="Y203" i="58"/>
  <c r="X227" i="58"/>
  <c r="X265" i="58" s="1"/>
  <c r="N125" i="47" s="1"/>
  <c r="AL137" i="56"/>
  <c r="AE87" i="47" s="1"/>
  <c r="BP36" i="58" l="1"/>
  <c r="BP41" i="58" s="1"/>
  <c r="BP169" i="58"/>
  <c r="BP168" i="58"/>
  <c r="BR23" i="58"/>
  <c r="BR31" i="58" s="1"/>
  <c r="BR34" i="58" s="1"/>
  <c r="BR35" i="58" s="1"/>
  <c r="BQ31" i="58"/>
  <c r="BQ34" i="58" s="1"/>
  <c r="BQ35" i="58" s="1"/>
  <c r="BQ24" i="58"/>
  <c r="Y226" i="58"/>
  <c r="Y264" i="58" s="1"/>
  <c r="O119" i="47" s="1"/>
  <c r="Y227" i="58"/>
  <c r="Y265" i="58" s="1"/>
  <c r="O125" i="47" s="1"/>
  <c r="Z193" i="58"/>
  <c r="AA50" i="58"/>
  <c r="Z192" i="58"/>
  <c r="Z215" i="58"/>
  <c r="Z214" i="58"/>
  <c r="AA52" i="58"/>
  <c r="AA51" i="58"/>
  <c r="Z204" i="58"/>
  <c r="Z203" i="58"/>
  <c r="Z181" i="58"/>
  <c r="AA49" i="58"/>
  <c r="Z180" i="58"/>
  <c r="Z53" i="58"/>
  <c r="AM137" i="56"/>
  <c r="AF87" i="47" s="1"/>
  <c r="BR24" i="58" l="1"/>
  <c r="BR36" i="58"/>
  <c r="BR169" i="58"/>
  <c r="BR168" i="58"/>
  <c r="BQ36" i="58"/>
  <c r="BQ41" i="58" s="1"/>
  <c r="BQ169" i="58"/>
  <c r="BQ168" i="58"/>
  <c r="AA215" i="58"/>
  <c r="AA214" i="58"/>
  <c r="AB52" i="58"/>
  <c r="AA204" i="58"/>
  <c r="AA203" i="58"/>
  <c r="AB51" i="58"/>
  <c r="Z226" i="58"/>
  <c r="Z264" i="58" s="1"/>
  <c r="P119" i="47" s="1"/>
  <c r="AA180" i="58"/>
  <c r="AA181" i="58"/>
  <c r="AA53" i="58"/>
  <c r="AB49" i="58"/>
  <c r="AB50" i="58"/>
  <c r="AA192" i="58"/>
  <c r="AA193" i="58"/>
  <c r="Z227" i="58"/>
  <c r="Z265" i="58" s="1"/>
  <c r="P125" i="47" s="1"/>
  <c r="AN137" i="56"/>
  <c r="AG87" i="47" s="1"/>
  <c r="AO137" i="56"/>
  <c r="AH87" i="47" s="1"/>
  <c r="AJ87" i="47" s="1"/>
  <c r="BR41" i="58" l="1"/>
  <c r="AX46" i="58" s="1" a="1"/>
  <c r="AX46" i="58" s="1"/>
  <c r="AA227" i="58"/>
  <c r="AA265" i="58" s="1"/>
  <c r="Q125" i="47" s="1"/>
  <c r="AB193" i="58"/>
  <c r="AC50" i="58"/>
  <c r="AB192" i="58"/>
  <c r="AC49" i="58"/>
  <c r="AB181" i="58"/>
  <c r="AB53" i="58"/>
  <c r="AB180" i="58"/>
  <c r="AC51" i="58"/>
  <c r="AB203" i="58"/>
  <c r="AB204" i="58"/>
  <c r="AB214" i="58"/>
  <c r="AC52" i="58"/>
  <c r="AB215" i="58"/>
  <c r="AA226" i="58"/>
  <c r="AA264" i="58" s="1"/>
  <c r="Q119" i="47" s="1"/>
  <c r="BN46" i="58" l="1" a="1"/>
  <c r="BN46" i="58" s="1"/>
  <c r="AZ46" i="58" a="1"/>
  <c r="AZ46" i="58" s="1"/>
  <c r="BF46" i="58" a="1"/>
  <c r="BF46" i="58" s="1"/>
  <c r="BP46" i="58" a="1"/>
  <c r="BP46" i="58" s="1"/>
  <c r="BO46" i="58" a="1"/>
  <c r="BO46" i="58" s="1"/>
  <c r="AY46" i="58" a="1"/>
  <c r="AY46" i="58" s="1"/>
  <c r="BL46" i="58" a="1"/>
  <c r="BL46" i="58" s="1"/>
  <c r="BM46" i="58" a="1"/>
  <c r="BM46" i="58" s="1"/>
  <c r="BR46" i="58" a="1"/>
  <c r="BR46" i="58" s="1"/>
  <c r="BQ46" i="58" a="1"/>
  <c r="BQ46" i="58" s="1"/>
  <c r="BB46" i="58" a="1"/>
  <c r="BB46" i="58" s="1"/>
  <c r="BJ46" i="58" a="1"/>
  <c r="BJ46" i="58" s="1"/>
  <c r="BA46" i="58" a="1"/>
  <c r="BA46" i="58" s="1"/>
  <c r="BK46" i="58" a="1"/>
  <c r="BK46" i="58" s="1"/>
  <c r="BI46" i="58" a="1"/>
  <c r="BI46" i="58" s="1"/>
  <c r="BD46" i="58" a="1"/>
  <c r="BD46" i="58" s="1"/>
  <c r="BC46" i="58" a="1"/>
  <c r="BC46" i="58" s="1"/>
  <c r="BH46" i="58" a="1"/>
  <c r="BH46" i="58" s="1"/>
  <c r="BE46" i="58" a="1"/>
  <c r="BE46" i="58" s="1"/>
  <c r="BG46" i="58" a="1"/>
  <c r="BG46" i="58" s="1"/>
  <c r="AC214" i="58"/>
  <c r="AC215" i="58"/>
  <c r="AD52" i="58"/>
  <c r="AC203" i="58"/>
  <c r="AC204" i="58"/>
  <c r="AD51" i="58"/>
  <c r="AC180" i="58"/>
  <c r="AC181" i="58"/>
  <c r="AC53" i="58"/>
  <c r="AD49" i="58"/>
  <c r="AB226" i="58"/>
  <c r="AB264" i="58" s="1"/>
  <c r="R119" i="47" s="1"/>
  <c r="AC192" i="58"/>
  <c r="AC193" i="58"/>
  <c r="AD50" i="58"/>
  <c r="AB227" i="58"/>
  <c r="AB265" i="58" s="1"/>
  <c r="R125" i="47" s="1"/>
  <c r="AC226" i="58" l="1"/>
  <c r="AC264" i="58" s="1"/>
  <c r="S119" i="47" s="1"/>
  <c r="AD204" i="58"/>
  <c r="AD203" i="58"/>
  <c r="AE51" i="58"/>
  <c r="AD180" i="58"/>
  <c r="AD181" i="58"/>
  <c r="AE49" i="58"/>
  <c r="AD53" i="58"/>
  <c r="AD215" i="58"/>
  <c r="AD214" i="58"/>
  <c r="AE52" i="58"/>
  <c r="AD193" i="58"/>
  <c r="AD192" i="58"/>
  <c r="AE50" i="58"/>
  <c r="AC227" i="58"/>
  <c r="AC265" i="58" s="1"/>
  <c r="S125" i="47" s="1"/>
  <c r="AD227" i="58" l="1"/>
  <c r="AD265" i="58" s="1"/>
  <c r="T125" i="47" s="1"/>
  <c r="AD226" i="58"/>
  <c r="AD264" i="58" s="1"/>
  <c r="T119" i="47" s="1"/>
  <c r="AE215" i="58"/>
  <c r="AF52" i="58"/>
  <c r="AE214" i="58"/>
  <c r="AE203" i="58"/>
  <c r="AE204" i="58"/>
  <c r="AF51" i="58"/>
  <c r="AE181" i="58"/>
  <c r="AE53" i="58"/>
  <c r="AE180" i="58"/>
  <c r="AF49" i="58"/>
  <c r="AE193" i="58"/>
  <c r="AE192" i="58"/>
  <c r="AF50" i="58"/>
  <c r="S137" i="57"/>
  <c r="AE226" i="58" l="1"/>
  <c r="AE264" i="58" s="1"/>
  <c r="U119" i="47" s="1"/>
  <c r="AE227" i="58"/>
  <c r="AE265" i="58" s="1"/>
  <c r="U125" i="47" s="1"/>
  <c r="AG49" i="58"/>
  <c r="AF180" i="58"/>
  <c r="AF53" i="58"/>
  <c r="AF181" i="58"/>
  <c r="AF214" i="58"/>
  <c r="AG52" i="58"/>
  <c r="AF215" i="58"/>
  <c r="AF203" i="58"/>
  <c r="AF204" i="58"/>
  <c r="AG51" i="58"/>
  <c r="AF192" i="58"/>
  <c r="AG50" i="58"/>
  <c r="AF193" i="58"/>
  <c r="T137" i="57"/>
  <c r="AG192" i="58" l="1"/>
  <c r="AG193" i="58"/>
  <c r="AH50" i="58"/>
  <c r="AG203" i="58"/>
  <c r="AH51" i="58"/>
  <c r="AG204" i="58"/>
  <c r="AG215" i="58"/>
  <c r="AH52" i="58"/>
  <c r="AG214" i="58"/>
  <c r="AF226" i="58"/>
  <c r="AF264" i="58" s="1"/>
  <c r="V119" i="47" s="1"/>
  <c r="AF227" i="58"/>
  <c r="AF265" i="58" s="1"/>
  <c r="V125" i="47" s="1"/>
  <c r="AG181" i="58"/>
  <c r="AH49" i="58"/>
  <c r="AG53" i="58"/>
  <c r="AG180" i="58"/>
  <c r="W137" i="57"/>
  <c r="AH204" i="58" l="1"/>
  <c r="AI51" i="58"/>
  <c r="AH203" i="58"/>
  <c r="AI52" i="58"/>
  <c r="AH214" i="58"/>
  <c r="AH215" i="58"/>
  <c r="AI50" i="58"/>
  <c r="AH193" i="58"/>
  <c r="AH192" i="58"/>
  <c r="AG227" i="58"/>
  <c r="AG265" i="58" s="1"/>
  <c r="W125" i="47" s="1"/>
  <c r="AH53" i="58"/>
  <c r="AH180" i="58"/>
  <c r="AH181" i="58"/>
  <c r="AI49" i="58"/>
  <c r="AG226" i="58"/>
  <c r="AG264" i="58" s="1"/>
  <c r="W119" i="47" s="1"/>
  <c r="AH226" i="58" l="1"/>
  <c r="AH264" i="58" s="1"/>
  <c r="X119" i="47" s="1"/>
  <c r="AH227" i="58"/>
  <c r="AH265" i="58" s="1"/>
  <c r="X125" i="47" s="1"/>
  <c r="AI214" i="58"/>
  <c r="AI215" i="58"/>
  <c r="AJ52" i="58"/>
  <c r="AJ50" i="58"/>
  <c r="AI193" i="58"/>
  <c r="AI192" i="58"/>
  <c r="AJ49" i="58"/>
  <c r="AI53" i="58"/>
  <c r="AI181" i="58"/>
  <c r="AI180" i="58"/>
  <c r="AI203" i="58"/>
  <c r="AI204" i="58"/>
  <c r="AJ51" i="58"/>
  <c r="M91" i="55"/>
  <c r="K103" i="55"/>
  <c r="AO103" i="55"/>
  <c r="AD103" i="55"/>
  <c r="AC103" i="55"/>
  <c r="S103" i="55"/>
  <c r="AO114" i="55"/>
  <c r="AC114" i="55"/>
  <c r="U114" i="55"/>
  <c r="T114" i="55"/>
  <c r="S114" i="55"/>
  <c r="K91" i="55"/>
  <c r="AO91" i="55"/>
  <c r="AC91" i="55"/>
  <c r="T91" i="55"/>
  <c r="S91" i="55"/>
  <c r="L91" i="55"/>
  <c r="AO125" i="55"/>
  <c r="AC125" i="55"/>
  <c r="V125" i="55"/>
  <c r="U125" i="55"/>
  <c r="T125" i="55"/>
  <c r="S125" i="55"/>
  <c r="K79" i="55"/>
  <c r="AO79" i="55"/>
  <c r="AD79" i="55"/>
  <c r="S79" i="55"/>
  <c r="L79" i="55"/>
  <c r="AK49" i="58" l="1"/>
  <c r="AJ53" i="58"/>
  <c r="AJ180" i="58"/>
  <c r="AJ181" i="58"/>
  <c r="AI226" i="58"/>
  <c r="AI264" i="58" s="1"/>
  <c r="Y119" i="47" s="1"/>
  <c r="AI227" i="58"/>
  <c r="AI265" i="58" s="1"/>
  <c r="Y125" i="47" s="1"/>
  <c r="AK50" i="58"/>
  <c r="AJ193" i="58"/>
  <c r="AJ192" i="58"/>
  <c r="AJ215" i="58"/>
  <c r="AJ214" i="58"/>
  <c r="AK52" i="58"/>
  <c r="AJ204" i="58"/>
  <c r="AJ203" i="58"/>
  <c r="AK51" i="58"/>
  <c r="M79" i="55"/>
  <c r="L125" i="55"/>
  <c r="L103" i="55"/>
  <c r="L114" i="55"/>
  <c r="L93" i="55"/>
  <c r="L95" i="55"/>
  <c r="L101" i="55"/>
  <c r="L102" i="55"/>
  <c r="L92" i="55"/>
  <c r="L97" i="55"/>
  <c r="L94" i="55"/>
  <c r="L98" i="55"/>
  <c r="L99" i="55"/>
  <c r="L100" i="55"/>
  <c r="L96" i="55"/>
  <c r="O91" i="55"/>
  <c r="L83" i="55"/>
  <c r="L88" i="55"/>
  <c r="L86" i="55"/>
  <c r="L87" i="55"/>
  <c r="L80" i="55"/>
  <c r="L81" i="55"/>
  <c r="L89" i="55"/>
  <c r="L84" i="55"/>
  <c r="L90" i="55"/>
  <c r="K114" i="55"/>
  <c r="L82" i="55"/>
  <c r="N91" i="55"/>
  <c r="AQ79" i="55"/>
  <c r="AP79" i="55"/>
  <c r="L85" i="55"/>
  <c r="AP103" i="55"/>
  <c r="AQ103" i="55"/>
  <c r="AK214" i="58" l="1"/>
  <c r="AK215" i="58"/>
  <c r="AL52" i="58"/>
  <c r="AJ226" i="58"/>
  <c r="AJ264" i="58" s="1"/>
  <c r="Z119" i="47" s="1"/>
  <c r="AJ227" i="58"/>
  <c r="AJ265" i="58" s="1"/>
  <c r="Z125" i="47" s="1"/>
  <c r="AK192" i="58"/>
  <c r="AL50" i="58"/>
  <c r="AK193" i="58"/>
  <c r="AL51" i="58"/>
  <c r="AK204" i="58"/>
  <c r="AK203" i="58"/>
  <c r="AL49" i="58"/>
  <c r="AK180" i="58"/>
  <c r="AK53" i="58"/>
  <c r="AK181" i="58"/>
  <c r="M93" i="55"/>
  <c r="M94" i="55"/>
  <c r="M96" i="55"/>
  <c r="M102" i="55"/>
  <c r="M92" i="55"/>
  <c r="M97" i="55"/>
  <c r="M95" i="55"/>
  <c r="M101" i="55"/>
  <c r="AE79" i="55"/>
  <c r="V114" i="55"/>
  <c r="M100" i="55"/>
  <c r="M114" i="55"/>
  <c r="AP125" i="55"/>
  <c r="AQ125" i="55"/>
  <c r="U91" i="55"/>
  <c r="AD91" i="55"/>
  <c r="AD125" i="55"/>
  <c r="M103" i="55"/>
  <c r="M98" i="55"/>
  <c r="T79" i="55"/>
  <c r="AE103" i="55"/>
  <c r="T103" i="55"/>
  <c r="L104" i="55"/>
  <c r="L109" i="55"/>
  <c r="L113" i="55"/>
  <c r="L112" i="55"/>
  <c r="L110" i="55"/>
  <c r="L106" i="55"/>
  <c r="L111" i="55"/>
  <c r="L105" i="55"/>
  <c r="L107" i="55"/>
  <c r="L108" i="55"/>
  <c r="L122" i="55"/>
  <c r="L124" i="55"/>
  <c r="L116" i="55"/>
  <c r="L123" i="55"/>
  <c r="L117" i="55"/>
  <c r="L115" i="55"/>
  <c r="L120" i="55"/>
  <c r="L119" i="55"/>
  <c r="L121" i="55"/>
  <c r="L118" i="55"/>
  <c r="W125" i="55"/>
  <c r="AP91" i="55"/>
  <c r="AQ91" i="55"/>
  <c r="N79" i="55"/>
  <c r="M99" i="55"/>
  <c r="AP114" i="55"/>
  <c r="AQ114" i="55"/>
  <c r="L128" i="55"/>
  <c r="L130" i="55"/>
  <c r="L134" i="55"/>
  <c r="L127" i="55"/>
  <c r="L131" i="55"/>
  <c r="L129" i="55"/>
  <c r="L136" i="55"/>
  <c r="L132" i="55"/>
  <c r="L126" i="55"/>
  <c r="L135" i="55"/>
  <c r="L133" i="55"/>
  <c r="M90" i="55"/>
  <c r="M85" i="55"/>
  <c r="M83" i="55"/>
  <c r="M86" i="55"/>
  <c r="M89" i="55"/>
  <c r="M87" i="55"/>
  <c r="M84" i="55"/>
  <c r="M88" i="55"/>
  <c r="M81" i="55"/>
  <c r="M80" i="55"/>
  <c r="M82" i="55"/>
  <c r="AD114" i="55"/>
  <c r="M125" i="55"/>
  <c r="AL180" i="58" l="1"/>
  <c r="AL181" i="58"/>
  <c r="AL53" i="58"/>
  <c r="AM49" i="58"/>
  <c r="AL204" i="58"/>
  <c r="AM51" i="58"/>
  <c r="AL203" i="58"/>
  <c r="AK227" i="58"/>
  <c r="AK265" i="58" s="1"/>
  <c r="AA125" i="47" s="1"/>
  <c r="AL192" i="58"/>
  <c r="AL193" i="58"/>
  <c r="AM50" i="58"/>
  <c r="AK226" i="58"/>
  <c r="AK264" i="58" s="1"/>
  <c r="AA119" i="47" s="1"/>
  <c r="AL215" i="58"/>
  <c r="AL214" i="58"/>
  <c r="AM52" i="58"/>
  <c r="Q91" i="55"/>
  <c r="R91" i="55"/>
  <c r="M136" i="55"/>
  <c r="M135" i="55"/>
  <c r="M133" i="55"/>
  <c r="M134" i="55"/>
  <c r="M126" i="55"/>
  <c r="M127" i="55"/>
  <c r="M129" i="55"/>
  <c r="M130" i="55"/>
  <c r="M131" i="55"/>
  <c r="M132" i="55"/>
  <c r="M128" i="55"/>
  <c r="U79" i="55"/>
  <c r="V91" i="55"/>
  <c r="N114" i="55"/>
  <c r="M117" i="55"/>
  <c r="M121" i="55"/>
  <c r="M118" i="55"/>
  <c r="M123" i="55"/>
  <c r="M116" i="55"/>
  <c r="M122" i="55"/>
  <c r="M120" i="55"/>
  <c r="M115" i="55"/>
  <c r="M119" i="55"/>
  <c r="M124" i="55"/>
  <c r="W114" i="55"/>
  <c r="AF79" i="55"/>
  <c r="AE114" i="55"/>
  <c r="AF103" i="55"/>
  <c r="N103" i="55"/>
  <c r="X125" i="55"/>
  <c r="U103" i="55"/>
  <c r="M111" i="55"/>
  <c r="M110" i="55"/>
  <c r="M112" i="55"/>
  <c r="M104" i="55"/>
  <c r="M106" i="55"/>
  <c r="M113" i="55"/>
  <c r="M105" i="55"/>
  <c r="M109" i="55"/>
  <c r="M107" i="55"/>
  <c r="M108" i="55"/>
  <c r="O79" i="55"/>
  <c r="N125" i="55"/>
  <c r="AE125" i="55"/>
  <c r="AE91" i="55"/>
  <c r="AL227" i="58" l="1"/>
  <c r="AL265" i="58" s="1"/>
  <c r="AB125" i="47" s="1"/>
  <c r="AM193" i="58"/>
  <c r="AM192" i="58"/>
  <c r="AN50" i="58"/>
  <c r="AL226" i="58"/>
  <c r="AL264" i="58" s="1"/>
  <c r="AB119" i="47" s="1"/>
  <c r="AM204" i="58"/>
  <c r="AM203" i="58"/>
  <c r="AN51" i="58"/>
  <c r="AM53" i="58"/>
  <c r="AM180" i="58"/>
  <c r="AM181" i="58"/>
  <c r="AN49" i="58"/>
  <c r="AM215" i="58"/>
  <c r="AM214" i="58"/>
  <c r="AN52" i="58"/>
  <c r="AG103" i="55"/>
  <c r="AF125" i="55"/>
  <c r="W91" i="55"/>
  <c r="O114" i="55"/>
  <c r="X114" i="55"/>
  <c r="V79" i="55"/>
  <c r="P79" i="55"/>
  <c r="O103" i="55"/>
  <c r="V103" i="55"/>
  <c r="AF91" i="55"/>
  <c r="AG79" i="55"/>
  <c r="O125" i="55"/>
  <c r="Y125" i="55"/>
  <c r="AF114" i="55"/>
  <c r="AN180" i="58" l="1"/>
  <c r="AN181" i="58"/>
  <c r="AO49" i="58"/>
  <c r="AN53" i="58"/>
  <c r="AN203" i="58"/>
  <c r="AN204" i="58"/>
  <c r="AO51" i="58"/>
  <c r="AN192" i="58"/>
  <c r="AO50" i="58"/>
  <c r="AN193" i="58"/>
  <c r="AN214" i="58"/>
  <c r="AO52" i="58"/>
  <c r="AN215" i="58"/>
  <c r="AM226" i="58"/>
  <c r="AM264" i="58" s="1"/>
  <c r="AC119" i="47" s="1"/>
  <c r="AM227" i="58"/>
  <c r="AM265" i="58" s="1"/>
  <c r="AC125" i="47" s="1"/>
  <c r="AH79" i="55"/>
  <c r="Y114" i="55"/>
  <c r="X91" i="55"/>
  <c r="AG91" i="55"/>
  <c r="W103" i="55"/>
  <c r="AG125" i="55"/>
  <c r="AG114" i="55"/>
  <c r="Q79" i="55"/>
  <c r="R79" i="55"/>
  <c r="W79" i="55"/>
  <c r="AH103" i="55"/>
  <c r="Z125" i="55"/>
  <c r="AN227" i="58" l="1"/>
  <c r="AN265" i="58" s="1"/>
  <c r="AD125" i="47" s="1"/>
  <c r="AO215" i="58"/>
  <c r="AO214" i="58"/>
  <c r="AP52" i="58"/>
  <c r="AP50" i="58"/>
  <c r="AO192" i="58"/>
  <c r="AO193" i="58"/>
  <c r="AN226" i="58"/>
  <c r="AN264" i="58" s="1"/>
  <c r="AD119" i="47" s="1"/>
  <c r="AO204" i="58"/>
  <c r="AO203" i="58"/>
  <c r="AP51" i="58"/>
  <c r="AP49" i="58"/>
  <c r="AO181" i="58"/>
  <c r="AO53" i="58"/>
  <c r="AO180" i="58"/>
  <c r="AH91" i="55"/>
  <c r="Y91" i="55"/>
  <c r="Q114" i="55"/>
  <c r="R114" i="55"/>
  <c r="AI79" i="55"/>
  <c r="Q103" i="55"/>
  <c r="R103" i="55"/>
  <c r="Z114" i="55"/>
  <c r="AI103" i="55"/>
  <c r="AH114" i="55"/>
  <c r="AH125" i="55"/>
  <c r="AA125" i="55"/>
  <c r="AB125" i="55"/>
  <c r="X79" i="55"/>
  <c r="X103" i="55"/>
  <c r="Q125" i="55"/>
  <c r="R125" i="55"/>
  <c r="AQ49" i="58" l="1"/>
  <c r="AP53" i="58"/>
  <c r="AP181" i="58"/>
  <c r="AP180" i="58"/>
  <c r="AQ51" i="58"/>
  <c r="AP204" i="58"/>
  <c r="AP203" i="58"/>
  <c r="AO227" i="58"/>
  <c r="AO226" i="58"/>
  <c r="AP192" i="58"/>
  <c r="AQ50" i="58"/>
  <c r="AP193" i="58"/>
  <c r="AP215" i="58"/>
  <c r="AQ52" i="58"/>
  <c r="AP214" i="58"/>
  <c r="AI91" i="55"/>
  <c r="Y79" i="55"/>
  <c r="AA114" i="55"/>
  <c r="AB114" i="55"/>
  <c r="AJ79" i="55"/>
  <c r="Y103" i="55"/>
  <c r="AI125" i="55"/>
  <c r="AI114" i="55"/>
  <c r="Z91" i="55"/>
  <c r="AJ103" i="55"/>
  <c r="AP227" i="58" l="1"/>
  <c r="AP226" i="58"/>
  <c r="AR50" i="58"/>
  <c r="AQ193" i="58"/>
  <c r="AQ192" i="58"/>
  <c r="AR51" i="58"/>
  <c r="AQ203" i="58"/>
  <c r="AQ204" i="58"/>
  <c r="AQ215" i="58"/>
  <c r="AQ214" i="58"/>
  <c r="AR52" i="58"/>
  <c r="AQ181" i="58"/>
  <c r="AQ180" i="58"/>
  <c r="AQ53" i="58"/>
  <c r="AR49" i="58"/>
  <c r="AJ114" i="55"/>
  <c r="AJ125" i="55"/>
  <c r="Z79" i="55"/>
  <c r="Z103" i="55"/>
  <c r="AJ91" i="55"/>
  <c r="AA91" i="55"/>
  <c r="AB91" i="55"/>
  <c r="AK79" i="55"/>
  <c r="AK103" i="55"/>
  <c r="AR215" i="58" l="1"/>
  <c r="AR214" i="58"/>
  <c r="AS52" i="58"/>
  <c r="AR204" i="58"/>
  <c r="AS51" i="58"/>
  <c r="AR203" i="58"/>
  <c r="AQ226" i="58"/>
  <c r="AQ227" i="58"/>
  <c r="AR181" i="58"/>
  <c r="AR180" i="58"/>
  <c r="AS49" i="58"/>
  <c r="AR53" i="58"/>
  <c r="AS50" i="58"/>
  <c r="AR193" i="58"/>
  <c r="AR192" i="58"/>
  <c r="AA79" i="55"/>
  <c r="AB79" i="55"/>
  <c r="AK91" i="55"/>
  <c r="AL79" i="55"/>
  <c r="AA103" i="55"/>
  <c r="AB103" i="55"/>
  <c r="AK125" i="55"/>
  <c r="AK114" i="55"/>
  <c r="AL103" i="55"/>
  <c r="AR227" i="58" l="1"/>
  <c r="AS180" i="58"/>
  <c r="AS181" i="58"/>
  <c r="AS53" i="58"/>
  <c r="AT49" i="58"/>
  <c r="AS204" i="58"/>
  <c r="AT51" i="58"/>
  <c r="AS203" i="58"/>
  <c r="AR226" i="58"/>
  <c r="AT52" i="58"/>
  <c r="AS214" i="58"/>
  <c r="AS215" i="58"/>
  <c r="AT50" i="58"/>
  <c r="AS192" i="58"/>
  <c r="AS193" i="58"/>
  <c r="AM103" i="55"/>
  <c r="AN103" i="55"/>
  <c r="AL125" i="55"/>
  <c r="AM79" i="55"/>
  <c r="AN79" i="55"/>
  <c r="AL91" i="55"/>
  <c r="AL114" i="55"/>
  <c r="AU50" i="58" l="1"/>
  <c r="AT192" i="58"/>
  <c r="AT193" i="58"/>
  <c r="AT215" i="58"/>
  <c r="AT214" i="58"/>
  <c r="AU52" i="58"/>
  <c r="AU51" i="58"/>
  <c r="AT204" i="58"/>
  <c r="AT203" i="58"/>
  <c r="AU49" i="58"/>
  <c r="AT180" i="58"/>
  <c r="AT53" i="58"/>
  <c r="AT181" i="58"/>
  <c r="AS227" i="58"/>
  <c r="AO265" i="58" s="1"/>
  <c r="AE125" i="47" s="1"/>
  <c r="AS226" i="58"/>
  <c r="AO264" i="58" s="1"/>
  <c r="AE119" i="47" s="1"/>
  <c r="AM91" i="55"/>
  <c r="AN91" i="55"/>
  <c r="AM114" i="55"/>
  <c r="AN114" i="55"/>
  <c r="AM125" i="55"/>
  <c r="AN125" i="55"/>
  <c r="AU180" i="58" l="1"/>
  <c r="AV49" i="58"/>
  <c r="AU181" i="58"/>
  <c r="AU53" i="58"/>
  <c r="AU204" i="58"/>
  <c r="AU203" i="58"/>
  <c r="AV51" i="58"/>
  <c r="AU215" i="58"/>
  <c r="AU214" i="58"/>
  <c r="AV52" i="58"/>
  <c r="AT227" i="58"/>
  <c r="AT226" i="58"/>
  <c r="AU193" i="58"/>
  <c r="AU192" i="58"/>
  <c r="AV50" i="58"/>
  <c r="AW52" i="58" l="1"/>
  <c r="AV214" i="58"/>
  <c r="AV215" i="58"/>
  <c r="AW51" i="58"/>
  <c r="AV203" i="58"/>
  <c r="AV204" i="58"/>
  <c r="AW50" i="58"/>
  <c r="AV193" i="58"/>
  <c r="AV192" i="58"/>
  <c r="AU226" i="58"/>
  <c r="AV181" i="58"/>
  <c r="AV180" i="58"/>
  <c r="AW49" i="58"/>
  <c r="AV53" i="58"/>
  <c r="AU227" i="58"/>
  <c r="AV227" i="58" l="1"/>
  <c r="AV226" i="58"/>
  <c r="AW192" i="58"/>
  <c r="AX50" i="58"/>
  <c r="AY50" i="58" s="1"/>
  <c r="AW193" i="58"/>
  <c r="AX51" i="58"/>
  <c r="AY51" i="58" s="1"/>
  <c r="AW203" i="58"/>
  <c r="AW204" i="58"/>
  <c r="AX49" i="58"/>
  <c r="AY49" i="58" s="1"/>
  <c r="AW181" i="58"/>
  <c r="AW53" i="58"/>
  <c r="AW180" i="58"/>
  <c r="AW214" i="58"/>
  <c r="AW215" i="58"/>
  <c r="AX52" i="58"/>
  <c r="AY52" i="58" s="1"/>
  <c r="AZ49" i="58" l="1"/>
  <c r="AY181" i="58"/>
  <c r="AY180" i="58"/>
  <c r="AZ51" i="58"/>
  <c r="AY203" i="58"/>
  <c r="AY204" i="58"/>
  <c r="AZ50" i="58"/>
  <c r="AY193" i="58"/>
  <c r="AY192" i="58"/>
  <c r="AY215" i="58"/>
  <c r="AY214" i="58"/>
  <c r="AZ52" i="58"/>
  <c r="AY53" i="58"/>
  <c r="AX180" i="58"/>
  <c r="AX53" i="58"/>
  <c r="AX181" i="58"/>
  <c r="AX203" i="58"/>
  <c r="AX204" i="58"/>
  <c r="AW227" i="58"/>
  <c r="AX192" i="58"/>
  <c r="AX193" i="58"/>
  <c r="AX215" i="58"/>
  <c r="AX214" i="58"/>
  <c r="AW226" i="58"/>
  <c r="AY226" i="58" l="1"/>
  <c r="AY227" i="58"/>
  <c r="BA50" i="58"/>
  <c r="AZ193" i="58"/>
  <c r="AZ192" i="58"/>
  <c r="AZ215" i="58"/>
  <c r="AZ214" i="58"/>
  <c r="BA51" i="58"/>
  <c r="AZ203" i="58"/>
  <c r="AZ204" i="58"/>
  <c r="BA49" i="58"/>
  <c r="AZ181" i="58"/>
  <c r="AZ180" i="58"/>
  <c r="BA52" i="58"/>
  <c r="AZ53" i="58"/>
  <c r="AX227" i="58"/>
  <c r="AP265" i="58" s="1"/>
  <c r="AX226" i="58"/>
  <c r="AP264" i="58" s="1"/>
  <c r="AZ226" i="58" l="1"/>
  <c r="BA215" i="58"/>
  <c r="BA214" i="58"/>
  <c r="BB49" i="58"/>
  <c r="BA181" i="58"/>
  <c r="BA180" i="58"/>
  <c r="BB51" i="58"/>
  <c r="BA203" i="58"/>
  <c r="BA204" i="58"/>
  <c r="AZ227" i="58"/>
  <c r="BB50" i="58"/>
  <c r="BA193" i="58"/>
  <c r="BA192" i="58"/>
  <c r="BB52" i="58"/>
  <c r="BA53" i="58"/>
  <c r="AF119" i="47"/>
  <c r="AF125" i="47"/>
  <c r="BC51" i="58" l="1"/>
  <c r="BB204" i="58"/>
  <c r="BB203" i="58"/>
  <c r="BC49" i="58"/>
  <c r="BB181" i="58"/>
  <c r="BB180" i="58"/>
  <c r="BA226" i="58"/>
  <c r="BC50" i="58"/>
  <c r="BB192" i="58"/>
  <c r="BB193" i="58"/>
  <c r="BB215" i="58"/>
  <c r="BB214" i="58"/>
  <c r="BA227" i="58"/>
  <c r="BC52" i="58"/>
  <c r="BB53" i="58"/>
  <c r="BD50" i="58" l="1"/>
  <c r="BC192" i="58"/>
  <c r="BC193" i="58"/>
  <c r="BD49" i="58"/>
  <c r="BC181" i="58"/>
  <c r="BC180" i="58"/>
  <c r="BB226" i="58"/>
  <c r="BB227" i="58"/>
  <c r="BC215" i="58"/>
  <c r="BC214" i="58"/>
  <c r="BD51" i="58"/>
  <c r="BC204" i="58"/>
  <c r="BC203" i="58"/>
  <c r="BD52" i="58"/>
  <c r="BC53" i="58"/>
  <c r="AC26" i="57"/>
  <c r="AF26" i="57" s="1"/>
  <c r="BC226" i="58" l="1"/>
  <c r="AF97" i="57"/>
  <c r="AF108" i="57"/>
  <c r="AF81" i="57"/>
  <c r="AF55" i="57"/>
  <c r="I26" i="57"/>
  <c r="AE26" i="57"/>
  <c r="BE51" i="58"/>
  <c r="BD204" i="58"/>
  <c r="BD203" i="58"/>
  <c r="BE49" i="58"/>
  <c r="BD180" i="58"/>
  <c r="BD181" i="58"/>
  <c r="BC227" i="58"/>
  <c r="BD215" i="58"/>
  <c r="BD214" i="58"/>
  <c r="BE50" i="58"/>
  <c r="BD192" i="58"/>
  <c r="BD193" i="58"/>
  <c r="BE52" i="58"/>
  <c r="BD53" i="58"/>
  <c r="AC55" i="57"/>
  <c r="I55" i="57" s="1"/>
  <c r="AD26" i="57"/>
  <c r="AC81" i="57"/>
  <c r="I81" i="57" s="1"/>
  <c r="AC108" i="57"/>
  <c r="I108" i="57" s="1"/>
  <c r="AC97" i="57"/>
  <c r="I97" i="57" s="1"/>
  <c r="J26" i="57" l="1"/>
  <c r="K26" i="57"/>
  <c r="L26" i="57"/>
  <c r="BD226" i="58"/>
  <c r="AE97" i="57"/>
  <c r="AE108" i="57"/>
  <c r="AE81" i="57"/>
  <c r="AE55" i="57"/>
  <c r="BD227" i="58"/>
  <c r="BF49" i="58"/>
  <c r="BE181" i="58"/>
  <c r="BE180" i="58"/>
  <c r="BF50" i="58"/>
  <c r="BE192" i="58"/>
  <c r="BE193" i="58"/>
  <c r="BE214" i="58"/>
  <c r="BE215" i="58"/>
  <c r="BF51" i="58"/>
  <c r="BE204" i="58"/>
  <c r="BE203" i="58"/>
  <c r="BF52" i="58"/>
  <c r="BE53" i="58"/>
  <c r="AD108" i="57"/>
  <c r="AD81" i="57"/>
  <c r="AD97" i="57"/>
  <c r="AG26" i="57"/>
  <c r="M26" i="57" s="1"/>
  <c r="AD55" i="57"/>
  <c r="J108" i="57" l="1"/>
  <c r="K108" i="57"/>
  <c r="L108" i="57"/>
  <c r="J81" i="57"/>
  <c r="K81" i="57"/>
  <c r="L81" i="57"/>
  <c r="J55" i="57"/>
  <c r="K55" i="57"/>
  <c r="L55" i="57"/>
  <c r="J97" i="57"/>
  <c r="K97" i="57"/>
  <c r="L97" i="57"/>
  <c r="BE227" i="58"/>
  <c r="BE226" i="58"/>
  <c r="BG50" i="58"/>
  <c r="BF193" i="58"/>
  <c r="BF192" i="58"/>
  <c r="BG51" i="58"/>
  <c r="BF204" i="58"/>
  <c r="BF203" i="58"/>
  <c r="BG49" i="58"/>
  <c r="BF180" i="58"/>
  <c r="BF181" i="58"/>
  <c r="BF214" i="58"/>
  <c r="BF215" i="58"/>
  <c r="BG52" i="58"/>
  <c r="BF53" i="58"/>
  <c r="AG55" i="57"/>
  <c r="M55" i="57" s="1"/>
  <c r="AG108" i="57"/>
  <c r="M108" i="57" s="1"/>
  <c r="AG81" i="57"/>
  <c r="M81" i="57" s="1"/>
  <c r="AG97" i="57"/>
  <c r="M97" i="57" s="1"/>
  <c r="BF226" i="58" l="1"/>
  <c r="BH51" i="58"/>
  <c r="BG204" i="58"/>
  <c r="BG203" i="58"/>
  <c r="BF227" i="58"/>
  <c r="BH49" i="58"/>
  <c r="BG180" i="58"/>
  <c r="BG181" i="58"/>
  <c r="BH50" i="58"/>
  <c r="BG193" i="58"/>
  <c r="BG192" i="58"/>
  <c r="BG214" i="58"/>
  <c r="BG215" i="58"/>
  <c r="BH52" i="58"/>
  <c r="BG53" i="58"/>
  <c r="AC27" i="57"/>
  <c r="AF27" i="57" s="1"/>
  <c r="BG226" i="58" l="1"/>
  <c r="BG227" i="58"/>
  <c r="AF101" i="57"/>
  <c r="AF109" i="57"/>
  <c r="AF86" i="57"/>
  <c r="AF56" i="57"/>
  <c r="I27" i="57"/>
  <c r="I28" i="57" s="1"/>
  <c r="AE27" i="57"/>
  <c r="BI50" i="58"/>
  <c r="BH193" i="58"/>
  <c r="BH192" i="58"/>
  <c r="BI49" i="58"/>
  <c r="BH180" i="58"/>
  <c r="BH181" i="58"/>
  <c r="BH214" i="58"/>
  <c r="BH215" i="58"/>
  <c r="BI51" i="58"/>
  <c r="BH203" i="58"/>
  <c r="BH204" i="58"/>
  <c r="BI52" i="58"/>
  <c r="BH53" i="58"/>
  <c r="AC101" i="57"/>
  <c r="I101" i="57" s="1"/>
  <c r="AC56" i="57"/>
  <c r="AC86" i="57"/>
  <c r="I86" i="57" s="1"/>
  <c r="AD27" i="57"/>
  <c r="AC109" i="57"/>
  <c r="I109" i="57" s="1"/>
  <c r="I56" i="57" l="1"/>
  <c r="J27" i="57"/>
  <c r="J28" i="57" s="1"/>
  <c r="K27" i="57"/>
  <c r="K28" i="57" s="1"/>
  <c r="L27" i="57"/>
  <c r="L28" i="57" s="1"/>
  <c r="AE101" i="57"/>
  <c r="AE86" i="57"/>
  <c r="AE109" i="57"/>
  <c r="AE56" i="57"/>
  <c r="BJ49" i="58"/>
  <c r="BI180" i="58"/>
  <c r="BI181" i="58"/>
  <c r="BH226" i="58"/>
  <c r="AQ264" i="58" s="1"/>
  <c r="AG119" i="47" s="1"/>
  <c r="BH227" i="58"/>
  <c r="AQ265" i="58" s="1"/>
  <c r="AG125" i="47" s="1"/>
  <c r="BI214" i="58"/>
  <c r="BI215" i="58"/>
  <c r="BJ51" i="58"/>
  <c r="BI203" i="58"/>
  <c r="BI204" i="58"/>
  <c r="BJ50" i="58"/>
  <c r="BI193" i="58"/>
  <c r="BI192" i="58"/>
  <c r="BJ52" i="58"/>
  <c r="BI53" i="58"/>
  <c r="AD101" i="57"/>
  <c r="AD109" i="57"/>
  <c r="AG27" i="57"/>
  <c r="M27" i="57" s="1"/>
  <c r="M28" i="57" s="1"/>
  <c r="AD56" i="57"/>
  <c r="AD86" i="57"/>
  <c r="J109" i="57" l="1"/>
  <c r="K109" i="57"/>
  <c r="L109" i="57"/>
  <c r="J101" i="57"/>
  <c r="K101" i="57"/>
  <c r="L101" i="57"/>
  <c r="J86" i="57"/>
  <c r="K86" i="57"/>
  <c r="L86" i="57"/>
  <c r="J56" i="57"/>
  <c r="K56" i="57"/>
  <c r="L56" i="57"/>
  <c r="BI227" i="58"/>
  <c r="BK50" i="58"/>
  <c r="BJ193" i="58"/>
  <c r="BJ192" i="58"/>
  <c r="BK51" i="58"/>
  <c r="BJ203" i="58"/>
  <c r="BJ204" i="58"/>
  <c r="BI226" i="58"/>
  <c r="BJ215" i="58"/>
  <c r="BJ214" i="58"/>
  <c r="BK49" i="58"/>
  <c r="BJ181" i="58"/>
  <c r="BJ180" i="58"/>
  <c r="BK52" i="58"/>
  <c r="BJ53" i="58"/>
  <c r="AG109" i="57"/>
  <c r="M109" i="57" s="1"/>
  <c r="AG56" i="57"/>
  <c r="AG86" i="57"/>
  <c r="M86" i="57" s="1"/>
  <c r="AG101" i="57"/>
  <c r="M101" i="57" s="1"/>
  <c r="M56" i="57" l="1"/>
  <c r="BL51" i="58"/>
  <c r="BK203" i="58"/>
  <c r="BK204" i="58"/>
  <c r="BL49" i="58"/>
  <c r="BK181" i="58"/>
  <c r="BK180" i="58"/>
  <c r="BJ226" i="58"/>
  <c r="BJ227" i="58"/>
  <c r="BK215" i="58"/>
  <c r="BK214" i="58"/>
  <c r="BL50" i="58"/>
  <c r="BK193" i="58"/>
  <c r="BK192" i="58"/>
  <c r="BL52" i="58"/>
  <c r="BK53" i="58"/>
  <c r="BK227" i="58" l="1"/>
  <c r="BM50" i="58"/>
  <c r="BL192" i="58"/>
  <c r="BL193" i="58"/>
  <c r="BM49" i="58"/>
  <c r="BL181" i="58"/>
  <c r="BL180" i="58"/>
  <c r="BL215" i="58"/>
  <c r="BL214" i="58"/>
  <c r="BK226" i="58"/>
  <c r="BM51" i="58"/>
  <c r="BL203" i="58"/>
  <c r="BL204" i="58"/>
  <c r="BM52" i="58"/>
  <c r="BL53" i="58"/>
  <c r="AC30" i="57"/>
  <c r="AE30" i="57" s="1"/>
  <c r="AG30" i="57" s="1"/>
  <c r="AF54" i="57" l="1"/>
  <c r="AF107" i="57"/>
  <c r="AF111" i="57" s="1"/>
  <c r="I30" i="57"/>
  <c r="I33" i="57" s="1"/>
  <c r="BN51" i="58"/>
  <c r="BM204" i="58"/>
  <c r="BM203" i="58"/>
  <c r="BN49" i="58"/>
  <c r="BM181" i="58"/>
  <c r="BM180" i="58"/>
  <c r="BL227" i="58"/>
  <c r="BL226" i="58"/>
  <c r="BM215" i="58"/>
  <c r="BM214" i="58"/>
  <c r="BN50" i="58"/>
  <c r="BM192" i="58"/>
  <c r="BM193" i="58"/>
  <c r="BN52" i="58"/>
  <c r="BM53" i="58"/>
  <c r="AC54" i="57"/>
  <c r="E45" i="57"/>
  <c r="AC162" i="57" l="1"/>
  <c r="AC163" i="57"/>
  <c r="AC161" i="57"/>
  <c r="AF163" i="57"/>
  <c r="AF161" i="57"/>
  <c r="AF162" i="57"/>
  <c r="AF150" i="57"/>
  <c r="L150" i="57" s="1"/>
  <c r="AF151" i="57"/>
  <c r="L151" i="57" s="1"/>
  <c r="AF149" i="57"/>
  <c r="AF58" i="57"/>
  <c r="AF59" i="57" s="1"/>
  <c r="AF60" i="57" s="1"/>
  <c r="BM226" i="58"/>
  <c r="BM227" i="58"/>
  <c r="AE54" i="57"/>
  <c r="AE107" i="57"/>
  <c r="AE111" i="57" s="1"/>
  <c r="BO49" i="58"/>
  <c r="BN181" i="58"/>
  <c r="BN180" i="58"/>
  <c r="BO50" i="58"/>
  <c r="BN192" i="58"/>
  <c r="BN193" i="58"/>
  <c r="BN215" i="58"/>
  <c r="BN214" i="58"/>
  <c r="BO51" i="58"/>
  <c r="BN204" i="58"/>
  <c r="BN203" i="58"/>
  <c r="BO52" i="58"/>
  <c r="BN53" i="58"/>
  <c r="AC58" i="57"/>
  <c r="I54" i="57"/>
  <c r="I45" i="57" s="1"/>
  <c r="E61" i="57"/>
  <c r="F45" i="57"/>
  <c r="I255" i="57"/>
  <c r="I254" i="57"/>
  <c r="I253" i="57"/>
  <c r="AC107" i="57"/>
  <c r="I107" i="57" s="1"/>
  <c r="AE162" i="57" l="1"/>
  <c r="AE163" i="57"/>
  <c r="AE161" i="57"/>
  <c r="AE150" i="57"/>
  <c r="AE151" i="57"/>
  <c r="AE149" i="57"/>
  <c r="AF61" i="57"/>
  <c r="AF183" i="57"/>
  <c r="L149" i="57"/>
  <c r="AE58" i="57"/>
  <c r="AE59" i="57" s="1"/>
  <c r="AE60" i="57" s="1"/>
  <c r="K151" i="57"/>
  <c r="J30" i="57"/>
  <c r="J33" i="57" s="1"/>
  <c r="K30" i="57"/>
  <c r="K33" i="57" s="1"/>
  <c r="L30" i="57"/>
  <c r="L33" i="57" s="1"/>
  <c r="BP51" i="58"/>
  <c r="BO204" i="58"/>
  <c r="BO203" i="58"/>
  <c r="BN227" i="58"/>
  <c r="BN226" i="58"/>
  <c r="BP50" i="58"/>
  <c r="BO192" i="58"/>
  <c r="BO193" i="58"/>
  <c r="BO215" i="58"/>
  <c r="BO214" i="58"/>
  <c r="BP49" i="58"/>
  <c r="BO181" i="58"/>
  <c r="BO180" i="58"/>
  <c r="BP52" i="58"/>
  <c r="BO53" i="58"/>
  <c r="I58" i="57"/>
  <c r="AC59" i="57"/>
  <c r="AC61" i="57"/>
  <c r="AC111" i="57"/>
  <c r="AD54" i="57"/>
  <c r="M30" i="57"/>
  <c r="M33" i="57" s="1"/>
  <c r="AD107" i="57"/>
  <c r="AD162" i="57" l="1"/>
  <c r="AD163" i="57"/>
  <c r="AD161" i="57"/>
  <c r="K150" i="57"/>
  <c r="I111" i="57"/>
  <c r="L255" i="57" s="1"/>
  <c r="AC150" i="57"/>
  <c r="AC151" i="57"/>
  <c r="AC149" i="57"/>
  <c r="AE61" i="57"/>
  <c r="AE183" i="57"/>
  <c r="K149" i="57"/>
  <c r="J107" i="57"/>
  <c r="K107" i="57"/>
  <c r="L107" i="57"/>
  <c r="K54" i="57"/>
  <c r="K45" i="57" s="1"/>
  <c r="L54" i="57"/>
  <c r="L45" i="57" s="1"/>
  <c r="BO226" i="58"/>
  <c r="BO227" i="58"/>
  <c r="BQ50" i="58"/>
  <c r="BP193" i="58"/>
  <c r="BP192" i="58"/>
  <c r="BQ49" i="58"/>
  <c r="BP181" i="58"/>
  <c r="BP180" i="58"/>
  <c r="BP214" i="58"/>
  <c r="BP215" i="58"/>
  <c r="BQ51" i="58"/>
  <c r="BP204" i="58"/>
  <c r="BP203" i="58"/>
  <c r="BQ52" i="58"/>
  <c r="BP53" i="58"/>
  <c r="AD58" i="57"/>
  <c r="J54" i="57"/>
  <c r="J45" i="57" s="1"/>
  <c r="AC60" i="57"/>
  <c r="I59" i="57"/>
  <c r="I60" i="57" s="1"/>
  <c r="G45" i="57"/>
  <c r="AD111" i="57"/>
  <c r="I61" i="57"/>
  <c r="F61" i="57"/>
  <c r="AG107" i="57"/>
  <c r="M107" i="57" s="1"/>
  <c r="AG54" i="57"/>
  <c r="L254" i="57" l="1"/>
  <c r="L253" i="57"/>
  <c r="AG163" i="57"/>
  <c r="AG161" i="57"/>
  <c r="AG162" i="57"/>
  <c r="AD150" i="57"/>
  <c r="AD151" i="57"/>
  <c r="AD149" i="57"/>
  <c r="J58" i="57"/>
  <c r="L58" i="57"/>
  <c r="K58" i="57"/>
  <c r="J111" i="57"/>
  <c r="M253" i="57" s="1"/>
  <c r="L111" i="57"/>
  <c r="K111" i="57"/>
  <c r="BR51" i="58"/>
  <c r="BQ204" i="58"/>
  <c r="BQ203" i="58"/>
  <c r="BR49" i="58"/>
  <c r="BQ180" i="58"/>
  <c r="BQ181" i="58"/>
  <c r="BP226" i="58"/>
  <c r="BP227" i="58"/>
  <c r="BR50" i="58"/>
  <c r="BQ192" i="58"/>
  <c r="BQ193" i="58"/>
  <c r="BQ215" i="58"/>
  <c r="BQ214" i="58"/>
  <c r="BR52" i="58"/>
  <c r="BQ53" i="58"/>
  <c r="AD61" i="57"/>
  <c r="AD59" i="57"/>
  <c r="AG58" i="57"/>
  <c r="M58" i="57" s="1"/>
  <c r="M54" i="57"/>
  <c r="M45" i="57" s="1"/>
  <c r="AG111" i="57"/>
  <c r="H45" i="57"/>
  <c r="K255" i="57"/>
  <c r="K254" i="57"/>
  <c r="K253" i="57"/>
  <c r="M111" i="57" l="1"/>
  <c r="O253" i="57" s="1"/>
  <c r="AG150" i="57"/>
  <c r="AG151" i="57"/>
  <c r="AG149" i="57"/>
  <c r="M254" i="57"/>
  <c r="M255" i="57"/>
  <c r="J61" i="57"/>
  <c r="K61" i="57"/>
  <c r="L61" i="57"/>
  <c r="AD60" i="57"/>
  <c r="K59" i="57"/>
  <c r="K60" i="57" s="1"/>
  <c r="L59" i="57"/>
  <c r="L60" i="57" s="1"/>
  <c r="BQ226" i="58"/>
  <c r="BQ227" i="58"/>
  <c r="BR193" i="58"/>
  <c r="BR192" i="58"/>
  <c r="BR180" i="58"/>
  <c r="BR181" i="58"/>
  <c r="BR53" i="58"/>
  <c r="BR214" i="58"/>
  <c r="BR215" i="58"/>
  <c r="BR204" i="58"/>
  <c r="BR203" i="58"/>
  <c r="G61" i="57"/>
  <c r="J59" i="57"/>
  <c r="J60" i="57" s="1"/>
  <c r="AG59" i="57"/>
  <c r="AG60" i="57" s="1"/>
  <c r="AG61" i="57"/>
  <c r="H61" i="57" s="1"/>
  <c r="N254" i="57" l="1"/>
  <c r="O254" i="57"/>
  <c r="N255" i="57"/>
  <c r="O255" i="57"/>
  <c r="N253" i="57"/>
  <c r="BR226" i="58"/>
  <c r="AR264" i="58" s="1"/>
  <c r="AH119" i="47" s="1"/>
  <c r="AJ119" i="47" s="1"/>
  <c r="BR227" i="58"/>
  <c r="AR265" i="58" s="1"/>
  <c r="AH125" i="47" s="1"/>
  <c r="AJ125" i="47" s="1"/>
  <c r="M61" i="57"/>
  <c r="M59" i="57"/>
  <c r="M60" i="57" s="1"/>
  <c r="AC64" i="57" l="1"/>
  <c r="AF64" i="57" s="1"/>
  <c r="I64" i="57" l="1"/>
  <c r="AE64" i="57"/>
  <c r="AD64" i="57"/>
  <c r="J64" i="57" l="1"/>
  <c r="K64" i="57"/>
  <c r="L64" i="57"/>
  <c r="AG64" i="57"/>
  <c r="M64" i="57" s="1"/>
  <c r="Y73" i="57" l="1"/>
  <c r="P73" i="57" l="1"/>
  <c r="O116" i="57"/>
  <c r="Y116" i="57" s="1"/>
  <c r="O120" i="57"/>
  <c r="Y120" i="57" s="1"/>
  <c r="O119" i="57"/>
  <c r="Y119" i="57" s="1"/>
  <c r="Z73" i="57" l="1"/>
  <c r="F73" i="57" s="1"/>
  <c r="P119" i="57"/>
  <c r="Z119" i="57" s="1"/>
  <c r="P120" i="57"/>
  <c r="Z120" i="57" s="1"/>
  <c r="P123" i="57"/>
  <c r="Z123" i="57" s="1"/>
  <c r="P124" i="57"/>
  <c r="Z124" i="57" s="1"/>
  <c r="P116" i="57"/>
  <c r="Z116" i="57" s="1"/>
  <c r="P128" i="57" l="1"/>
  <c r="Q73" i="57"/>
  <c r="AA73" i="57" l="1"/>
  <c r="G73" i="57" s="1"/>
  <c r="P156" i="57"/>
  <c r="Z128" i="57"/>
  <c r="Q119" i="57"/>
  <c r="AA119" i="57" s="1"/>
  <c r="Q123" i="57"/>
  <c r="AA123" i="57" s="1"/>
  <c r="Q120" i="57"/>
  <c r="AA120" i="57" s="1"/>
  <c r="Q124" i="57"/>
  <c r="AA124" i="57" s="1"/>
  <c r="Q116" i="57"/>
  <c r="AA116" i="57" s="1"/>
  <c r="AC73" i="57" l="1"/>
  <c r="AF73" i="57" s="1"/>
  <c r="Z156" i="57"/>
  <c r="F156" i="57" s="1"/>
  <c r="F193" i="57" s="1"/>
  <c r="P168" i="57"/>
  <c r="Q128" i="57"/>
  <c r="R73" i="57"/>
  <c r="AD73" i="57" l="1"/>
  <c r="AG73" i="57" s="1"/>
  <c r="AE73" i="57"/>
  <c r="AB73" i="57"/>
  <c r="H73" i="57" s="1"/>
  <c r="Q156" i="57"/>
  <c r="AA128" i="57"/>
  <c r="Z168" i="57"/>
  <c r="R123" i="57"/>
  <c r="AB123" i="57" s="1"/>
  <c r="R120" i="57"/>
  <c r="AB120" i="57" s="1"/>
  <c r="R124" i="57"/>
  <c r="AB124" i="57" s="1"/>
  <c r="R116" i="57"/>
  <c r="AB116" i="57" s="1"/>
  <c r="F168" i="57" l="1"/>
  <c r="Q168" i="57"/>
  <c r="AA156" i="57"/>
  <c r="G156" i="57" s="1"/>
  <c r="G193" i="57" s="1"/>
  <c r="R128" i="57"/>
  <c r="S73" i="57"/>
  <c r="I73" i="57" s="1"/>
  <c r="U73" i="57" l="1"/>
  <c r="U125" i="57" s="1"/>
  <c r="V73" i="57"/>
  <c r="T73" i="57"/>
  <c r="L73" i="57" s="1"/>
  <c r="R156" i="57"/>
  <c r="AB128" i="57"/>
  <c r="AA168" i="57"/>
  <c r="G168" i="57" s="1"/>
  <c r="S124" i="57"/>
  <c r="Q90" i="57"/>
  <c r="S123" i="57"/>
  <c r="R90" i="57"/>
  <c r="P90" i="57"/>
  <c r="U120" i="57" l="1"/>
  <c r="U124" i="57"/>
  <c r="U123" i="57"/>
  <c r="U116" i="57"/>
  <c r="V123" i="57"/>
  <c r="V120" i="57"/>
  <c r="V116" i="57"/>
  <c r="V125" i="57"/>
  <c r="V124" i="57"/>
  <c r="J73" i="57"/>
  <c r="W73" i="57" s="1"/>
  <c r="M73" i="57" s="1"/>
  <c r="K73" i="57"/>
  <c r="R125" i="57"/>
  <c r="AB125" i="57" s="1"/>
  <c r="AB90" i="57"/>
  <c r="P125" i="57"/>
  <c r="Z125" i="57" s="1"/>
  <c r="Z90" i="57"/>
  <c r="R168" i="57"/>
  <c r="AB156" i="57"/>
  <c r="H156" i="57" s="1"/>
  <c r="Q125" i="57"/>
  <c r="AA125" i="57" s="1"/>
  <c r="AA90" i="57"/>
  <c r="T124" i="57"/>
  <c r="T123" i="57"/>
  <c r="S90" i="57"/>
  <c r="S125" i="57" s="1"/>
  <c r="W90" i="57"/>
  <c r="T90" i="57"/>
  <c r="T125" i="57" s="1"/>
  <c r="U128" i="57" l="1"/>
  <c r="U156" i="57" s="1"/>
  <c r="U168" i="57" s="1"/>
  <c r="V128" i="57"/>
  <c r="V156" i="57" s="1"/>
  <c r="W123" i="57"/>
  <c r="W124" i="57"/>
  <c r="W125" i="57"/>
  <c r="AB168" i="57"/>
  <c r="H168" i="57" s="1"/>
  <c r="V168" i="57" l="1"/>
  <c r="W120" i="57"/>
  <c r="S120" i="57"/>
  <c r="P85" i="57"/>
  <c r="Z85" i="57" s="1"/>
  <c r="P121" i="57" l="1"/>
  <c r="Z121" i="57" s="1"/>
  <c r="O85" i="57"/>
  <c r="Y85" i="57" s="1"/>
  <c r="T120" i="57"/>
  <c r="Q85" i="57"/>
  <c r="S116" i="57"/>
  <c r="S128" i="57" s="1"/>
  <c r="S156" i="57" s="1"/>
  <c r="Q121" i="57" l="1"/>
  <c r="AA121" i="57" s="1"/>
  <c r="AA85" i="57"/>
  <c r="O121" i="57"/>
  <c r="Y121" i="57" s="1"/>
  <c r="S168" i="57"/>
  <c r="W116" i="57"/>
  <c r="W128" i="57" s="1"/>
  <c r="W156" i="57" s="1"/>
  <c r="T116" i="57"/>
  <c r="T128" i="57" s="1"/>
  <c r="T156" i="57" s="1"/>
  <c r="T168" i="57" l="1"/>
  <c r="W168" i="57"/>
  <c r="I138" i="57" l="1"/>
  <c r="L138" i="57" l="1"/>
  <c r="J138" i="57"/>
  <c r="K138" i="57"/>
  <c r="I137" i="57"/>
  <c r="L137" i="57" l="1"/>
  <c r="J137" i="57"/>
  <c r="K137" i="57"/>
  <c r="M138" i="57"/>
  <c r="T150" i="57"/>
  <c r="W150" i="57"/>
  <c r="T151" i="57"/>
  <c r="W151" i="57"/>
  <c r="P162" i="57"/>
  <c r="Z162" i="57" s="1"/>
  <c r="F162" i="57" s="1"/>
  <c r="T162" i="57"/>
  <c r="M162" i="57"/>
  <c r="S162" i="57"/>
  <c r="Q163" i="57"/>
  <c r="AA163" i="57" s="1"/>
  <c r="G163" i="57" s="1"/>
  <c r="S151" i="57"/>
  <c r="Q151" i="57"/>
  <c r="Q162" i="57"/>
  <c r="AA162" i="57" s="1"/>
  <c r="G162" i="57" s="1"/>
  <c r="T132" i="57"/>
  <c r="S150" i="57"/>
  <c r="Q150" i="57"/>
  <c r="W132" i="57"/>
  <c r="S163" i="57"/>
  <c r="T163" i="57"/>
  <c r="S132" i="57"/>
  <c r="Q132" i="57"/>
  <c r="O162" i="57"/>
  <c r="R163" i="57"/>
  <c r="AB163" i="57" s="1"/>
  <c r="H163" i="57" s="1"/>
  <c r="W163" i="57"/>
  <c r="M163" i="57" s="1"/>
  <c r="P150" i="57"/>
  <c r="M137" i="57" l="1"/>
  <c r="K188" i="57"/>
  <c r="L188" i="57"/>
  <c r="K132" i="57"/>
  <c r="L132" i="57"/>
  <c r="K187" i="57"/>
  <c r="L187" i="57"/>
  <c r="J162" i="57"/>
  <c r="S161" i="57"/>
  <c r="I132" i="57"/>
  <c r="W161" i="57"/>
  <c r="M132" i="57"/>
  <c r="T149" i="57"/>
  <c r="J132" i="57"/>
  <c r="I150" i="57"/>
  <c r="I187" i="57" s="1"/>
  <c r="I162" i="57"/>
  <c r="I151" i="57"/>
  <c r="I188" i="57" s="1"/>
  <c r="I163" i="57"/>
  <c r="Z150" i="57"/>
  <c r="Y162" i="57"/>
  <c r="E162" i="57" s="1"/>
  <c r="Q149" i="57"/>
  <c r="AA149" i="57" s="1"/>
  <c r="AA132" i="57"/>
  <c r="G132" i="57" s="1"/>
  <c r="AA151" i="57"/>
  <c r="AA150" i="57"/>
  <c r="T161" i="57"/>
  <c r="Q161" i="57"/>
  <c r="AA161" i="57" s="1"/>
  <c r="G161" i="57" s="1"/>
  <c r="M150" i="57"/>
  <c r="M151" i="57"/>
  <c r="S149" i="57"/>
  <c r="R162" i="57"/>
  <c r="AB162" i="57" s="1"/>
  <c r="H162" i="57" s="1"/>
  <c r="R132" i="57"/>
  <c r="J163" i="57"/>
  <c r="O150" i="57"/>
  <c r="O151" i="57"/>
  <c r="R150" i="57"/>
  <c r="O163" i="57"/>
  <c r="Y163" i="57" s="1"/>
  <c r="E163" i="57" s="1"/>
  <c r="R151" i="57"/>
  <c r="W149" i="57"/>
  <c r="O132" i="57"/>
  <c r="P132" i="57"/>
  <c r="L163" i="57" l="1"/>
  <c r="K163" i="57"/>
  <c r="L162" i="57"/>
  <c r="K162" i="57"/>
  <c r="K186" i="57"/>
  <c r="AV200" i="57" s="1" a="1"/>
  <c r="AV200" i="57" s="1"/>
  <c r="J161" i="57"/>
  <c r="J150" i="57"/>
  <c r="J187" i="57" s="1"/>
  <c r="I161" i="57"/>
  <c r="AG183" i="57"/>
  <c r="AB132" i="57"/>
  <c r="H132" i="57" s="1"/>
  <c r="Z132" i="57"/>
  <c r="F132" i="57" s="1"/>
  <c r="Y132" i="57"/>
  <c r="I149" i="57"/>
  <c r="I186" i="57" s="1"/>
  <c r="M187" i="57"/>
  <c r="F150" i="57"/>
  <c r="F187" i="57" s="1"/>
  <c r="G149" i="57"/>
  <c r="M188" i="57"/>
  <c r="G150" i="57"/>
  <c r="G187" i="57" s="1"/>
  <c r="G151" i="57"/>
  <c r="G188" i="57" s="1"/>
  <c r="AB150" i="57"/>
  <c r="H150" i="57" s="1"/>
  <c r="H187" i="57" s="1"/>
  <c r="Y150" i="57"/>
  <c r="AA183" i="57"/>
  <c r="Y151" i="57"/>
  <c r="AB151" i="57"/>
  <c r="H151" i="57" s="1"/>
  <c r="H188" i="57" s="1"/>
  <c r="P161" i="57"/>
  <c r="Z161" i="57" s="1"/>
  <c r="F161" i="57" s="1"/>
  <c r="P149" i="57"/>
  <c r="O161" i="57"/>
  <c r="Y161" i="57" s="1"/>
  <c r="E161" i="57" s="1"/>
  <c r="O149" i="57"/>
  <c r="P163" i="57"/>
  <c r="Z163" i="57" s="1"/>
  <c r="F163" i="57" s="1"/>
  <c r="P151" i="57"/>
  <c r="AC183" i="57"/>
  <c r="R161" i="57"/>
  <c r="AB161" i="57" s="1"/>
  <c r="H161" i="57" s="1"/>
  <c r="R149" i="57"/>
  <c r="K161" i="57" l="1"/>
  <c r="L161" i="57"/>
  <c r="K112" i="57"/>
  <c r="L186" i="57"/>
  <c r="AW200" i="57" s="1" a="1"/>
  <c r="AW200" i="57" s="1"/>
  <c r="L112" i="57"/>
  <c r="AD183" i="57"/>
  <c r="J149" i="57"/>
  <c r="J186" i="57" s="1"/>
  <c r="M161" i="57"/>
  <c r="I112" i="57"/>
  <c r="G112" i="57"/>
  <c r="G186" i="57"/>
  <c r="J151" i="57"/>
  <c r="J188" i="57" s="1"/>
  <c r="E188" i="57"/>
  <c r="E187" i="57"/>
  <c r="Z149" i="57"/>
  <c r="F149" i="57" s="1"/>
  <c r="Z183" i="57"/>
  <c r="Z151" i="57"/>
  <c r="Y149" i="57"/>
  <c r="AB149" i="57"/>
  <c r="H149" i="57" s="1"/>
  <c r="Y183" i="57"/>
  <c r="AB183" i="57"/>
  <c r="M149" i="57" l="1"/>
  <c r="M186" i="57" s="1"/>
  <c r="Q202" i="57"/>
  <c r="Q201" i="57"/>
  <c r="E112" i="57"/>
  <c r="J112" i="57"/>
  <c r="F151" i="57"/>
  <c r="F188" i="57" s="1"/>
  <c r="H186" i="57"/>
  <c r="H112" i="57"/>
  <c r="F186" i="57"/>
  <c r="E186" i="57"/>
  <c r="M112" i="57" l="1"/>
  <c r="AX200" i="57" a="1"/>
  <c r="AX200" i="57" s="1"/>
  <c r="AU219" i="57" a="1"/>
  <c r="AU219" i="57" s="1"/>
  <c r="Q200" i="57"/>
  <c r="F112" i="57"/>
  <c r="H193" i="57" l="1"/>
  <c r="G68" i="57" l="1"/>
  <c r="G119" i="57" s="1"/>
  <c r="E119" i="57"/>
  <c r="H70" i="57"/>
  <c r="H69" i="57"/>
  <c r="H116" i="57" s="1"/>
  <c r="H68" i="57"/>
  <c r="H123" i="57" s="1"/>
  <c r="G70" i="57"/>
  <c r="F69" i="57"/>
  <c r="F124" i="57" s="1"/>
  <c r="F70" i="57"/>
  <c r="F68" i="57"/>
  <c r="F119" i="57" s="1"/>
  <c r="G69" i="57"/>
  <c r="G120" i="57" s="1"/>
  <c r="F67" i="57"/>
  <c r="H67" i="57"/>
  <c r="G67" i="57"/>
  <c r="E121" i="57" l="1"/>
  <c r="F120" i="57"/>
  <c r="G125" i="57"/>
  <c r="G116" i="57"/>
  <c r="F116" i="57"/>
  <c r="E120" i="57"/>
  <c r="G124" i="57"/>
  <c r="H125" i="57"/>
  <c r="E116" i="57"/>
  <c r="G121" i="57"/>
  <c r="F123" i="57"/>
  <c r="G123" i="57"/>
  <c r="F125" i="57"/>
  <c r="H120" i="57"/>
  <c r="AC67" i="57"/>
  <c r="AF67" i="57" s="1"/>
  <c r="AC70" i="57"/>
  <c r="AF70" i="57" s="1"/>
  <c r="F121" i="57"/>
  <c r="H124" i="57"/>
  <c r="F128" i="57" l="1"/>
  <c r="AF69" i="57"/>
  <c r="AF68" i="57"/>
  <c r="AF82" i="57"/>
  <c r="AF87" i="57"/>
  <c r="AF90" i="57" s="1"/>
  <c r="AF125" i="57" s="1"/>
  <c r="AF77" i="57"/>
  <c r="I70" i="57"/>
  <c r="AE70" i="57"/>
  <c r="I67" i="57"/>
  <c r="AE67" i="57"/>
  <c r="G128" i="57"/>
  <c r="H128" i="57"/>
  <c r="AD67" i="57"/>
  <c r="AC82" i="57"/>
  <c r="AC87" i="57"/>
  <c r="AC77" i="57"/>
  <c r="AC68" i="57"/>
  <c r="I68" i="57" s="1"/>
  <c r="AD70" i="57"/>
  <c r="AC69" i="57"/>
  <c r="I69" i="57" s="1"/>
  <c r="J70" i="57" l="1"/>
  <c r="K70" i="57"/>
  <c r="L70" i="57"/>
  <c r="J67" i="57"/>
  <c r="K67" i="57"/>
  <c r="L67" i="57"/>
  <c r="AF123" i="57"/>
  <c r="AF120" i="57"/>
  <c r="AF116" i="57"/>
  <c r="AF124" i="57"/>
  <c r="AE69" i="57"/>
  <c r="AE68" i="57"/>
  <c r="AE82" i="57"/>
  <c r="AE87" i="57"/>
  <c r="AE90" i="57" s="1"/>
  <c r="AE125" i="57" s="1"/>
  <c r="AE77" i="57"/>
  <c r="I116" i="57"/>
  <c r="I120" i="57"/>
  <c r="I124" i="57"/>
  <c r="I123" i="57"/>
  <c r="I257" i="57"/>
  <c r="I256" i="57"/>
  <c r="I77" i="57"/>
  <c r="AC90" i="57"/>
  <c r="AC125" i="57" s="1"/>
  <c r="I87" i="57"/>
  <c r="I90" i="57" s="1"/>
  <c r="I125" i="57" s="1"/>
  <c r="I82" i="57"/>
  <c r="AD82" i="57"/>
  <c r="AG67" i="57"/>
  <c r="M67" i="57" s="1"/>
  <c r="AD87" i="57"/>
  <c r="AD77" i="57"/>
  <c r="AD68" i="57"/>
  <c r="AG70" i="57"/>
  <c r="M70" i="57" s="1"/>
  <c r="AD69" i="57"/>
  <c r="AC123" i="57"/>
  <c r="I258" i="57"/>
  <c r="AC116" i="57"/>
  <c r="AC120" i="57"/>
  <c r="AC124" i="57"/>
  <c r="J69" i="57" l="1"/>
  <c r="J116" i="57" s="1"/>
  <c r="K69" i="57"/>
  <c r="L69" i="57"/>
  <c r="J68" i="57"/>
  <c r="J123" i="57" s="1"/>
  <c r="K68" i="57"/>
  <c r="L68" i="57"/>
  <c r="L77" i="57"/>
  <c r="K77" i="57"/>
  <c r="K87" i="57"/>
  <c r="K90" i="57" s="1"/>
  <c r="K125" i="57" s="1"/>
  <c r="L87" i="57"/>
  <c r="L90" i="57" s="1"/>
  <c r="L125" i="57" s="1"/>
  <c r="K82" i="57"/>
  <c r="L82" i="57"/>
  <c r="AF128" i="57"/>
  <c r="AF156" i="57" s="1"/>
  <c r="AE123" i="57"/>
  <c r="AE120" i="57"/>
  <c r="AE116" i="57"/>
  <c r="AE124" i="57"/>
  <c r="I128" i="57"/>
  <c r="J77" i="57"/>
  <c r="AD90" i="57"/>
  <c r="AD125" i="57" s="1"/>
  <c r="J87" i="57"/>
  <c r="J90" i="57" s="1"/>
  <c r="J125" i="57" s="1"/>
  <c r="J82" i="57"/>
  <c r="AD116" i="57"/>
  <c r="AD124" i="57"/>
  <c r="AD120" i="57"/>
  <c r="AG68" i="57"/>
  <c r="M68" i="57" s="1"/>
  <c r="AG69" i="57"/>
  <c r="M69" i="57" s="1"/>
  <c r="AD123" i="57"/>
  <c r="AC128" i="57"/>
  <c r="AC156" i="57" s="1"/>
  <c r="AG77" i="57"/>
  <c r="AG82" i="57"/>
  <c r="AG87" i="57"/>
  <c r="J120" i="57" l="1"/>
  <c r="J124" i="57"/>
  <c r="I156" i="57"/>
  <c r="I193" i="57" s="1"/>
  <c r="AC168" i="57"/>
  <c r="L156" i="57"/>
  <c r="L193" i="57" s="1"/>
  <c r="AF168" i="57"/>
  <c r="L123" i="57"/>
  <c r="K123" i="57"/>
  <c r="L116" i="57"/>
  <c r="L124" i="57"/>
  <c r="L120" i="57"/>
  <c r="K120" i="57"/>
  <c r="K116" i="57"/>
  <c r="K124" i="57"/>
  <c r="AE128" i="57"/>
  <c r="AE156" i="57" s="1"/>
  <c r="M120" i="57"/>
  <c r="M124" i="57"/>
  <c r="M116" i="57"/>
  <c r="M123" i="57"/>
  <c r="AG90" i="57"/>
  <c r="AG125" i="57" s="1"/>
  <c r="M87" i="57"/>
  <c r="M90" i="57" s="1"/>
  <c r="M125" i="57" s="1"/>
  <c r="M77" i="57"/>
  <c r="M82" i="57"/>
  <c r="AD128" i="57"/>
  <c r="AD156" i="57" s="1"/>
  <c r="AG120" i="57"/>
  <c r="AG116" i="57"/>
  <c r="AG124" i="57"/>
  <c r="AG123" i="57"/>
  <c r="J128" i="57" l="1"/>
  <c r="J156" i="57"/>
  <c r="J193" i="57" s="1"/>
  <c r="AD168" i="57"/>
  <c r="I168" i="57"/>
  <c r="K156" i="57"/>
  <c r="K193" i="57" s="1"/>
  <c r="AE168" i="57"/>
  <c r="L128" i="57"/>
  <c r="K128" i="57"/>
  <c r="M128" i="57"/>
  <c r="AG128" i="57"/>
  <c r="AG156" i="57" s="1"/>
  <c r="M156" i="57" l="1"/>
  <c r="M193" i="57" s="1"/>
  <c r="AG168" i="57"/>
  <c r="L168" i="57"/>
  <c r="J168" i="57"/>
  <c r="K168" i="57"/>
  <c r="E63" i="58"/>
  <c r="F99" i="58" s="1"/>
  <c r="E64" i="58"/>
  <c r="F78" i="58" s="1"/>
  <c r="E60" i="58"/>
  <c r="F74" i="58" s="1"/>
  <c r="E57" i="58"/>
  <c r="F71" i="58" s="1"/>
  <c r="E58" i="58"/>
  <c r="F72" i="58" s="1"/>
  <c r="E61" i="58"/>
  <c r="F75" i="58" s="1"/>
  <c r="E62" i="58"/>
  <c r="F98" i="58" s="1"/>
  <c r="Q98" i="58" l="1" a="1"/>
  <c r="Q98" i="58" s="1"/>
  <c r="Q157" i="58" s="1"/>
  <c r="Q239" i="58" s="1"/>
  <c r="Q254" i="58" s="1"/>
  <c r="G110" i="47" s="1"/>
  <c r="Q74" i="58" a="1"/>
  <c r="Q74" i="58" s="1"/>
  <c r="Q166" i="58" s="1"/>
  <c r="Q75" i="58" a="1"/>
  <c r="Q75" i="58" s="1"/>
  <c r="Q167" i="58" s="1"/>
  <c r="Q72" i="58" a="1"/>
  <c r="Q72" i="58" s="1"/>
  <c r="Q164" i="58" s="1"/>
  <c r="Q71" i="58" a="1"/>
  <c r="Q71" i="58" s="1"/>
  <c r="Q163" i="58" s="1"/>
  <c r="Q78" i="58" a="1"/>
  <c r="Q78" i="58" s="1"/>
  <c r="Q170" i="58" s="1"/>
  <c r="Q99" i="58" a="1"/>
  <c r="Q99" i="58" s="1"/>
  <c r="Q158" i="58" s="1"/>
  <c r="Q240" i="58" s="1"/>
  <c r="Q255" i="58" s="1"/>
  <c r="G116" i="47" s="1"/>
  <c r="F61" i="58"/>
  <c r="D61" i="58" s="1"/>
  <c r="E75" i="58" s="1"/>
  <c r="L75" i="58" s="1" a="1"/>
  <c r="L75" i="58" s="1"/>
  <c r="F63" i="58"/>
  <c r="D63" i="58" s="1"/>
  <c r="E99" i="58" s="1"/>
  <c r="F60" i="58"/>
  <c r="D60" i="58" s="1"/>
  <c r="E74" i="58" s="1"/>
  <c r="L74" i="58" s="1" a="1"/>
  <c r="L74" i="58" s="1"/>
  <c r="F64" i="58"/>
  <c r="D64" i="58" s="1"/>
  <c r="E78" i="58" s="1"/>
  <c r="L78" i="58" s="1" a="1"/>
  <c r="L78" i="58" s="1"/>
  <c r="F58" i="58"/>
  <c r="D58" i="58" s="1"/>
  <c r="E72" i="58" s="1"/>
  <c r="L72" i="58" s="1" a="1"/>
  <c r="L72" i="58" s="1"/>
  <c r="F57" i="58"/>
  <c r="D57" i="58" s="1"/>
  <c r="E71" i="58" s="1"/>
  <c r="L71" i="58" s="1" a="1"/>
  <c r="L71" i="58" s="1"/>
  <c r="F62" i="58"/>
  <c r="D62" i="58" s="1"/>
  <c r="E98" i="58" s="1"/>
  <c r="F86" i="58"/>
  <c r="G75" i="58"/>
  <c r="G74" i="58"/>
  <c r="F85" i="58"/>
  <c r="F89" i="58"/>
  <c r="G78" i="58"/>
  <c r="G98" i="58"/>
  <c r="G72" i="58"/>
  <c r="F83" i="58"/>
  <c r="G71" i="58"/>
  <c r="F82" i="58"/>
  <c r="G99" i="58"/>
  <c r="E56" i="58"/>
  <c r="F70" i="58" s="1"/>
  <c r="M75" i="58" l="1" a="1"/>
  <c r="M75" i="58" s="1"/>
  <c r="N75" i="58" s="1" a="1"/>
  <c r="N75" i="58" s="1"/>
  <c r="O75" i="58" s="1" a="1"/>
  <c r="O75" i="58" s="1"/>
  <c r="P75" i="58" s="1" a="1"/>
  <c r="P75" i="58" s="1"/>
  <c r="M72" i="58" a="1"/>
  <c r="M72" i="58" s="1"/>
  <c r="N72" i="58" s="1" a="1"/>
  <c r="N72" i="58" s="1"/>
  <c r="O72" i="58" s="1" a="1"/>
  <c r="O72" i="58" s="1"/>
  <c r="P72" i="58" s="1" a="1"/>
  <c r="P72" i="58" s="1"/>
  <c r="M74" i="58" a="1"/>
  <c r="M74" i="58" s="1"/>
  <c r="N74" i="58" s="1" a="1"/>
  <c r="N74" i="58" s="1"/>
  <c r="O74" i="58" s="1" a="1"/>
  <c r="O74" i="58" s="1"/>
  <c r="P74" i="58" s="1" a="1"/>
  <c r="P74" i="58" s="1"/>
  <c r="M78" i="58" a="1"/>
  <c r="M78" i="58" s="1"/>
  <c r="N78" i="58" s="1" a="1"/>
  <c r="N78" i="58" s="1"/>
  <c r="O78" i="58" s="1" a="1"/>
  <c r="O78" i="58" s="1"/>
  <c r="P78" i="58" s="1" a="1"/>
  <c r="P78" i="58" s="1"/>
  <c r="L99" i="58" a="1"/>
  <c r="L99" i="58" s="1"/>
  <c r="M99" i="58" s="1" a="1"/>
  <c r="M99" i="58" s="1"/>
  <c r="L98" i="58" a="1"/>
  <c r="L98" i="58" s="1"/>
  <c r="L157" i="58" s="1"/>
  <c r="L239" i="58" s="1"/>
  <c r="L254" i="58" s="1"/>
  <c r="M71" i="58" a="1"/>
  <c r="M71" i="58" s="1"/>
  <c r="N71" i="58" s="1" a="1"/>
  <c r="N71" i="58" s="1"/>
  <c r="O71" i="58" s="1" a="1"/>
  <c r="O71" i="58" s="1"/>
  <c r="P71" i="58" s="1" a="1"/>
  <c r="P71" i="58" s="1"/>
  <c r="Q89" i="58" a="1"/>
  <c r="Q89" i="58" s="1"/>
  <c r="R71" i="58" a="1"/>
  <c r="R71" i="58" s="1"/>
  <c r="S71" i="58" s="1" a="1"/>
  <c r="S71" i="58" s="1"/>
  <c r="T71" i="58" a="1"/>
  <c r="T71" i="58" s="1"/>
  <c r="T163" i="58" s="1"/>
  <c r="R75" i="58" a="1"/>
  <c r="R75" i="58" s="1"/>
  <c r="S75" i="58" s="1" a="1"/>
  <c r="S75" i="58" s="1"/>
  <c r="T75" i="58" a="1"/>
  <c r="T75" i="58" s="1"/>
  <c r="T167" i="58" s="1"/>
  <c r="R99" i="58" a="1"/>
  <c r="R99" i="58" s="1"/>
  <c r="S99" i="58" s="1" a="1"/>
  <c r="S99" i="58" s="1"/>
  <c r="T99" i="58" a="1"/>
  <c r="T99" i="58" s="1"/>
  <c r="T158" i="58" s="1"/>
  <c r="T240" i="58" s="1"/>
  <c r="T255" i="58" s="1"/>
  <c r="J116" i="47" s="1"/>
  <c r="Q82" i="58" a="1"/>
  <c r="Q82" i="58" s="1"/>
  <c r="Q86" i="58" a="1"/>
  <c r="Q86" i="58" s="1"/>
  <c r="Q85" i="58" a="1"/>
  <c r="Q85" i="58" s="1"/>
  <c r="R74" i="58" a="1"/>
  <c r="R74" i="58" s="1"/>
  <c r="S74" i="58" s="1" a="1"/>
  <c r="S74" i="58" s="1"/>
  <c r="T74" i="58" a="1"/>
  <c r="T74" i="58" s="1"/>
  <c r="T166" i="58" s="1"/>
  <c r="Q83" i="58" a="1"/>
  <c r="Q83" i="58" s="1"/>
  <c r="R72" i="58" a="1"/>
  <c r="R72" i="58" s="1"/>
  <c r="S72" i="58" s="1" a="1"/>
  <c r="S72" i="58" s="1"/>
  <c r="T72" i="58" a="1"/>
  <c r="T72" i="58" s="1"/>
  <c r="T164" i="58" s="1"/>
  <c r="R98" i="58" a="1"/>
  <c r="R98" i="58" s="1"/>
  <c r="S98" i="58" s="1" a="1"/>
  <c r="S98" i="58" s="1"/>
  <c r="T98" i="58" a="1"/>
  <c r="T98" i="58" s="1"/>
  <c r="T157" i="58" s="1"/>
  <c r="T239" i="58" s="1"/>
  <c r="T254" i="58" s="1"/>
  <c r="J110" i="47" s="1"/>
  <c r="Q70" i="58" a="1"/>
  <c r="Q70" i="58" s="1"/>
  <c r="Q162" i="58" s="1"/>
  <c r="R78" i="58" a="1"/>
  <c r="R78" i="58" s="1"/>
  <c r="S78" i="58" s="1" a="1"/>
  <c r="S78" i="58" s="1"/>
  <c r="T78" i="58" a="1"/>
  <c r="T78" i="58" s="1"/>
  <c r="T170" i="58" s="1"/>
  <c r="H71" i="58"/>
  <c r="H72" i="58"/>
  <c r="H78" i="58"/>
  <c r="H74" i="58"/>
  <c r="H75" i="58"/>
  <c r="H99" i="58"/>
  <c r="H98" i="58"/>
  <c r="F59" i="58"/>
  <c r="D59" i="58" s="1"/>
  <c r="E73" i="58" s="1"/>
  <c r="L73" i="58" s="1" a="1"/>
  <c r="L73" i="58" s="1"/>
  <c r="E82" i="58"/>
  <c r="E83" i="58"/>
  <c r="L83" i="58" s="1" a="1"/>
  <c r="L83" i="58" s="1"/>
  <c r="E89" i="58"/>
  <c r="L89" i="58" s="1" a="1"/>
  <c r="L89" i="58" s="1"/>
  <c r="E85" i="58"/>
  <c r="L85" i="58" s="1" a="1"/>
  <c r="L85" i="58" s="1"/>
  <c r="E86" i="58"/>
  <c r="L86" i="58" s="1" a="1"/>
  <c r="L86" i="58" s="1"/>
  <c r="F56" i="58"/>
  <c r="D56" i="58" s="1"/>
  <c r="E70" i="58" s="1"/>
  <c r="L70" i="58" s="1" a="1"/>
  <c r="L70" i="58" s="1"/>
  <c r="G70" i="58"/>
  <c r="F81" i="58"/>
  <c r="G82" i="58"/>
  <c r="F93" i="58"/>
  <c r="F100" i="58"/>
  <c r="G89" i="58"/>
  <c r="G85" i="58"/>
  <c r="F96" i="58"/>
  <c r="F97" i="58"/>
  <c r="G86" i="58"/>
  <c r="F94" i="58"/>
  <c r="G83" i="58"/>
  <c r="R158" i="58" l="1"/>
  <c r="R240" i="58" s="1"/>
  <c r="R255" i="58" s="1"/>
  <c r="H116" i="47" s="1"/>
  <c r="R157" i="58"/>
  <c r="R239" i="58" s="1"/>
  <c r="R254" i="58" s="1"/>
  <c r="H110" i="47" s="1"/>
  <c r="M85" i="58" a="1"/>
  <c r="M85" i="58" s="1"/>
  <c r="N85" i="58" s="1" a="1"/>
  <c r="N85" i="58" s="1"/>
  <c r="O85" i="58" s="1" a="1"/>
  <c r="O85" i="58" s="1"/>
  <c r="P85" i="58" s="1" a="1"/>
  <c r="P85" i="58" s="1"/>
  <c r="M70" i="58" a="1"/>
  <c r="M70" i="58" s="1"/>
  <c r="N70" i="58" s="1" a="1"/>
  <c r="N70" i="58" s="1"/>
  <c r="O70" i="58" s="1" a="1"/>
  <c r="O70" i="58" s="1"/>
  <c r="P70" i="58" s="1" a="1"/>
  <c r="P70" i="58" s="1"/>
  <c r="M98" i="58" a="1"/>
  <c r="M98" i="58" s="1"/>
  <c r="M86" i="58" a="1"/>
  <c r="M86" i="58" s="1"/>
  <c r="N86" i="58" s="1" a="1"/>
  <c r="N86" i="58" s="1"/>
  <c r="O86" i="58" s="1" a="1"/>
  <c r="O86" i="58" s="1"/>
  <c r="P86" i="58" s="1" a="1"/>
  <c r="P86" i="58" s="1"/>
  <c r="N99" i="58" a="1"/>
  <c r="N99" i="58" s="1"/>
  <c r="O99" i="58" s="1" a="1"/>
  <c r="O99" i="58" s="1"/>
  <c r="P99" i="58" s="1" a="1"/>
  <c r="P99" i="58" s="1"/>
  <c r="M158" i="58"/>
  <c r="M240" i="58" s="1"/>
  <c r="M255" i="58" s="1"/>
  <c r="M89" i="58" a="1"/>
  <c r="M89" i="58" s="1"/>
  <c r="N89" i="58" s="1" a="1"/>
  <c r="N89" i="58" s="1"/>
  <c r="O89" i="58" s="1" a="1"/>
  <c r="O89" i="58" s="1"/>
  <c r="P89" i="58" s="1" a="1"/>
  <c r="P89" i="58" s="1"/>
  <c r="L158" i="58"/>
  <c r="L240" i="58" s="1"/>
  <c r="L255" i="58" s="1"/>
  <c r="M83" i="58" a="1"/>
  <c r="M83" i="58" s="1"/>
  <c r="N83" i="58" s="1" a="1"/>
  <c r="N83" i="58" s="1"/>
  <c r="O83" i="58" s="1" a="1"/>
  <c r="O83" i="58" s="1"/>
  <c r="P83" i="58" s="1" a="1"/>
  <c r="P83" i="58" s="1"/>
  <c r="H82" i="58"/>
  <c r="AD82" i="58" s="1" a="1"/>
  <c r="AD82" i="58" s="1"/>
  <c r="L82" i="58" a="1"/>
  <c r="L82" i="58" s="1"/>
  <c r="M82" i="58" s="1" a="1"/>
  <c r="M82" i="58" s="1"/>
  <c r="N82" i="58" s="1" a="1"/>
  <c r="N82" i="58" s="1"/>
  <c r="O82" i="58" s="1" a="1"/>
  <c r="O82" i="58" s="1"/>
  <c r="P82" i="58" s="1" a="1"/>
  <c r="P82" i="58" s="1"/>
  <c r="U98" i="58" a="1"/>
  <c r="U98" i="58" s="1"/>
  <c r="V98" i="58" s="1" a="1"/>
  <c r="V98" i="58" s="1"/>
  <c r="W98" i="58" s="1" a="1"/>
  <c r="W98" i="58" s="1"/>
  <c r="X98" i="58" s="1" a="1"/>
  <c r="X98" i="58" s="1"/>
  <c r="Y98" i="58" s="1" a="1"/>
  <c r="Y98" i="58" s="1"/>
  <c r="Z98" i="58" s="1" a="1"/>
  <c r="Z98" i="58" s="1"/>
  <c r="AA98" i="58" s="1" a="1"/>
  <c r="AA98" i="58" s="1"/>
  <c r="AB98" i="58" s="1" a="1"/>
  <c r="AB98" i="58" s="1"/>
  <c r="AC98" i="58" s="1" a="1"/>
  <c r="AC98" i="58" s="1"/>
  <c r="AD98" i="58" a="1"/>
  <c r="AD98" i="58" s="1"/>
  <c r="AD157" i="58" s="1"/>
  <c r="AD239" i="58" s="1"/>
  <c r="AD254" i="58" s="1"/>
  <c r="T110" i="47" s="1"/>
  <c r="Q97" i="58" a="1"/>
  <c r="Q97" i="58" s="1"/>
  <c r="Q156" i="58" s="1"/>
  <c r="R85" i="58" a="1"/>
  <c r="R85" i="58" s="1"/>
  <c r="S85" i="58" s="1" a="1"/>
  <c r="S85" i="58" s="1"/>
  <c r="T85" i="58" a="1"/>
  <c r="T85" i="58" s="1"/>
  <c r="R89" i="58" a="1"/>
  <c r="R89" i="58" s="1"/>
  <c r="S89" i="58" s="1" a="1"/>
  <c r="S89" i="58" s="1"/>
  <c r="T89" i="58" a="1"/>
  <c r="T89" i="58" s="1"/>
  <c r="U78" i="58" a="1"/>
  <c r="U78" i="58" s="1"/>
  <c r="V78" i="58" s="1" a="1"/>
  <c r="V78" i="58" s="1"/>
  <c r="W78" i="58" s="1" a="1"/>
  <c r="W78" i="58" s="1"/>
  <c r="X78" i="58" s="1" a="1"/>
  <c r="X78" i="58" s="1"/>
  <c r="Y78" i="58" s="1" a="1"/>
  <c r="Y78" i="58" s="1"/>
  <c r="Z78" i="58" s="1" a="1"/>
  <c r="Z78" i="58" s="1"/>
  <c r="AA78" i="58" s="1" a="1"/>
  <c r="AA78" i="58" s="1"/>
  <c r="AB78" i="58" s="1" a="1"/>
  <c r="AB78" i="58" s="1"/>
  <c r="AC78" i="58" s="1" a="1"/>
  <c r="AC78" i="58" s="1"/>
  <c r="AD78" i="58" a="1"/>
  <c r="AD78" i="58" s="1"/>
  <c r="AD170" i="58" s="1"/>
  <c r="U72" i="58" a="1"/>
  <c r="U72" i="58" s="1"/>
  <c r="V72" i="58" s="1" a="1"/>
  <c r="V72" i="58" s="1"/>
  <c r="W72" i="58" s="1" a="1"/>
  <c r="W72" i="58" s="1"/>
  <c r="X72" i="58" s="1" a="1"/>
  <c r="X72" i="58" s="1"/>
  <c r="Y72" i="58" s="1" a="1"/>
  <c r="Y72" i="58" s="1"/>
  <c r="Z72" i="58" s="1" a="1"/>
  <c r="Z72" i="58" s="1"/>
  <c r="AA72" i="58" s="1" a="1"/>
  <c r="AA72" i="58" s="1"/>
  <c r="AB72" i="58" s="1" a="1"/>
  <c r="AB72" i="58" s="1"/>
  <c r="AC72" i="58" s="1" a="1"/>
  <c r="AC72" i="58" s="1"/>
  <c r="AD72" i="58" a="1"/>
  <c r="AD72" i="58" s="1"/>
  <c r="AD164" i="58" s="1"/>
  <c r="Q81" i="58" a="1"/>
  <c r="Q81" i="58" s="1"/>
  <c r="Q100" i="58" a="1"/>
  <c r="Q100" i="58" s="1"/>
  <c r="Q159" i="58" s="1"/>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AD71" i="58" a="1"/>
  <c r="AD71" i="58" s="1"/>
  <c r="AD163" i="58" s="1"/>
  <c r="U99" i="58" a="1"/>
  <c r="U99" i="58" s="1"/>
  <c r="V99" i="58" s="1" a="1"/>
  <c r="V99" i="58" s="1"/>
  <c r="W99" i="58" s="1" a="1"/>
  <c r="W99" i="58" s="1"/>
  <c r="X99" i="58" s="1" a="1"/>
  <c r="X99" i="58" s="1"/>
  <c r="Y99" i="58" s="1" a="1"/>
  <c r="Y99" i="58" s="1"/>
  <c r="Z99" i="58" s="1" a="1"/>
  <c r="Z99" i="58" s="1"/>
  <c r="AA99" i="58" s="1" a="1"/>
  <c r="AA99" i="58" s="1"/>
  <c r="AB99" i="58" s="1" a="1"/>
  <c r="AB99" i="58" s="1"/>
  <c r="AC99" i="58" s="1" a="1"/>
  <c r="AC99" i="58" s="1"/>
  <c r="AD99" i="58" a="1"/>
  <c r="AD99" i="58" s="1"/>
  <c r="AD158" i="58" s="1"/>
  <c r="AD240" i="58" s="1"/>
  <c r="AD255" i="58" s="1"/>
  <c r="T116" i="47" s="1"/>
  <c r="R70" i="58" a="1"/>
  <c r="R70" i="58" s="1"/>
  <c r="S70" i="58" s="1" a="1"/>
  <c r="S70" i="58" s="1"/>
  <c r="T70" i="58" a="1"/>
  <c r="T70" i="58" s="1"/>
  <c r="T162" i="58"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AD74" i="58" a="1"/>
  <c r="AD74" i="58" s="1"/>
  <c r="AD166" i="58" s="1"/>
  <c r="R86" i="58" a="1"/>
  <c r="R86" i="58" s="1"/>
  <c r="S86" i="58" s="1" a="1"/>
  <c r="S86" i="58" s="1"/>
  <c r="T86" i="58" a="1"/>
  <c r="T86" i="58" s="1"/>
  <c r="H70" i="58"/>
  <c r="R83" i="58" a="1"/>
  <c r="R83" i="58" s="1"/>
  <c r="S83" i="58" s="1" a="1"/>
  <c r="S83" i="58" s="1"/>
  <c r="T83" i="58" a="1"/>
  <c r="T83" i="58" s="1"/>
  <c r="Q96" i="58" a="1"/>
  <c r="Q96" i="58" s="1"/>
  <c r="Q155" i="58" s="1"/>
  <c r="U75" i="58" a="1"/>
  <c r="U75" i="58" s="1"/>
  <c r="V75" i="58" s="1" a="1"/>
  <c r="V75" i="58" s="1"/>
  <c r="W75" i="58" s="1" a="1"/>
  <c r="W75" i="58" s="1"/>
  <c r="X75" i="58" s="1" a="1"/>
  <c r="X75" i="58" s="1"/>
  <c r="Y75" i="58" s="1" a="1"/>
  <c r="Y75" i="58" s="1"/>
  <c r="Z75" i="58" s="1" a="1"/>
  <c r="Z75" i="58" s="1"/>
  <c r="AA75" i="58" s="1" a="1"/>
  <c r="AA75" i="58" s="1"/>
  <c r="AB75" i="58" s="1" a="1"/>
  <c r="AB75" i="58" s="1"/>
  <c r="AC75" i="58" s="1" a="1"/>
  <c r="AC75" i="58" s="1"/>
  <c r="AD75" i="58" a="1"/>
  <c r="AD75" i="58" s="1"/>
  <c r="AD167" i="58" s="1"/>
  <c r="H86" i="58"/>
  <c r="Q93" i="58" a="1"/>
  <c r="Q93" i="58" s="1"/>
  <c r="Q152" i="58" s="1"/>
  <c r="Q94" i="58" a="1"/>
  <c r="Q94" i="58" s="1"/>
  <c r="Q153" i="58" s="1"/>
  <c r="R82" i="58" a="1"/>
  <c r="R82" i="58" s="1"/>
  <c r="S82" i="58" s="1" a="1"/>
  <c r="S82" i="58" s="1"/>
  <c r="T82" i="58" a="1"/>
  <c r="T82" i="58" s="1"/>
  <c r="H85" i="58"/>
  <c r="H89" i="58"/>
  <c r="H83" i="58"/>
  <c r="S158" i="58"/>
  <c r="S240" i="58" s="1"/>
  <c r="S255" i="58" s="1"/>
  <c r="I116" i="47" s="1"/>
  <c r="S157" i="58"/>
  <c r="S239" i="58" s="1"/>
  <c r="S254" i="58" s="1"/>
  <c r="I110" i="47" s="1"/>
  <c r="E81" i="58"/>
  <c r="L81" i="58" s="1" a="1"/>
  <c r="L81" i="58" s="1"/>
  <c r="L167" i="58"/>
  <c r="L166" i="58"/>
  <c r="L170" i="58"/>
  <c r="L164" i="58"/>
  <c r="L163" i="58"/>
  <c r="E84" i="58"/>
  <c r="L84" i="58" s="1" a="1"/>
  <c r="L84" i="58" s="1"/>
  <c r="L165" i="58"/>
  <c r="E97" i="58"/>
  <c r="E96" i="58"/>
  <c r="E100" i="58"/>
  <c r="E94" i="58"/>
  <c r="E93" i="58"/>
  <c r="I75" i="58"/>
  <c r="J75" i="58" s="1"/>
  <c r="K75" i="58" s="1"/>
  <c r="S166" i="58"/>
  <c r="R166" i="58"/>
  <c r="I74" i="58"/>
  <c r="J74" i="58" s="1"/>
  <c r="K74" i="58" s="1"/>
  <c r="S170" i="58"/>
  <c r="R170" i="58"/>
  <c r="I78" i="58"/>
  <c r="J78" i="58" s="1"/>
  <c r="K78" i="58" s="1"/>
  <c r="G94" i="58"/>
  <c r="Q213" i="58"/>
  <c r="Q179" i="58"/>
  <c r="Q202" i="58"/>
  <c r="Q191" i="58"/>
  <c r="Q212" i="58"/>
  <c r="Q201" i="58"/>
  <c r="Q178" i="58"/>
  <c r="Q190" i="58"/>
  <c r="G100" i="58"/>
  <c r="G93" i="58"/>
  <c r="Q209" i="58"/>
  <c r="Q198" i="58"/>
  <c r="Q175" i="58"/>
  <c r="Q187" i="58"/>
  <c r="S167" i="58"/>
  <c r="R167" i="58"/>
  <c r="Q210" i="58"/>
  <c r="Q199" i="58"/>
  <c r="Q176" i="58"/>
  <c r="Q188" i="58"/>
  <c r="S163" i="58"/>
  <c r="R163" i="58"/>
  <c r="I71" i="58"/>
  <c r="J71" i="58" s="1"/>
  <c r="K71" i="58" s="1"/>
  <c r="G97" i="58"/>
  <c r="G96" i="58"/>
  <c r="Q216" i="58"/>
  <c r="Q205" i="58"/>
  <c r="Q182" i="58"/>
  <c r="Q194" i="58"/>
  <c r="I98" i="58"/>
  <c r="J98" i="58" s="1"/>
  <c r="K98" i="58" s="1"/>
  <c r="S164" i="58"/>
  <c r="R164" i="58"/>
  <c r="I72" i="58"/>
  <c r="J72" i="58" s="1"/>
  <c r="K72" i="58" s="1"/>
  <c r="I99" i="58"/>
  <c r="J99" i="58" s="1"/>
  <c r="K99" i="58" s="1"/>
  <c r="F92" i="58"/>
  <c r="G81" i="58"/>
  <c r="N158" i="58" l="1"/>
  <c r="N240" i="58" s="1"/>
  <c r="N255" i="58" s="1"/>
  <c r="U158" i="58"/>
  <c r="U240" i="58" s="1"/>
  <c r="U255" i="58" s="1"/>
  <c r="K116" i="47"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N98" i="58" a="1"/>
  <c r="N98" i="58" s="1"/>
  <c r="M157" i="58"/>
  <c r="M239" i="58" s="1"/>
  <c r="M254" i="58" s="1"/>
  <c r="L93" i="58" a="1"/>
  <c r="L93" i="58" s="1"/>
  <c r="L152" i="58" s="1"/>
  <c r="L96" i="58" a="1"/>
  <c r="L96" i="58" s="1"/>
  <c r="L155" i="58" s="1"/>
  <c r="L94" i="58" a="1"/>
  <c r="L94" i="58" s="1"/>
  <c r="L153" i="58" s="1"/>
  <c r="U157" i="58"/>
  <c r="U239" i="58" s="1"/>
  <c r="U254" i="58" s="1"/>
  <c r="K110" i="47" s="1"/>
  <c r="L100" i="58" a="1"/>
  <c r="L100" i="58" s="1"/>
  <c r="L159" i="58" s="1"/>
  <c r="L97" i="58" a="1"/>
  <c r="L97" i="58" s="1"/>
  <c r="L156" i="58" s="1"/>
  <c r="M81" i="58" a="1"/>
  <c r="M81" i="58" s="1"/>
  <c r="N81" i="58" s="1" a="1"/>
  <c r="N81" i="58" s="1"/>
  <c r="O81" i="58" s="1" a="1"/>
  <c r="O81" i="58" s="1"/>
  <c r="P81" i="58" s="1" a="1"/>
  <c r="P81" i="58" s="1"/>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AD86" i="58" a="1"/>
  <c r="AD86" i="58" s="1"/>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E98" i="58" a="1"/>
  <c r="AE98" i="58" s="1"/>
  <c r="AF98" i="58" s="1" a="1"/>
  <c r="AF98" i="58" s="1"/>
  <c r="R93" i="58" a="1"/>
  <c r="R93" i="58" s="1"/>
  <c r="S93" i="58" s="1" a="1"/>
  <c r="S93" i="58" s="1"/>
  <c r="T93" i="58" a="1"/>
  <c r="T93" i="58" s="1"/>
  <c r="T152" i="58" s="1"/>
  <c r="R94" i="58" a="1"/>
  <c r="R94" i="58" s="1"/>
  <c r="S94" i="58" s="1" a="1"/>
  <c r="S94" i="58" s="1"/>
  <c r="T94" i="58" a="1"/>
  <c r="T94" i="58" s="1"/>
  <c r="T153"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AD89" i="58" a="1"/>
  <c r="AD89" i="58" s="1"/>
  <c r="R96" i="58" a="1"/>
  <c r="R96" i="58" s="1"/>
  <c r="R155" i="58" s="1"/>
  <c r="T96" i="58" a="1"/>
  <c r="T96" i="58" s="1"/>
  <c r="T155" i="58"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AD85" i="58" a="1"/>
  <c r="AD85" i="58" s="1"/>
  <c r="R81" i="58" a="1"/>
  <c r="R81" i="58" s="1"/>
  <c r="S81" i="58" s="1" a="1"/>
  <c r="S81" i="58" s="1"/>
  <c r="T81" i="58" a="1"/>
  <c r="T81" i="58" s="1"/>
  <c r="R100" i="58" a="1"/>
  <c r="R100" i="58" s="1"/>
  <c r="S100" i="58" s="1" a="1"/>
  <c r="S100" i="58" s="1"/>
  <c r="T100" i="58" a="1"/>
  <c r="T100" i="58" s="1"/>
  <c r="T159" i="58" s="1"/>
  <c r="U70" i="58" a="1"/>
  <c r="U70" i="58" s="1"/>
  <c r="V70" i="58" s="1" a="1"/>
  <c r="V70" i="58" s="1"/>
  <c r="W70" i="58" s="1" a="1"/>
  <c r="W70" i="58" s="1"/>
  <c r="X70" i="58" s="1" a="1"/>
  <c r="X70" i="58" s="1"/>
  <c r="Y70" i="58" s="1" a="1"/>
  <c r="Y70" i="58" s="1"/>
  <c r="Z70" i="58" s="1" a="1"/>
  <c r="Z70" i="58" s="1"/>
  <c r="AA70" i="58" s="1" a="1"/>
  <c r="AA70" i="58" s="1"/>
  <c r="AB70" i="58" s="1" a="1"/>
  <c r="AB70" i="58" s="1"/>
  <c r="AC70" i="58" s="1" a="1"/>
  <c r="AC70" i="58" s="1"/>
  <c r="AD70" i="58" a="1"/>
  <c r="AD70" i="58" s="1"/>
  <c r="AD162" i="58" s="1"/>
  <c r="Q92" i="58" a="1"/>
  <c r="Q92" i="58" s="1"/>
  <c r="Q151" i="58" s="1"/>
  <c r="AE78" i="58" a="1"/>
  <c r="AE78" i="58" s="1"/>
  <c r="AE170" i="58" s="1"/>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R97" i="58" a="1"/>
  <c r="R97" i="58" s="1"/>
  <c r="S97" i="58" s="1" a="1"/>
  <c r="S97" i="58" s="1"/>
  <c r="T97" i="58" a="1"/>
  <c r="T97" i="58" s="1"/>
  <c r="T156" i="58" s="1"/>
  <c r="AE99" i="58" a="1"/>
  <c r="AE99" i="58" s="1"/>
  <c r="AE158" i="58" s="1"/>
  <c r="AE240" i="58" s="1"/>
  <c r="AE255" i="58" s="1"/>
  <c r="U116" i="47" s="1"/>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H81" i="58"/>
  <c r="Q241" i="58"/>
  <c r="Q256" i="58" s="1"/>
  <c r="G114" i="47" s="1"/>
  <c r="H94" i="58"/>
  <c r="H100" i="58"/>
  <c r="H96" i="58"/>
  <c r="H93" i="58"/>
  <c r="H97" i="58"/>
  <c r="Q234" i="58"/>
  <c r="Q249" i="58" s="1"/>
  <c r="G111" i="47" s="1"/>
  <c r="Q235" i="58"/>
  <c r="Q250" i="58" s="1"/>
  <c r="G112" i="47" s="1"/>
  <c r="L187" i="58"/>
  <c r="L198" i="58"/>
  <c r="L175" i="58"/>
  <c r="L209" i="58"/>
  <c r="L188" i="58"/>
  <c r="L199" i="58"/>
  <c r="L176" i="58"/>
  <c r="L210" i="58"/>
  <c r="L194" i="58"/>
  <c r="L205" i="58"/>
  <c r="L216" i="58"/>
  <c r="L182" i="58"/>
  <c r="L190" i="58"/>
  <c r="L201" i="58"/>
  <c r="L178" i="58"/>
  <c r="L212" i="58"/>
  <c r="L191" i="58"/>
  <c r="L202" i="58"/>
  <c r="L179" i="58"/>
  <c r="L213" i="58"/>
  <c r="M163" i="58"/>
  <c r="M164" i="58"/>
  <c r="M170" i="58"/>
  <c r="M166" i="58"/>
  <c r="M167" i="58"/>
  <c r="L162" i="58"/>
  <c r="V158" i="58"/>
  <c r="V240" i="58" s="1"/>
  <c r="V255" i="58" s="1"/>
  <c r="L116" i="47" s="1"/>
  <c r="V157" i="58"/>
  <c r="V239" i="58" s="1"/>
  <c r="V254" i="58" s="1"/>
  <c r="L110" i="47" s="1"/>
  <c r="Q228" i="58"/>
  <c r="Q266" i="58" s="1"/>
  <c r="G123" i="47" s="1"/>
  <c r="E95" i="58"/>
  <c r="E92" i="58"/>
  <c r="Q222" i="58"/>
  <c r="Q260" i="58" s="1"/>
  <c r="G121" i="47" s="1"/>
  <c r="Q224" i="58"/>
  <c r="Q262" i="58" s="1"/>
  <c r="G124" i="47" s="1"/>
  <c r="Q225" i="58"/>
  <c r="Q263" i="58" s="1"/>
  <c r="G126" i="47" s="1"/>
  <c r="S162" i="58"/>
  <c r="R162" i="58"/>
  <c r="I70" i="58"/>
  <c r="J70" i="58" s="1"/>
  <c r="K70" i="58" s="1"/>
  <c r="Q208" i="58"/>
  <c r="Q197" i="58"/>
  <c r="Q174" i="58"/>
  <c r="Q186" i="58"/>
  <c r="T209" i="58"/>
  <c r="T187" i="58"/>
  <c r="T175" i="58"/>
  <c r="T198" i="58"/>
  <c r="R198" i="58"/>
  <c r="R175" i="58"/>
  <c r="R209" i="58"/>
  <c r="R187" i="58"/>
  <c r="U164" i="58"/>
  <c r="I85" i="58"/>
  <c r="J85" i="58" s="1"/>
  <c r="K85" i="58" s="1"/>
  <c r="R179" i="58"/>
  <c r="R213" i="58"/>
  <c r="R202" i="58"/>
  <c r="R191" i="58"/>
  <c r="I86" i="58"/>
  <c r="J86" i="58" s="1"/>
  <c r="K86" i="58" s="1"/>
  <c r="U163" i="58"/>
  <c r="Q221" i="58"/>
  <c r="Q259" i="58" s="1"/>
  <c r="G120" i="47" s="1"/>
  <c r="R205" i="58"/>
  <c r="R216" i="58"/>
  <c r="R182" i="58"/>
  <c r="R194" i="58"/>
  <c r="I89" i="58"/>
  <c r="J89" i="58" s="1"/>
  <c r="K89" i="58" s="1"/>
  <c r="Q237" i="58"/>
  <c r="Q252" i="58" s="1"/>
  <c r="G115" i="47" s="1"/>
  <c r="I83" i="58"/>
  <c r="J83" i="58" s="1"/>
  <c r="K83" i="58" s="1"/>
  <c r="G92" i="58"/>
  <c r="I82" i="58"/>
  <c r="J82" i="58" s="1"/>
  <c r="K82" i="58" s="1"/>
  <c r="T178" i="58"/>
  <c r="T212" i="58"/>
  <c r="T190" i="58"/>
  <c r="T201" i="58"/>
  <c r="R178" i="58"/>
  <c r="R212" i="58"/>
  <c r="R201" i="58"/>
  <c r="R190" i="58"/>
  <c r="T179" i="58"/>
  <c r="T213" i="58"/>
  <c r="T191" i="58"/>
  <c r="T202" i="58"/>
  <c r="T182" i="58"/>
  <c r="T194" i="58"/>
  <c r="T205" i="58"/>
  <c r="T216" i="58"/>
  <c r="Q238" i="58"/>
  <c r="Q253" i="58" s="1"/>
  <c r="G117" i="47" s="1"/>
  <c r="T199" i="58"/>
  <c r="T176" i="58"/>
  <c r="T210" i="58"/>
  <c r="T188" i="58"/>
  <c r="R199" i="58"/>
  <c r="R176" i="58"/>
  <c r="R210" i="58"/>
  <c r="R188" i="58"/>
  <c r="U170" i="58"/>
  <c r="U166" i="58"/>
  <c r="U167" i="58"/>
  <c r="AO75" i="58" l="1" a="1"/>
  <c r="AO75" i="58" s="1"/>
  <c r="AO71" i="58" a="1"/>
  <c r="AO71" i="58" s="1"/>
  <c r="AO72" i="58" a="1"/>
  <c r="AO72" i="58" s="1"/>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E164" i="58"/>
  <c r="R156" i="58"/>
  <c r="R238" i="58" s="1"/>
  <c r="R253" i="58" s="1"/>
  <c r="H117" i="47" s="1"/>
  <c r="AE167" i="58"/>
  <c r="M100" i="58" a="1"/>
  <c r="M100" i="58" s="1"/>
  <c r="N100" i="58" s="1" a="1"/>
  <c r="N100" i="58" s="1"/>
  <c r="O100" i="58" s="1" a="1"/>
  <c r="O100" i="58" s="1"/>
  <c r="P100" i="58" s="1" a="1"/>
  <c r="P100" i="58" s="1"/>
  <c r="AE163" i="58"/>
  <c r="R159" i="58"/>
  <c r="R241" i="58" s="1"/>
  <c r="R256" i="58" s="1"/>
  <c r="H114" i="47" s="1"/>
  <c r="M94" i="58" a="1"/>
  <c r="M94" i="58" s="1"/>
  <c r="N94" i="58" s="1" a="1"/>
  <c r="N94" i="58" s="1"/>
  <c r="O94" i="58" s="1" a="1"/>
  <c r="O94" i="58" s="1"/>
  <c r="P94" i="58" s="1" a="1"/>
  <c r="P94" i="58" s="1"/>
  <c r="M93" i="58" a="1"/>
  <c r="M93" i="58" s="1"/>
  <c r="AF78" i="58"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M96" i="58" a="1"/>
  <c r="M96" i="58" s="1"/>
  <c r="M155" i="58" s="1"/>
  <c r="L241" i="58"/>
  <c r="L256" i="58" s="1"/>
  <c r="AF99" i="58"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M97" i="58" a="1"/>
  <c r="M97" i="58" s="1"/>
  <c r="N97" i="58" s="1" a="1"/>
  <c r="N97" i="58" s="1"/>
  <c r="O97" i="58" s="1" a="1"/>
  <c r="O97" i="58" s="1"/>
  <c r="P97" i="58" s="1" a="1"/>
  <c r="P97" i="58" s="1"/>
  <c r="O98" i="58" a="1"/>
  <c r="O98" i="58" s="1"/>
  <c r="P98" i="58" s="1" a="1"/>
  <c r="P98" i="58" s="1"/>
  <c r="P157" i="58" s="1"/>
  <c r="P239" i="58" s="1"/>
  <c r="P254" i="58" s="1"/>
  <c r="N157" i="58"/>
  <c r="N239" i="58" s="1"/>
  <c r="N254" i="58" s="1"/>
  <c r="R152" i="58"/>
  <c r="R234" i="58" s="1"/>
  <c r="R249" i="58" s="1"/>
  <c r="H111" i="47" s="1"/>
  <c r="L92" i="58" a="1"/>
  <c r="L92" i="58" s="1"/>
  <c r="M92" i="58" s="1" a="1"/>
  <c r="M92" i="58" s="1"/>
  <c r="L235" i="58"/>
  <c r="L250" i="58" s="1"/>
  <c r="L95" i="58" a="1"/>
  <c r="L95" i="58" s="1"/>
  <c r="L154" i="58" s="1"/>
  <c r="L238" i="58"/>
  <c r="L253" i="58" s="1"/>
  <c r="L237" i="58"/>
  <c r="L252" i="58" s="1"/>
  <c r="L234" i="58"/>
  <c r="L249" i="58" s="1"/>
  <c r="AE166" i="58"/>
  <c r="AG98" i="58" a="1"/>
  <c r="AG98" i="58" s="1"/>
  <c r="AH98" i="58" s="1" a="1"/>
  <c r="AH98" i="58" s="1"/>
  <c r="AI98" i="58" s="1" a="1"/>
  <c r="AI98" i="58" s="1"/>
  <c r="AJ98" i="58" s="1" a="1"/>
  <c r="AJ98" i="58" s="1"/>
  <c r="AK98" i="58" s="1" a="1"/>
  <c r="AK98" i="58" s="1"/>
  <c r="AL98" i="58" s="1" a="1"/>
  <c r="AL98" i="58" s="1"/>
  <c r="AM98" i="58" s="1" a="1"/>
  <c r="AM98" i="58" s="1"/>
  <c r="AN98" i="58" s="1" a="1"/>
  <c r="AN98" i="58" s="1"/>
  <c r="AF157" i="58"/>
  <c r="AF239" i="58" s="1"/>
  <c r="AF254" i="58" s="1"/>
  <c r="V110" i="47" s="1"/>
  <c r="AE157" i="58"/>
  <c r="AE239" i="58" s="1"/>
  <c r="AE254" i="58" s="1"/>
  <c r="U110" i="47" s="1"/>
  <c r="R153" i="58"/>
  <c r="R235" i="58" s="1"/>
  <c r="R250" i="58" s="1"/>
  <c r="H112" i="47"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E70" i="58" a="1"/>
  <c r="AE70" i="58" s="1"/>
  <c r="AF70" i="58" s="1" a="1"/>
  <c r="AF70" i="58" s="1"/>
  <c r="S96" i="58" a="1"/>
  <c r="S96" i="58" s="1"/>
  <c r="S155" i="58" s="1"/>
  <c r="U97" i="58" a="1"/>
  <c r="U97" i="58" s="1"/>
  <c r="V97" i="58" s="1" a="1"/>
  <c r="V97" i="58" s="1"/>
  <c r="W97" i="58" s="1" a="1"/>
  <c r="W97" i="58" s="1"/>
  <c r="X97" i="58" s="1" a="1"/>
  <c r="X97" i="58" s="1"/>
  <c r="Y97" i="58" s="1" a="1"/>
  <c r="Y97" i="58" s="1"/>
  <c r="Z97" i="58" s="1" a="1"/>
  <c r="Z97" i="58" s="1"/>
  <c r="AA97" i="58" s="1" a="1"/>
  <c r="AA97" i="58" s="1"/>
  <c r="AB97" i="58" s="1" a="1"/>
  <c r="AB97" i="58" s="1"/>
  <c r="AC97" i="58" s="1" a="1"/>
  <c r="AC97" i="58" s="1"/>
  <c r="AD97" i="58" a="1"/>
  <c r="AD97" i="58" s="1"/>
  <c r="AD156" i="58" s="1"/>
  <c r="U93" i="58" a="1"/>
  <c r="U93" i="58" s="1"/>
  <c r="V93" i="58" s="1" a="1"/>
  <c r="V93" i="58" s="1"/>
  <c r="W93" i="58" s="1" a="1"/>
  <c r="W93" i="58" s="1"/>
  <c r="X93" i="58" s="1" a="1"/>
  <c r="X93" i="58" s="1"/>
  <c r="Y93" i="58" s="1" a="1"/>
  <c r="Y93" i="58" s="1"/>
  <c r="Z93" i="58" s="1" a="1"/>
  <c r="Z93" i="58" s="1"/>
  <c r="AA93" i="58" s="1" a="1"/>
  <c r="AA93" i="58" s="1"/>
  <c r="AB93" i="58" s="1" a="1"/>
  <c r="AB93" i="58" s="1"/>
  <c r="AC93" i="58" s="1" a="1"/>
  <c r="AC93" i="58" s="1"/>
  <c r="AD93" i="58" a="1"/>
  <c r="AD93" i="58" s="1"/>
  <c r="AD152" i="58" s="1"/>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AD81" i="58" a="1"/>
  <c r="AD81" i="58" s="1"/>
  <c r="R92" i="58" a="1"/>
  <c r="R92" i="58" s="1"/>
  <c r="R151" i="58" s="1"/>
  <c r="T92" i="58" a="1"/>
  <c r="T92" i="58" s="1"/>
  <c r="T151"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U96" i="58" a="1"/>
  <c r="U96" i="58" s="1"/>
  <c r="V96" i="58" s="1" a="1"/>
  <c r="V96" i="58" s="1"/>
  <c r="W96" i="58" s="1" a="1"/>
  <c r="W96" i="58" s="1"/>
  <c r="X96" i="58" s="1" a="1"/>
  <c r="X96" i="58" s="1"/>
  <c r="Y96" i="58" s="1" a="1"/>
  <c r="Y96" i="58" s="1"/>
  <c r="Z96" i="58" s="1" a="1"/>
  <c r="Z96" i="58" s="1"/>
  <c r="AA96" i="58" s="1" a="1"/>
  <c r="AA96" i="58" s="1"/>
  <c r="AB96" i="58" s="1" a="1"/>
  <c r="AB96" i="58" s="1"/>
  <c r="AC96" i="58" s="1" a="1"/>
  <c r="AC96" i="58" s="1"/>
  <c r="AD96" i="58" a="1"/>
  <c r="AD96" i="58" s="1"/>
  <c r="AD155"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T235" i="58"/>
  <c r="T250" i="58" s="1"/>
  <c r="J112" i="47" s="1"/>
  <c r="U100" i="58" a="1"/>
  <c r="U100" i="58" s="1"/>
  <c r="V100" i="58" s="1" a="1"/>
  <c r="V100" i="58" s="1"/>
  <c r="W100" i="58" s="1" a="1"/>
  <c r="W100" i="58" s="1"/>
  <c r="X100" i="58" s="1" a="1"/>
  <c r="X100" i="58" s="1"/>
  <c r="Y100" i="58" s="1" a="1"/>
  <c r="Y100" i="58" s="1"/>
  <c r="Z100" i="58" s="1" a="1"/>
  <c r="Z100" i="58" s="1"/>
  <c r="AA100" i="58" s="1" a="1"/>
  <c r="AA100" i="58" s="1"/>
  <c r="AB100" i="58" s="1" a="1"/>
  <c r="AB100" i="58" s="1"/>
  <c r="AC100" i="58" s="1" a="1"/>
  <c r="AC100" i="58" s="1"/>
  <c r="AD100" i="58" a="1"/>
  <c r="AD100" i="58" s="1"/>
  <c r="AD159"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U94" i="58" a="1"/>
  <c r="U94" i="58" s="1"/>
  <c r="V94" i="58" s="1" a="1"/>
  <c r="V94" i="58" s="1"/>
  <c r="W94" i="58" s="1" a="1"/>
  <c r="W94" i="58" s="1"/>
  <c r="X94" i="58" s="1" a="1"/>
  <c r="X94" i="58" s="1"/>
  <c r="Y94" i="58" s="1" a="1"/>
  <c r="Y94" i="58" s="1"/>
  <c r="Z94" i="58" s="1" a="1"/>
  <c r="Z94" i="58" s="1"/>
  <c r="AA94" i="58" s="1" a="1"/>
  <c r="AA94" i="58" s="1"/>
  <c r="AB94" i="58" s="1" a="1"/>
  <c r="AB94" i="58" s="1"/>
  <c r="AC94" i="58" s="1" a="1"/>
  <c r="AC94" i="58" s="1"/>
  <c r="AD94" i="58" a="1"/>
  <c r="AD94" i="58" s="1"/>
  <c r="AD153" i="58" s="1"/>
  <c r="T241" i="58"/>
  <c r="T256" i="58" s="1"/>
  <c r="J114" i="47" s="1"/>
  <c r="T237" i="58"/>
  <c r="T252" i="58" s="1"/>
  <c r="J115" i="47" s="1"/>
  <c r="P158" i="58"/>
  <c r="P240" i="58" s="1"/>
  <c r="P255" i="58" s="1"/>
  <c r="O158" i="58"/>
  <c r="O240" i="58" s="1"/>
  <c r="O255" i="58" s="1"/>
  <c r="W157" i="58"/>
  <c r="W239" i="58" s="1"/>
  <c r="W254" i="58" s="1"/>
  <c r="M110" i="47" s="1"/>
  <c r="H92" i="58"/>
  <c r="S153" i="58"/>
  <c r="S156" i="58"/>
  <c r="Q220" i="58"/>
  <c r="Q258" i="58" s="1"/>
  <c r="G118" i="47" s="1"/>
  <c r="L225" i="58"/>
  <c r="L263" i="58" s="1"/>
  <c r="L221" i="58"/>
  <c r="L259" i="58" s="1"/>
  <c r="R222" i="58"/>
  <c r="R260" i="58" s="1"/>
  <c r="H121" i="47" s="1"/>
  <c r="M201" i="58"/>
  <c r="M212" i="58"/>
  <c r="M178" i="58"/>
  <c r="M190" i="58"/>
  <c r="M188" i="58"/>
  <c r="M210" i="58"/>
  <c r="M199" i="58"/>
  <c r="M176" i="58"/>
  <c r="R237" i="58"/>
  <c r="R252" i="58" s="1"/>
  <c r="H115" i="47" s="1"/>
  <c r="R225" i="58"/>
  <c r="R263" i="58" s="1"/>
  <c r="H126" i="47" s="1"/>
  <c r="L186" i="58"/>
  <c r="L197" i="58"/>
  <c r="L174" i="58"/>
  <c r="L208" i="58"/>
  <c r="L189" i="58"/>
  <c r="L211" i="58"/>
  <c r="L200" i="58"/>
  <c r="L177" i="58"/>
  <c r="M162" i="58"/>
  <c r="N167" i="58"/>
  <c r="N166" i="58"/>
  <c r="N170" i="58"/>
  <c r="N164" i="58"/>
  <c r="N163" i="58"/>
  <c r="M213" i="58"/>
  <c r="M179" i="58"/>
  <c r="M191" i="58"/>
  <c r="M202" i="58"/>
  <c r="L224" i="58"/>
  <c r="L262" i="58" s="1"/>
  <c r="M216" i="58"/>
  <c r="M182" i="58"/>
  <c r="M194" i="58"/>
  <c r="M205" i="58"/>
  <c r="L228" i="58"/>
  <c r="L266" i="58" s="1"/>
  <c r="L222" i="58"/>
  <c r="L260" i="58" s="1"/>
  <c r="M187" i="58"/>
  <c r="M175" i="58"/>
  <c r="M198" i="58"/>
  <c r="M209" i="58"/>
  <c r="W158" i="58"/>
  <c r="W240" i="58" s="1"/>
  <c r="W255" i="58" s="1"/>
  <c r="M116" i="47" s="1"/>
  <c r="AF166" i="58"/>
  <c r="R228" i="58"/>
  <c r="R266" i="58" s="1"/>
  <c r="H123" i="47" s="1"/>
  <c r="V170" i="58"/>
  <c r="T222" i="58"/>
  <c r="T260" i="58" s="1"/>
  <c r="J121" i="47" s="1"/>
  <c r="T228" i="58"/>
  <c r="T266" i="58" s="1"/>
  <c r="J123" i="47" s="1"/>
  <c r="S159" i="58"/>
  <c r="S152" i="58"/>
  <c r="I93" i="58"/>
  <c r="J93" i="58" s="1"/>
  <c r="K93" i="58" s="1"/>
  <c r="T225" i="58"/>
  <c r="T263" i="58" s="1"/>
  <c r="J126" i="47" s="1"/>
  <c r="T238" i="58"/>
  <c r="T253" i="58" s="1"/>
  <c r="J117" i="47" s="1"/>
  <c r="I97" i="58"/>
  <c r="J97" i="58" s="1"/>
  <c r="K97" i="58" s="1"/>
  <c r="R224" i="58"/>
  <c r="R262" i="58" s="1"/>
  <c r="H124" i="47" s="1"/>
  <c r="S201" i="58"/>
  <c r="S190" i="58"/>
  <c r="S212" i="58"/>
  <c r="S178" i="58"/>
  <c r="T224" i="58"/>
  <c r="T262" i="58" s="1"/>
  <c r="J124" i="47" s="1"/>
  <c r="U209" i="58"/>
  <c r="U175" i="58"/>
  <c r="U187" i="58"/>
  <c r="U198" i="58"/>
  <c r="I81" i="58"/>
  <c r="J81" i="58" s="1"/>
  <c r="K81" i="58" s="1"/>
  <c r="U210" i="58"/>
  <c r="U188" i="58"/>
  <c r="U199" i="58"/>
  <c r="U176" i="58"/>
  <c r="I94" i="58"/>
  <c r="J94" i="58" s="1"/>
  <c r="K94" i="58" s="1"/>
  <c r="U216" i="58"/>
  <c r="U182" i="58"/>
  <c r="U194" i="58"/>
  <c r="U205" i="58"/>
  <c r="U179" i="58"/>
  <c r="U202" i="58"/>
  <c r="U213" i="58"/>
  <c r="U191" i="58"/>
  <c r="V164" i="58"/>
  <c r="R221" i="58"/>
  <c r="R259" i="58" s="1"/>
  <c r="H120" i="47" s="1"/>
  <c r="S187" i="58"/>
  <c r="S198" i="58"/>
  <c r="S209" i="58"/>
  <c r="S175" i="58"/>
  <c r="T234" i="58"/>
  <c r="T249" i="58" s="1"/>
  <c r="J111" i="47" s="1"/>
  <c r="Q233" i="58"/>
  <c r="Q248" i="58" s="1"/>
  <c r="G109" i="47" s="1"/>
  <c r="U162" i="58"/>
  <c r="V167" i="58"/>
  <c r="V166" i="58"/>
  <c r="S199" i="58"/>
  <c r="S188" i="58"/>
  <c r="S210" i="58"/>
  <c r="S176" i="58"/>
  <c r="I100" i="58"/>
  <c r="J100" i="58" s="1"/>
  <c r="K100" i="58" s="1"/>
  <c r="AD187" i="58"/>
  <c r="AD209" i="58"/>
  <c r="AD175" i="58"/>
  <c r="AD198" i="58"/>
  <c r="T208" i="58"/>
  <c r="T197" i="58"/>
  <c r="T174" i="58"/>
  <c r="T186" i="58"/>
  <c r="R174" i="58"/>
  <c r="R197" i="58"/>
  <c r="R208" i="58"/>
  <c r="R186" i="58"/>
  <c r="AF167" i="58"/>
  <c r="AD199" i="58"/>
  <c r="AD176" i="58"/>
  <c r="AD188" i="58"/>
  <c r="AD210" i="58"/>
  <c r="AD194" i="58"/>
  <c r="AD216" i="58"/>
  <c r="AD205" i="58"/>
  <c r="AD182" i="58"/>
  <c r="S194" i="58"/>
  <c r="S216" i="58"/>
  <c r="S205" i="58"/>
  <c r="S182" i="58"/>
  <c r="AF163" i="58"/>
  <c r="V163" i="58"/>
  <c r="AD202" i="58"/>
  <c r="AD191" i="58"/>
  <c r="AD213" i="58"/>
  <c r="AD179" i="58"/>
  <c r="S202" i="58"/>
  <c r="S213" i="58"/>
  <c r="S191" i="58"/>
  <c r="S179" i="58"/>
  <c r="I96" i="58"/>
  <c r="J96" i="58" s="1"/>
  <c r="K96" i="58" s="1"/>
  <c r="AD212" i="58"/>
  <c r="AD201" i="58"/>
  <c r="AD190" i="58"/>
  <c r="AD178" i="58"/>
  <c r="U212" i="58"/>
  <c r="U190" i="58"/>
  <c r="U178" i="58"/>
  <c r="U201" i="58"/>
  <c r="T221" i="58"/>
  <c r="T259" i="58" s="1"/>
  <c r="J120" i="47" s="1"/>
  <c r="AZ74" i="58" l="1" a="1"/>
  <c r="AZ74" i="58" s="1"/>
  <c r="AY166" i="58"/>
  <c r="AP72" i="58" a="1"/>
  <c r="AP72" i="58" s="1"/>
  <c r="AP71" i="58"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P75" i="58" a="1"/>
  <c r="AP75" i="58" s="1"/>
  <c r="AX166" i="58"/>
  <c r="AO86" i="58" a="1"/>
  <c r="AO86" i="58" s="1"/>
  <c r="AO85" i="58" a="1"/>
  <c r="AO85" i="58" s="1"/>
  <c r="AO98" i="58" a="1"/>
  <c r="AO98" i="58" s="1"/>
  <c r="AO99" i="58" a="1"/>
  <c r="AO99" i="58" s="1"/>
  <c r="AO83" i="58" a="1"/>
  <c r="AO83" i="58" s="1"/>
  <c r="AO82" i="58" a="1"/>
  <c r="AO82" i="58" s="1"/>
  <c r="AO78" i="58" a="1"/>
  <c r="AO78" i="58" s="1"/>
  <c r="AO89" i="58" a="1"/>
  <c r="AO89" i="58" s="1"/>
  <c r="N159" i="58"/>
  <c r="M159" i="58"/>
  <c r="M241" i="58" s="1"/>
  <c r="M256" i="58" s="1"/>
  <c r="N153" i="58"/>
  <c r="O153" i="58"/>
  <c r="M237" i="58"/>
  <c r="M252" i="58" s="1"/>
  <c r="AG157" i="58"/>
  <c r="AG239" i="58" s="1"/>
  <c r="AG254" i="58" s="1"/>
  <c r="W110" i="47" s="1"/>
  <c r="AF158" i="58"/>
  <c r="AF240" i="58" s="1"/>
  <c r="AF255" i="58" s="1"/>
  <c r="V116" i="47" s="1"/>
  <c r="U155" i="58"/>
  <c r="U237" i="58" s="1"/>
  <c r="U252" i="58" s="1"/>
  <c r="K115" i="47" s="1"/>
  <c r="M156" i="58"/>
  <c r="M238" i="58" s="1"/>
  <c r="M253" i="58" s="1"/>
  <c r="O157" i="58"/>
  <c r="O239" i="58" s="1"/>
  <c r="O254" i="58" s="1"/>
  <c r="M153" i="58"/>
  <c r="M235" i="58" s="1"/>
  <c r="M250" i="58" s="1"/>
  <c r="N93" i="58" a="1"/>
  <c r="N93" i="58" s="1"/>
  <c r="M152" i="58"/>
  <c r="M234" i="58" s="1"/>
  <c r="M249" i="58" s="1"/>
  <c r="U153" i="58"/>
  <c r="U235" i="58" s="1"/>
  <c r="U250" i="58" s="1"/>
  <c r="K112" i="47" s="1"/>
  <c r="U159" i="58"/>
  <c r="U241" i="58" s="1"/>
  <c r="U256" i="58" s="1"/>
  <c r="K114" i="47" s="1"/>
  <c r="N96" i="58" a="1"/>
  <c r="N96" i="58" s="1"/>
  <c r="U156" i="58"/>
  <c r="U238" i="58" s="1"/>
  <c r="U253" i="58" s="1"/>
  <c r="K117" i="47" s="1"/>
  <c r="U152" i="58"/>
  <c r="U234" i="58" s="1"/>
  <c r="U249" i="58" s="1"/>
  <c r="K111" i="47" s="1"/>
  <c r="M151" i="58"/>
  <c r="N92" i="58" a="1"/>
  <c r="N92" i="58" s="1"/>
  <c r="S92" i="58" a="1"/>
  <c r="S92" i="58" s="1"/>
  <c r="S151" i="58" s="1"/>
  <c r="L236" i="58"/>
  <c r="L251" i="58" s="1"/>
  <c r="L151" i="58"/>
  <c r="L233" i="58" s="1"/>
  <c r="L248" i="58" s="1"/>
  <c r="AE162" i="58"/>
  <c r="AG70" i="58"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F162" i="58"/>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E97" i="58"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U92" i="58" a="1"/>
  <c r="U92" i="58" s="1"/>
  <c r="V92" i="58" s="1" a="1"/>
  <c r="V92" i="58" s="1"/>
  <c r="W92" i="58" s="1" a="1"/>
  <c r="W92" i="58" s="1"/>
  <c r="X92" i="58" s="1" a="1"/>
  <c r="X92" i="58" s="1"/>
  <c r="Y92" i="58" s="1" a="1"/>
  <c r="Y92" i="58" s="1"/>
  <c r="Z92" i="58" s="1" a="1"/>
  <c r="Z92" i="58" s="1"/>
  <c r="AA92" i="58" s="1" a="1"/>
  <c r="AA92" i="58" s="1"/>
  <c r="AB92" i="58" s="1" a="1"/>
  <c r="AB92" i="58" s="1"/>
  <c r="AC92" i="58" s="1" a="1"/>
  <c r="AC92" i="58" s="1"/>
  <c r="AD92" i="58" a="1"/>
  <c r="AD92" i="58" s="1"/>
  <c r="AD151" i="58" s="1"/>
  <c r="AE96" i="58"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E93" i="58"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S237" i="58"/>
  <c r="S252" i="58" s="1"/>
  <c r="I115" i="47" s="1"/>
  <c r="T233" i="58"/>
  <c r="T248" i="58" s="1"/>
  <c r="J109" i="47" s="1"/>
  <c r="AE94" i="58"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E100" i="58" a="1"/>
  <c r="AE100" i="58" s="1"/>
  <c r="AF100" i="58" s="1" a="1"/>
  <c r="AF100" i="58" s="1"/>
  <c r="S238" i="58"/>
  <c r="S253" i="58" s="1"/>
  <c r="I117" i="47" s="1"/>
  <c r="P153" i="58"/>
  <c r="N156" i="58"/>
  <c r="AG158" i="58"/>
  <c r="AG240" i="58" s="1"/>
  <c r="AG255" i="58" s="1"/>
  <c r="W116" i="47" s="1"/>
  <c r="AD238" i="58"/>
  <c r="AD253" i="58" s="1"/>
  <c r="T117" i="47" s="1"/>
  <c r="S241" i="58"/>
  <c r="S256" i="58" s="1"/>
  <c r="I114" i="47" s="1"/>
  <c r="S235" i="58"/>
  <c r="S250" i="58" s="1"/>
  <c r="I112" i="47" s="1"/>
  <c r="AD234" i="58"/>
  <c r="AD249" i="58" s="1"/>
  <c r="T111" i="47" s="1"/>
  <c r="M225" i="58"/>
  <c r="M263" i="58" s="1"/>
  <c r="M228" i="58"/>
  <c r="M266" i="58" s="1"/>
  <c r="AD224" i="58"/>
  <c r="AD262" i="58" s="1"/>
  <c r="T124" i="47" s="1"/>
  <c r="AD235" i="58"/>
  <c r="AD250" i="58" s="1"/>
  <c r="T112" i="47" s="1"/>
  <c r="AD221" i="58"/>
  <c r="AD259" i="58" s="1"/>
  <c r="T120" i="47" s="1"/>
  <c r="V159" i="58"/>
  <c r="S222" i="58"/>
  <c r="S260" i="58" s="1"/>
  <c r="I121" i="47" s="1"/>
  <c r="S234" i="58"/>
  <c r="S249" i="58" s="1"/>
  <c r="I111" i="47" s="1"/>
  <c r="U228" i="58"/>
  <c r="U266" i="58" s="1"/>
  <c r="K123" i="47" s="1"/>
  <c r="M221" i="58"/>
  <c r="M259" i="58" s="1"/>
  <c r="N182" i="58"/>
  <c r="N216" i="58"/>
  <c r="N194" i="58"/>
  <c r="N205" i="58"/>
  <c r="N213" i="58"/>
  <c r="N191" i="58"/>
  <c r="N179" i="58"/>
  <c r="N202" i="58"/>
  <c r="L223" i="58"/>
  <c r="L261" i="58" s="1"/>
  <c r="L220" i="58"/>
  <c r="M222" i="58"/>
  <c r="M260" i="58" s="1"/>
  <c r="M224" i="58"/>
  <c r="M262" i="58" s="1"/>
  <c r="N190" i="58"/>
  <c r="N178" i="58"/>
  <c r="N201" i="58"/>
  <c r="N212" i="58"/>
  <c r="N175" i="58"/>
  <c r="N198" i="58"/>
  <c r="N209" i="58"/>
  <c r="N187" i="58"/>
  <c r="P163" i="58"/>
  <c r="O163" i="58"/>
  <c r="O164" i="58"/>
  <c r="P164" i="58"/>
  <c r="P170" i="58"/>
  <c r="O170" i="58"/>
  <c r="P166" i="58"/>
  <c r="O166" i="58"/>
  <c r="O167" i="58"/>
  <c r="P167" i="58"/>
  <c r="N162" i="58"/>
  <c r="M208" i="58"/>
  <c r="M197" i="58"/>
  <c r="M186" i="58"/>
  <c r="M174" i="58"/>
  <c r="N210" i="58"/>
  <c r="N176" i="58"/>
  <c r="N188" i="58"/>
  <c r="N199" i="58"/>
  <c r="V152" i="58"/>
  <c r="X158" i="58"/>
  <c r="X240" i="58" s="1"/>
  <c r="X255" i="58" s="1"/>
  <c r="N116" i="47" s="1"/>
  <c r="AD237" i="58"/>
  <c r="AD252" i="58" s="1"/>
  <c r="T115" i="47" s="1"/>
  <c r="V155" i="58"/>
  <c r="AD225" i="58"/>
  <c r="AD263" i="58" s="1"/>
  <c r="T126" i="47" s="1"/>
  <c r="AD222" i="58"/>
  <c r="AD260" i="58" s="1"/>
  <c r="T121" i="47" s="1"/>
  <c r="R220" i="58"/>
  <c r="R258" i="58" s="1"/>
  <c r="H118" i="47" s="1"/>
  <c r="AH158" i="58"/>
  <c r="AH240" i="58" s="1"/>
  <c r="AH255" i="58" s="1"/>
  <c r="X116" i="47" s="1"/>
  <c r="U224" i="58"/>
  <c r="U262" i="58" s="1"/>
  <c r="K124" i="47" s="1"/>
  <c r="V201" i="58"/>
  <c r="V190" i="58"/>
  <c r="V178" i="58"/>
  <c r="V212" i="58"/>
  <c r="W163" i="58"/>
  <c r="S228" i="58"/>
  <c r="S266" i="58" s="1"/>
  <c r="I123" i="47" s="1"/>
  <c r="AD228" i="58"/>
  <c r="AD266" i="58" s="1"/>
  <c r="T123" i="47" s="1"/>
  <c r="AG166" i="58"/>
  <c r="AG167" i="58"/>
  <c r="S197" i="58"/>
  <c r="S208" i="58"/>
  <c r="S186" i="58"/>
  <c r="S174" i="58"/>
  <c r="I92" i="58"/>
  <c r="J92" i="58" s="1"/>
  <c r="K92" i="58" s="1"/>
  <c r="W166" i="58"/>
  <c r="W167" i="58"/>
  <c r="V162" i="58"/>
  <c r="W164" i="58"/>
  <c r="X157" i="58"/>
  <c r="X239" i="58" s="1"/>
  <c r="X254" i="58" s="1"/>
  <c r="N110" i="47" s="1"/>
  <c r="AE178" i="58"/>
  <c r="AE201" i="58"/>
  <c r="AE212" i="58"/>
  <c r="AE190" i="58"/>
  <c r="O159" i="58"/>
  <c r="P159" i="58"/>
  <c r="AE216" i="58"/>
  <c r="AE182" i="58"/>
  <c r="AE205" i="58"/>
  <c r="AE194" i="58"/>
  <c r="AD197" i="58"/>
  <c r="AD174" i="58"/>
  <c r="AD186" i="58"/>
  <c r="AD208" i="58"/>
  <c r="U174" i="58"/>
  <c r="U208" i="58"/>
  <c r="U186" i="58"/>
  <c r="U197" i="58"/>
  <c r="V198" i="58"/>
  <c r="V187" i="58"/>
  <c r="V175" i="58"/>
  <c r="V209" i="58"/>
  <c r="W170" i="58"/>
  <c r="AF170" i="58"/>
  <c r="S225" i="58"/>
  <c r="S263" i="58" s="1"/>
  <c r="I126" i="47" s="1"/>
  <c r="AG163" i="58"/>
  <c r="AD241" i="58"/>
  <c r="AD256" i="58" s="1"/>
  <c r="T114" i="47" s="1"/>
  <c r="R233" i="58"/>
  <c r="R248" i="58" s="1"/>
  <c r="H109" i="47" s="1"/>
  <c r="T220" i="58"/>
  <c r="AH157" i="58"/>
  <c r="AH239" i="58" s="1"/>
  <c r="AH254" i="58" s="1"/>
  <c r="X110" i="47" s="1"/>
  <c r="S221" i="58"/>
  <c r="S259" i="58" s="1"/>
  <c r="I120" i="47" s="1"/>
  <c r="AE202" i="58"/>
  <c r="AE191" i="58"/>
  <c r="AE213" i="58"/>
  <c r="AE179" i="58"/>
  <c r="U225" i="58"/>
  <c r="U263" i="58" s="1"/>
  <c r="K126" i="47" s="1"/>
  <c r="V191" i="58"/>
  <c r="V179" i="58"/>
  <c r="V213" i="58"/>
  <c r="V202" i="58"/>
  <c r="V205" i="58"/>
  <c r="V182" i="58"/>
  <c r="V194" i="58"/>
  <c r="V216" i="58"/>
  <c r="AE199" i="58"/>
  <c r="AE210" i="58"/>
  <c r="AE176" i="58"/>
  <c r="AE188" i="58"/>
  <c r="U222" i="58"/>
  <c r="U260" i="58" s="1"/>
  <c r="K121" i="47" s="1"/>
  <c r="V188" i="58"/>
  <c r="V210" i="58"/>
  <c r="V199" i="58"/>
  <c r="V176" i="58"/>
  <c r="AE198" i="58"/>
  <c r="AE209" i="58"/>
  <c r="AE175" i="58"/>
  <c r="AE187" i="58"/>
  <c r="U221" i="58"/>
  <c r="U259" i="58" s="1"/>
  <c r="K120" i="47" s="1"/>
  <c r="AF164" i="58"/>
  <c r="S224" i="58"/>
  <c r="S262" i="58" s="1"/>
  <c r="I124" i="47" s="1"/>
  <c r="N241" i="58" l="1"/>
  <c r="N256" i="58" s="1"/>
  <c r="BA74" i="58" a="1"/>
  <c r="BA74" i="58" s="1"/>
  <c r="AZ166" i="58"/>
  <c r="AZ71" i="58" a="1"/>
  <c r="AZ71" i="58" s="1"/>
  <c r="AY163" i="58"/>
  <c r="AX163" i="58"/>
  <c r="AQ75" i="58"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Q72" i="58"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P85" i="58"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P86" i="58"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P89" i="58"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P78" i="58"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P82" i="58"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P83" i="58"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P99" i="58" a="1"/>
  <c r="AP99" i="58" s="1"/>
  <c r="AP98" i="58" a="1"/>
  <c r="AP98" i="58" s="1"/>
  <c r="AP70" i="58"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O97" i="58" a="1"/>
  <c r="AO97" i="58" s="1"/>
  <c r="AO81" i="58" a="1"/>
  <c r="AO81" i="58" s="1"/>
  <c r="AO94" i="58" a="1"/>
  <c r="AO94" i="58" s="1"/>
  <c r="AP94" i="58" s="1" a="1"/>
  <c r="AP94" i="58" s="1"/>
  <c r="AQ94" i="58" s="1" a="1"/>
  <c r="AQ94" i="58" s="1"/>
  <c r="AR94" i="58" s="1" a="1"/>
  <c r="AR94" i="58" s="1"/>
  <c r="AS94" i="58" s="1" a="1"/>
  <c r="AS94" i="58" s="1"/>
  <c r="AT94" i="58" s="1" a="1"/>
  <c r="AT94" i="58" s="1"/>
  <c r="AU94" i="58" s="1" a="1"/>
  <c r="AU94" i="58" s="1"/>
  <c r="AV94" i="58" s="1" a="1"/>
  <c r="AV94" i="58" s="1"/>
  <c r="AW94" i="58" s="1" a="1"/>
  <c r="AW94" i="58" s="1"/>
  <c r="AX94" i="58" s="1" a="1"/>
  <c r="AX94" i="58" s="1"/>
  <c r="AY94" i="58" s="1" a="1"/>
  <c r="AY94" i="58" s="1"/>
  <c r="AO93" i="58" a="1"/>
  <c r="AO93" i="58" s="1"/>
  <c r="AO96" i="58" a="1"/>
  <c r="AO96" i="58" s="1"/>
  <c r="N235" i="58"/>
  <c r="N250" i="58" s="1"/>
  <c r="AE152" i="58"/>
  <c r="AE234" i="58" s="1"/>
  <c r="AE249" i="58" s="1"/>
  <c r="U111" i="47" s="1"/>
  <c r="AE156" i="58"/>
  <c r="AE238" i="58" s="1"/>
  <c r="AE253" i="58" s="1"/>
  <c r="U117" i="47" s="1"/>
  <c r="U151" i="58"/>
  <c r="U233" i="58" s="1"/>
  <c r="U248" i="58" s="1"/>
  <c r="K109" i="47" s="1"/>
  <c r="N238" i="58"/>
  <c r="N253" i="58" s="1"/>
  <c r="M233" i="58"/>
  <c r="M248" i="58" s="1"/>
  <c r="O93" i="58" a="1"/>
  <c r="O93" i="58" s="1"/>
  <c r="N152" i="58"/>
  <c r="N234" i="58" s="1"/>
  <c r="N249" i="58" s="1"/>
  <c r="AE153" i="58"/>
  <c r="AE235" i="58" s="1"/>
  <c r="AE250" i="58" s="1"/>
  <c r="U112" i="47" s="1"/>
  <c r="AE155" i="58"/>
  <c r="AE237" i="58" s="1"/>
  <c r="AE252" i="58" s="1"/>
  <c r="U115" i="47" s="1"/>
  <c r="O96" i="58" a="1"/>
  <c r="O96" i="58" s="1"/>
  <c r="N155" i="58"/>
  <c r="N237" i="58" s="1"/>
  <c r="N252" i="58" s="1"/>
  <c r="AE159" i="58"/>
  <c r="AE241" i="58" s="1"/>
  <c r="AE256" i="58" s="1"/>
  <c r="U114" i="47" s="1"/>
  <c r="V241" i="58"/>
  <c r="V256" i="58" s="1"/>
  <c r="L114" i="47" s="1"/>
  <c r="O92" i="58" a="1"/>
  <c r="O92" i="58" s="1"/>
  <c r="N151" i="58"/>
  <c r="AF159" i="58"/>
  <c r="AG100" i="58" a="1"/>
  <c r="AG100" i="58" s="1"/>
  <c r="AH100" i="58" s="1" a="1"/>
  <c r="AH100" i="58" s="1"/>
  <c r="AI100" i="58" s="1" a="1"/>
  <c r="AI100" i="58" s="1"/>
  <c r="AJ100" i="58" s="1" a="1"/>
  <c r="AJ100" i="58" s="1"/>
  <c r="AK100" i="58" s="1" a="1"/>
  <c r="AK100" i="58" s="1"/>
  <c r="AL100" i="58" s="1" a="1"/>
  <c r="AL100" i="58" s="1"/>
  <c r="AM100" i="58" s="1" a="1"/>
  <c r="AM100" i="58" s="1"/>
  <c r="AN100" i="58" s="1" a="1"/>
  <c r="AN100" i="58" s="1"/>
  <c r="AE92" i="58"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V237" i="58"/>
  <c r="V252" i="58" s="1"/>
  <c r="L115" i="47" s="1"/>
  <c r="AF152" i="58"/>
  <c r="O156" i="58"/>
  <c r="P156" i="58"/>
  <c r="V234" i="58"/>
  <c r="V249" i="58" s="1"/>
  <c r="L111" i="47" s="1"/>
  <c r="N222" i="58"/>
  <c r="N260" i="58" s="1"/>
  <c r="O188" i="58"/>
  <c r="O199" i="58"/>
  <c r="O210" i="58"/>
  <c r="O176" i="58"/>
  <c r="O235" i="58" s="1"/>
  <c r="O250" i="58" s="1"/>
  <c r="M220" i="58"/>
  <c r="M258" i="58" s="1"/>
  <c r="O162" i="58"/>
  <c r="P162" i="58"/>
  <c r="O175" i="58"/>
  <c r="O198" i="58"/>
  <c r="O187" i="58"/>
  <c r="O209" i="58"/>
  <c r="N224" i="58"/>
  <c r="N262" i="58" s="1"/>
  <c r="L245" i="58"/>
  <c r="L258" i="58"/>
  <c r="N225" i="58"/>
  <c r="N263" i="58" s="1"/>
  <c r="O179" i="58"/>
  <c r="O213" i="58"/>
  <c r="O191" i="58"/>
  <c r="O202" i="58"/>
  <c r="N208" i="58"/>
  <c r="N186" i="58"/>
  <c r="N174" i="58"/>
  <c r="N197" i="58"/>
  <c r="N221" i="58"/>
  <c r="N259" i="58" s="1"/>
  <c r="O178" i="58"/>
  <c r="O201" i="58"/>
  <c r="O212" i="58"/>
  <c r="O190" i="58"/>
  <c r="O194" i="58"/>
  <c r="O205" i="58"/>
  <c r="O182" i="58"/>
  <c r="O241" i="58" s="1"/>
  <c r="O256" i="58" s="1"/>
  <c r="O216" i="58"/>
  <c r="N228" i="58"/>
  <c r="N266" i="58" s="1"/>
  <c r="AE221" i="58"/>
  <c r="AE259" i="58" s="1"/>
  <c r="U120" i="47" s="1"/>
  <c r="AF156" i="58"/>
  <c r="AD220" i="58"/>
  <c r="AD258" i="58" s="1"/>
  <c r="T118" i="47" s="1"/>
  <c r="AE228" i="58"/>
  <c r="AE266" i="58" s="1"/>
  <c r="U123" i="47" s="1"/>
  <c r="S220" i="58"/>
  <c r="S258" i="58" s="1"/>
  <c r="I118" i="47" s="1"/>
  <c r="AF155" i="58"/>
  <c r="Y158" i="58"/>
  <c r="Y240" i="58" s="1"/>
  <c r="Y255" i="58" s="1"/>
  <c r="O116" i="47" s="1"/>
  <c r="V156" i="58"/>
  <c r="V238" i="58" s="1"/>
  <c r="V253" i="58" s="1"/>
  <c r="L117" i="47" s="1"/>
  <c r="AE197" i="58"/>
  <c r="AE174" i="58"/>
  <c r="AE186" i="58"/>
  <c r="AE208" i="58"/>
  <c r="V222" i="58"/>
  <c r="V260" i="58" s="1"/>
  <c r="L121" i="47" s="1"/>
  <c r="AE222" i="58"/>
  <c r="AE260" i="58" s="1"/>
  <c r="U121" i="47" s="1"/>
  <c r="AF176" i="58"/>
  <c r="AF199" i="58"/>
  <c r="AF188" i="58"/>
  <c r="AF210" i="58"/>
  <c r="V228" i="58"/>
  <c r="V266" i="58" s="1"/>
  <c r="L123" i="47" s="1"/>
  <c r="W205" i="58"/>
  <c r="W194" i="58"/>
  <c r="W216" i="58"/>
  <c r="W182" i="58"/>
  <c r="W202" i="58"/>
  <c r="W191" i="58"/>
  <c r="W179" i="58"/>
  <c r="W213" i="58"/>
  <c r="AE225" i="58"/>
  <c r="AE263" i="58" s="1"/>
  <c r="U126" i="47" s="1"/>
  <c r="AF179" i="58"/>
  <c r="AF191" i="58"/>
  <c r="AF202" i="58"/>
  <c r="AF213" i="58"/>
  <c r="AG162" i="58"/>
  <c r="AI157" i="58"/>
  <c r="AI239" i="58" s="1"/>
  <c r="AI254" i="58" s="1"/>
  <c r="Y110" i="47" s="1"/>
  <c r="AH163" i="58"/>
  <c r="V221" i="58"/>
  <c r="V259" i="58" s="1"/>
  <c r="L120" i="47" s="1"/>
  <c r="W198" i="58"/>
  <c r="W187" i="58"/>
  <c r="W209" i="58"/>
  <c r="W175" i="58"/>
  <c r="U220" i="58"/>
  <c r="AD233" i="58"/>
  <c r="AD248" i="58" s="1"/>
  <c r="T109" i="47" s="1"/>
  <c r="AF153" i="58"/>
  <c r="AE224" i="58"/>
  <c r="AE262" i="58" s="1"/>
  <c r="U124" i="47" s="1"/>
  <c r="AF190" i="58"/>
  <c r="AF178" i="58"/>
  <c r="AF201" i="58"/>
  <c r="AF212" i="58"/>
  <c r="X164" i="58"/>
  <c r="S233" i="58"/>
  <c r="S248" i="58" s="1"/>
  <c r="I109" i="47" s="1"/>
  <c r="AH167" i="58"/>
  <c r="AH166" i="58"/>
  <c r="X163" i="58"/>
  <c r="V224" i="58"/>
  <c r="V262" i="58" s="1"/>
  <c r="L124" i="47" s="1"/>
  <c r="W201" i="58"/>
  <c r="W190" i="58"/>
  <c r="W178" i="58"/>
  <c r="W212" i="58"/>
  <c r="AI158" i="58"/>
  <c r="AI240" i="58" s="1"/>
  <c r="AI255" i="58" s="1"/>
  <c r="Y116" i="47" s="1"/>
  <c r="W152" i="58"/>
  <c r="AG164" i="58"/>
  <c r="AF187" i="58"/>
  <c r="AF175" i="58"/>
  <c r="AF198" i="58"/>
  <c r="AF209" i="58"/>
  <c r="W199" i="58"/>
  <c r="W210" i="58"/>
  <c r="W188" i="58"/>
  <c r="W176" i="58"/>
  <c r="V153" i="58"/>
  <c r="V235" i="58" s="1"/>
  <c r="V250" i="58" s="1"/>
  <c r="L112" i="47" s="1"/>
  <c r="V225" i="58"/>
  <c r="V263" i="58" s="1"/>
  <c r="L126" i="47" s="1"/>
  <c r="W159" i="58"/>
  <c r="T258" i="58"/>
  <c r="J118" i="47" s="1"/>
  <c r="AG170" i="58"/>
  <c r="X170" i="58"/>
  <c r="V197" i="58"/>
  <c r="V208" i="58"/>
  <c r="V186" i="58"/>
  <c r="V174" i="58"/>
  <c r="AF205" i="58"/>
  <c r="AF182" i="58"/>
  <c r="AF194" i="58"/>
  <c r="AF216" i="58"/>
  <c r="Y157" i="58"/>
  <c r="Y239" i="58" s="1"/>
  <c r="Y254" i="58" s="1"/>
  <c r="O110" i="47" s="1"/>
  <c r="W162" i="58"/>
  <c r="X167" i="58"/>
  <c r="X166" i="58"/>
  <c r="AZ78" i="58" l="1" a="1"/>
  <c r="AZ78" i="58" s="1"/>
  <c r="AY170" i="58"/>
  <c r="AZ89" i="58" a="1"/>
  <c r="AZ89" i="58" s="1"/>
  <c r="AY194" i="58"/>
  <c r="AY182" i="58"/>
  <c r="AY216" i="58"/>
  <c r="AY205" i="58"/>
  <c r="AZ86" i="58" a="1"/>
  <c r="AZ86" i="58" s="1"/>
  <c r="AY191" i="58"/>
  <c r="AY213" i="58"/>
  <c r="AY202" i="58"/>
  <c r="AY179" i="58"/>
  <c r="AZ85" i="58" a="1"/>
  <c r="AZ85" i="58" s="1"/>
  <c r="AY178" i="58"/>
  <c r="AY212" i="58"/>
  <c r="AY190" i="58"/>
  <c r="AY201" i="58"/>
  <c r="AZ75" i="58" a="1"/>
  <c r="AZ75" i="58" s="1"/>
  <c r="AY167" i="58"/>
  <c r="BB74" i="58" a="1"/>
  <c r="BB74" i="58" s="1"/>
  <c r="BA166" i="58"/>
  <c r="AZ83" i="58" a="1"/>
  <c r="AZ83" i="58" s="1"/>
  <c r="AY188" i="58"/>
  <c r="AY210" i="58"/>
  <c r="AY176" i="58"/>
  <c r="AY199" i="58"/>
  <c r="AZ94" i="58" a="1"/>
  <c r="AZ94" i="58" s="1"/>
  <c r="AY153" i="58"/>
  <c r="AZ72" i="58" a="1"/>
  <c r="AZ72" i="58" s="1"/>
  <c r="AY164" i="58"/>
  <c r="AZ82" i="58" a="1"/>
  <c r="AZ82" i="58" s="1"/>
  <c r="AY187" i="58"/>
  <c r="AY198" i="58"/>
  <c r="AY209" i="58"/>
  <c r="AY175" i="58"/>
  <c r="AX198" i="58"/>
  <c r="BA71" i="58" a="1"/>
  <c r="BA71" i="58" s="1"/>
  <c r="AZ163" i="58"/>
  <c r="AZ70" i="58" a="1"/>
  <c r="AZ70" i="58" s="1"/>
  <c r="AY162" i="58"/>
  <c r="AX170" i="58"/>
  <c r="AX164" i="58"/>
  <c r="AQ98" i="58" a="1"/>
  <c r="AQ98" i="58" s="1"/>
  <c r="AR98" i="58" s="1" a="1"/>
  <c r="AR98" i="58" s="1"/>
  <c r="AS98" i="58" s="1" a="1"/>
  <c r="AS98" i="58" s="1"/>
  <c r="AT98" i="58" s="1" a="1"/>
  <c r="AT98" i="58" s="1"/>
  <c r="AU98" i="58" s="1" a="1"/>
  <c r="AU98" i="58" s="1"/>
  <c r="AV98" i="58" s="1" a="1"/>
  <c r="AV98" i="58" s="1"/>
  <c r="AW98" i="58" s="1" a="1"/>
  <c r="AW98" i="58" s="1"/>
  <c r="AX98" i="58" s="1" a="1"/>
  <c r="AX98" i="58" s="1"/>
  <c r="AY98" i="58" s="1" a="1"/>
  <c r="AY98" i="58" s="1"/>
  <c r="AQ99" i="58" a="1"/>
  <c r="AQ99" i="58" s="1"/>
  <c r="AR99" i="58" s="1" a="1"/>
  <c r="AR99" i="58" s="1"/>
  <c r="AS99" i="58" s="1" a="1"/>
  <c r="AS99" i="58" s="1"/>
  <c r="AT99" i="58" s="1" a="1"/>
  <c r="AT99" i="58" s="1"/>
  <c r="AU99" i="58" s="1" a="1"/>
  <c r="AU99" i="58" s="1"/>
  <c r="AV99" i="58" s="1" a="1"/>
  <c r="AV99" i="58" s="1"/>
  <c r="AW99" i="58" s="1" a="1"/>
  <c r="AW99" i="58" s="1"/>
  <c r="AX99" i="58" s="1" a="1"/>
  <c r="AX99" i="58" s="1"/>
  <c r="AY99" i="58" s="1" a="1"/>
  <c r="AY99" i="58" s="1"/>
  <c r="AX167" i="58"/>
  <c r="AX199" i="58"/>
  <c r="AX210" i="58"/>
  <c r="AX176" i="58"/>
  <c r="AX188" i="58"/>
  <c r="AX194" i="58"/>
  <c r="AX216" i="58"/>
  <c r="AX205" i="58"/>
  <c r="AX182" i="58"/>
  <c r="AX202" i="58"/>
  <c r="AX213" i="58"/>
  <c r="AX179" i="58"/>
  <c r="AX191" i="58"/>
  <c r="AX212" i="58"/>
  <c r="AX201" i="58"/>
  <c r="AX178" i="58"/>
  <c r="AX190" i="58"/>
  <c r="AP93" i="58" a="1"/>
  <c r="AP93" i="58" s="1"/>
  <c r="AQ93" i="58" s="1" a="1"/>
  <c r="AQ93" i="58" s="1"/>
  <c r="AR93" i="58" s="1" a="1"/>
  <c r="AR93" i="58" s="1"/>
  <c r="AS93" i="58" s="1" a="1"/>
  <c r="AS93" i="58" s="1"/>
  <c r="AT93" i="58" s="1" a="1"/>
  <c r="AT93" i="58" s="1"/>
  <c r="AU93" i="58" s="1" a="1"/>
  <c r="AU93" i="58" s="1"/>
  <c r="AV93" i="58" s="1" a="1"/>
  <c r="AV93" i="58" s="1"/>
  <c r="AW93" i="58" s="1" a="1"/>
  <c r="AW93" i="58" s="1"/>
  <c r="AX93" i="58" s="1" a="1"/>
  <c r="AX93" i="58" s="1"/>
  <c r="AY93" i="58" s="1" a="1"/>
  <c r="AY93" i="58" s="1"/>
  <c r="AP96" i="58" a="1"/>
  <c r="AP96" i="58" s="1"/>
  <c r="AP81" i="58"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P97" i="58" a="1"/>
  <c r="AP97" i="58" s="1"/>
  <c r="AX187" i="58"/>
  <c r="AX175" i="58"/>
  <c r="AX209" i="58"/>
  <c r="AX153" i="58"/>
  <c r="AO92" i="58" a="1"/>
  <c r="AO92" i="58" s="1"/>
  <c r="AO100" i="58" a="1"/>
  <c r="AO100" i="58" s="1"/>
  <c r="AF241" i="58"/>
  <c r="AF256" i="58" s="1"/>
  <c r="V114" i="47" s="1"/>
  <c r="AE151" i="58"/>
  <c r="AE233" i="58" s="1"/>
  <c r="AE248" i="58" s="1"/>
  <c r="U109" i="47" s="1"/>
  <c r="N233" i="58"/>
  <c r="N248" i="58" s="1"/>
  <c r="AG159" i="58"/>
  <c r="P93" i="58" a="1"/>
  <c r="P93" i="58" s="1"/>
  <c r="P152" i="58" s="1"/>
  <c r="O152" i="58"/>
  <c r="O234" i="58" s="1"/>
  <c r="O249" i="58" s="1"/>
  <c r="P96" i="58" a="1"/>
  <c r="P96" i="58" s="1"/>
  <c r="P155" i="58" s="1"/>
  <c r="O155" i="58"/>
  <c r="O237" i="58" s="1"/>
  <c r="O252" i="58" s="1"/>
  <c r="AF234" i="58"/>
  <c r="AF249" i="58" s="1"/>
  <c r="V111" i="47" s="1"/>
  <c r="P92" i="58" a="1"/>
  <c r="P92" i="58" s="1"/>
  <c r="P151" i="58" s="1"/>
  <c r="O151" i="58"/>
  <c r="W155" i="58"/>
  <c r="W237" i="58" s="1"/>
  <c r="W252" i="58" s="1"/>
  <c r="M115" i="47" s="1"/>
  <c r="O238" i="58"/>
  <c r="O253" i="58" s="1"/>
  <c r="AG155" i="58"/>
  <c r="AF237" i="58"/>
  <c r="AF252" i="58" s="1"/>
  <c r="V115" i="47" s="1"/>
  <c r="AH159" i="58"/>
  <c r="AF238" i="58"/>
  <c r="AF253" i="58" s="1"/>
  <c r="V117" i="47" s="1"/>
  <c r="V220" i="58"/>
  <c r="V258" i="58" s="1"/>
  <c r="L118" i="47" s="1"/>
  <c r="O222" i="58"/>
  <c r="O260" i="58" s="1"/>
  <c r="O224" i="58"/>
  <c r="O262" i="58" s="1"/>
  <c r="P201" i="58"/>
  <c r="P212" i="58"/>
  <c r="P190" i="58"/>
  <c r="P178" i="58"/>
  <c r="P202" i="58"/>
  <c r="P213" i="58"/>
  <c r="P179" i="58"/>
  <c r="P238" i="58" s="1"/>
  <c r="P253" i="58" s="1"/>
  <c r="P191" i="58"/>
  <c r="O225" i="58"/>
  <c r="O263" i="58" s="1"/>
  <c r="P199" i="58"/>
  <c r="P188" i="58"/>
  <c r="P210" i="58"/>
  <c r="P176" i="58"/>
  <c r="P235" i="58" s="1"/>
  <c r="P250" i="58" s="1"/>
  <c r="W221" i="58"/>
  <c r="W259" i="58" s="1"/>
  <c r="M120" i="47" s="1"/>
  <c r="AF222" i="58"/>
  <c r="AF260" i="58" s="1"/>
  <c r="V121" i="47" s="1"/>
  <c r="P216" i="58"/>
  <c r="P205" i="58"/>
  <c r="P194" i="58"/>
  <c r="P182" i="58"/>
  <c r="P241" i="58" s="1"/>
  <c r="P256" i="58" s="1"/>
  <c r="O228" i="58"/>
  <c r="O266" i="58" s="1"/>
  <c r="N220" i="58"/>
  <c r="N258" i="58" s="1"/>
  <c r="O197" i="58"/>
  <c r="O186" i="58"/>
  <c r="O208" i="58"/>
  <c r="O174" i="58"/>
  <c r="P175" i="58"/>
  <c r="P198" i="58"/>
  <c r="P209" i="58"/>
  <c r="P187" i="58"/>
  <c r="O221" i="58"/>
  <c r="O259" i="58" s="1"/>
  <c r="AF228" i="58"/>
  <c r="AF266" i="58" s="1"/>
  <c r="V123" i="47" s="1"/>
  <c r="W225" i="58"/>
  <c r="W263" i="58" s="1"/>
  <c r="M126" i="47" s="1"/>
  <c r="Z158" i="58"/>
  <c r="Z240" i="58" s="1"/>
  <c r="Z255" i="58" s="1"/>
  <c r="P116" i="47" s="1"/>
  <c r="AG205" i="58"/>
  <c r="AG216" i="58"/>
  <c r="AG182" i="58"/>
  <c r="AG194" i="58"/>
  <c r="W197" i="58"/>
  <c r="W186" i="58"/>
  <c r="W174" i="58"/>
  <c r="W208" i="58"/>
  <c r="X159" i="58"/>
  <c r="W153" i="58"/>
  <c r="W235" i="58" s="1"/>
  <c r="W250" i="58" s="1"/>
  <c r="M112" i="47" s="1"/>
  <c r="W222" i="58"/>
  <c r="W260" i="58" s="1"/>
  <c r="M121" i="47" s="1"/>
  <c r="X210" i="58"/>
  <c r="X199" i="58"/>
  <c r="X176" i="58"/>
  <c r="X188" i="58"/>
  <c r="AG175" i="58"/>
  <c r="AG198" i="58"/>
  <c r="AG187" i="58"/>
  <c r="AG209" i="58"/>
  <c r="Y163" i="58"/>
  <c r="AI166" i="58"/>
  <c r="AI167" i="58"/>
  <c r="V151" i="58"/>
  <c r="V233" i="58" s="1"/>
  <c r="V248" i="58" s="1"/>
  <c r="L109" i="47" s="1"/>
  <c r="AF224" i="58"/>
  <c r="AF262" i="58" s="1"/>
  <c r="V124" i="47" s="1"/>
  <c r="U258" i="58"/>
  <c r="K118" i="47" s="1"/>
  <c r="W234" i="58"/>
  <c r="W249" i="58" s="1"/>
  <c r="M111" i="47" s="1"/>
  <c r="X198" i="58"/>
  <c r="X187" i="58"/>
  <c r="X209" i="58"/>
  <c r="X175" i="58"/>
  <c r="AG156" i="58"/>
  <c r="AI163" i="58"/>
  <c r="AJ157" i="58"/>
  <c r="AJ239" i="58" s="1"/>
  <c r="AJ254" i="58" s="1"/>
  <c r="Z110" i="47" s="1"/>
  <c r="W241" i="58"/>
  <c r="W256" i="58" s="1"/>
  <c r="M114" i="47" s="1"/>
  <c r="W228" i="58"/>
  <c r="W266" i="58" s="1"/>
  <c r="M123" i="47" s="1"/>
  <c r="X205" i="58"/>
  <c r="X182" i="58"/>
  <c r="X194" i="58"/>
  <c r="X216" i="58"/>
  <c r="AG188" i="58"/>
  <c r="AG210" i="58"/>
  <c r="AG176" i="58"/>
  <c r="AG199" i="58"/>
  <c r="AE220" i="58"/>
  <c r="W156" i="58"/>
  <c r="W238" i="58" s="1"/>
  <c r="W253" i="58" s="1"/>
  <c r="M117" i="47" s="1"/>
  <c r="Y166" i="58"/>
  <c r="Y167" i="58"/>
  <c r="X162" i="58"/>
  <c r="Z157" i="58"/>
  <c r="Z239" i="58" s="1"/>
  <c r="Z254" i="58" s="1"/>
  <c r="P110" i="47" s="1"/>
  <c r="Y170" i="58"/>
  <c r="AH170" i="58"/>
  <c r="X155" i="58"/>
  <c r="AF221" i="58"/>
  <c r="AF259" i="58" s="1"/>
  <c r="V120" i="47" s="1"/>
  <c r="AH164" i="58"/>
  <c r="X152" i="58"/>
  <c r="AJ158" i="58"/>
  <c r="AJ240" i="58" s="1"/>
  <c r="AJ255" i="58" s="1"/>
  <c r="Z116" i="47" s="1"/>
  <c r="W224" i="58"/>
  <c r="W262" i="58" s="1"/>
  <c r="M124" i="47" s="1"/>
  <c r="X190" i="58"/>
  <c r="X201" i="58"/>
  <c r="X178" i="58"/>
  <c r="X212" i="58"/>
  <c r="AF151" i="58"/>
  <c r="Y164" i="58"/>
  <c r="AG178" i="58"/>
  <c r="AG190" i="58"/>
  <c r="AG212" i="58"/>
  <c r="AG201" i="58"/>
  <c r="AG153" i="58"/>
  <c r="AG152" i="58"/>
  <c r="AH162" i="58"/>
  <c r="AF225" i="58"/>
  <c r="AF263" i="58" s="1"/>
  <c r="V126" i="47" s="1"/>
  <c r="AG202" i="58"/>
  <c r="AG191" i="58"/>
  <c r="AG213" i="58"/>
  <c r="AG179" i="58"/>
  <c r="X191" i="58"/>
  <c r="X202" i="58"/>
  <c r="X213" i="58"/>
  <c r="X179" i="58"/>
  <c r="AF235" i="58"/>
  <c r="AF250" i="58" s="1"/>
  <c r="V112" i="47" s="1"/>
  <c r="AF186" i="58"/>
  <c r="AF208" i="58"/>
  <c r="AF174" i="58"/>
  <c r="AF197" i="58"/>
  <c r="AY235" i="58" l="1"/>
  <c r="AY225" i="58"/>
  <c r="AZ99" i="58" a="1"/>
  <c r="AZ99" i="58" s="1"/>
  <c r="AY158" i="58"/>
  <c r="AY240" i="58" s="1"/>
  <c r="BC74" i="58" a="1"/>
  <c r="BC74" i="58" s="1"/>
  <c r="BB166" i="58"/>
  <c r="BA86" i="58" a="1"/>
  <c r="BA86" i="58" s="1"/>
  <c r="AZ179" i="58"/>
  <c r="AZ213" i="58"/>
  <c r="AZ191" i="58"/>
  <c r="AZ202" i="58"/>
  <c r="AZ98" i="58" a="1"/>
  <c r="AZ98" i="58" s="1"/>
  <c r="AY157" i="58"/>
  <c r="AY239" i="58" s="1"/>
  <c r="BA75" i="58" a="1"/>
  <c r="BA75" i="58" s="1"/>
  <c r="AZ167" i="58"/>
  <c r="AY228" i="58"/>
  <c r="AY224" i="58"/>
  <c r="BA89" i="58" a="1"/>
  <c r="BA89" i="58" s="1"/>
  <c r="AZ182" i="58"/>
  <c r="AZ216" i="58"/>
  <c r="AZ194" i="58"/>
  <c r="AZ205" i="58"/>
  <c r="BA85" i="58" a="1"/>
  <c r="BA85" i="58" s="1"/>
  <c r="AZ201" i="58"/>
  <c r="AZ178" i="58"/>
  <c r="AZ212" i="58"/>
  <c r="AZ190" i="58"/>
  <c r="BA78" i="58" a="1"/>
  <c r="BA78" i="58" s="1"/>
  <c r="AZ170" i="58"/>
  <c r="BA72" i="58" a="1"/>
  <c r="BA72" i="58" s="1"/>
  <c r="AZ164" i="58"/>
  <c r="BA94" i="58" a="1"/>
  <c r="BA94" i="58" s="1"/>
  <c r="AZ153" i="58"/>
  <c r="AY222" i="58"/>
  <c r="BA83" i="58" a="1"/>
  <c r="BA83" i="58" s="1"/>
  <c r="AZ199" i="58"/>
  <c r="AZ188" i="58"/>
  <c r="AZ210" i="58"/>
  <c r="AZ176" i="58"/>
  <c r="AZ93" i="58" a="1"/>
  <c r="AZ93" i="58" s="1"/>
  <c r="AY152" i="58"/>
  <c r="AY234" i="58" s="1"/>
  <c r="AX228" i="58"/>
  <c r="AP266" i="58" s="1"/>
  <c r="AF123" i="47" s="1"/>
  <c r="BB71" i="58" a="1"/>
  <c r="BB71" i="58" s="1"/>
  <c r="BA163" i="58"/>
  <c r="AY221" i="58"/>
  <c r="BA82" i="58" a="1"/>
  <c r="BA82" i="58" s="1"/>
  <c r="AZ187" i="58"/>
  <c r="AZ175" i="58"/>
  <c r="AZ198" i="58"/>
  <c r="AZ209" i="58"/>
  <c r="AX235" i="58"/>
  <c r="AP250" i="58" s="1"/>
  <c r="AF112" i="47" s="1"/>
  <c r="AX221" i="58"/>
  <c r="AP259" i="58" s="1"/>
  <c r="AF120" i="47" s="1"/>
  <c r="AZ81" i="58" a="1"/>
  <c r="AZ81" i="58" s="1"/>
  <c r="AY208" i="58"/>
  <c r="AY174" i="58"/>
  <c r="AY186" i="58"/>
  <c r="AY197" i="58"/>
  <c r="BA70" i="58" a="1"/>
  <c r="BA70" i="58" s="1"/>
  <c r="AZ162" i="58"/>
  <c r="AX152" i="58"/>
  <c r="AX234" i="58" s="1"/>
  <c r="AP249" i="58" s="1"/>
  <c r="AF111" i="47" s="1"/>
  <c r="AX225" i="58"/>
  <c r="AX158" i="58"/>
  <c r="AX240" i="58" s="1"/>
  <c r="AP255" i="58" s="1"/>
  <c r="AQ97" i="58" a="1"/>
  <c r="AQ97" i="58" s="1"/>
  <c r="AR97" i="58" s="1" a="1"/>
  <c r="AR97" i="58" s="1"/>
  <c r="AS97" i="58" s="1" a="1"/>
  <c r="AS97" i="58" s="1"/>
  <c r="AT97" i="58" s="1" a="1"/>
  <c r="AT97" i="58" s="1"/>
  <c r="AU97" i="58" s="1" a="1"/>
  <c r="AU97" i="58" s="1"/>
  <c r="AV97" i="58" s="1" a="1"/>
  <c r="AV97" i="58" s="1"/>
  <c r="AW97" i="58" s="1" a="1"/>
  <c r="AW97" i="58" s="1"/>
  <c r="AX97" i="58" s="1" a="1"/>
  <c r="AX97" i="58" s="1"/>
  <c r="AY97" i="58" s="1" a="1"/>
  <c r="AY97" i="58" s="1"/>
  <c r="AX157" i="58"/>
  <c r="AX239" i="58" s="1"/>
  <c r="AP254" i="58" s="1"/>
  <c r="AQ96" i="58" a="1"/>
  <c r="AQ96" i="58" s="1"/>
  <c r="AR96" i="58" s="1" a="1"/>
  <c r="AR96" i="58" s="1"/>
  <c r="AS96" i="58" s="1" a="1"/>
  <c r="AS96" i="58" s="1"/>
  <c r="AT96" i="58" s="1" a="1"/>
  <c r="AT96" i="58" s="1"/>
  <c r="AU96" i="58" s="1" a="1"/>
  <c r="AU96" i="58" s="1"/>
  <c r="AV96" i="58" s="1" a="1"/>
  <c r="AV96" i="58" s="1"/>
  <c r="AW96" i="58" s="1" a="1"/>
  <c r="AW96" i="58" s="1"/>
  <c r="AX96" i="58" s="1" a="1"/>
  <c r="AX96" i="58" s="1"/>
  <c r="AY96" i="58" s="1" a="1"/>
  <c r="AY96" i="58" s="1"/>
  <c r="AX208" i="58"/>
  <c r="AX174" i="58"/>
  <c r="AX186" i="58"/>
  <c r="AX197" i="58"/>
  <c r="AP92" i="58" a="1"/>
  <c r="AP92" i="58" s="1"/>
  <c r="AX222" i="58"/>
  <c r="AP260" i="58" s="1"/>
  <c r="AX224" i="58"/>
  <c r="AP262" i="58" s="1"/>
  <c r="AP100" i="58" a="1"/>
  <c r="AP100" i="58" s="1"/>
  <c r="AX162" i="58"/>
  <c r="AG241" i="58"/>
  <c r="AG256" i="58" s="1"/>
  <c r="W114" i="47" s="1"/>
  <c r="P237" i="58"/>
  <c r="P252" i="58" s="1"/>
  <c r="P234" i="58"/>
  <c r="P249" i="58" s="1"/>
  <c r="O233" i="58"/>
  <c r="O248" i="58" s="1"/>
  <c r="AF233" i="58"/>
  <c r="AF248" i="58" s="1"/>
  <c r="V109" i="47" s="1"/>
  <c r="AG238" i="58"/>
  <c r="AG253" i="58" s="1"/>
  <c r="W117" i="47" s="1"/>
  <c r="X237" i="58"/>
  <c r="X252" i="58" s="1"/>
  <c r="N115" i="47" s="1"/>
  <c r="P225" i="58"/>
  <c r="P263" i="58" s="1"/>
  <c r="P222" i="58"/>
  <c r="P260" i="58" s="1"/>
  <c r="X221" i="58"/>
  <c r="X259" i="58" s="1"/>
  <c r="N120" i="47" s="1"/>
  <c r="AG228" i="58"/>
  <c r="AG266" i="58" s="1"/>
  <c r="W123" i="47" s="1"/>
  <c r="P221" i="58"/>
  <c r="P259" i="58" s="1"/>
  <c r="O220" i="58"/>
  <c r="O258" i="58" s="1"/>
  <c r="P197" i="58"/>
  <c r="P186" i="58"/>
  <c r="P208" i="58"/>
  <c r="P174" i="58"/>
  <c r="P233" i="58" s="1"/>
  <c r="P248" i="58" s="1"/>
  <c r="P228" i="58"/>
  <c r="P266" i="58" s="1"/>
  <c r="P224" i="58"/>
  <c r="P262" i="58" s="1"/>
  <c r="AG225" i="58"/>
  <c r="AG263" i="58" s="1"/>
  <c r="W126" i="47" s="1"/>
  <c r="X224" i="58"/>
  <c r="X262" i="58" s="1"/>
  <c r="N124" i="47" s="1"/>
  <c r="AG222" i="58"/>
  <c r="AG260" i="58" s="1"/>
  <c r="W121" i="47" s="1"/>
  <c r="X241" i="58"/>
  <c r="X256" i="58" s="1"/>
  <c r="N114" i="47" s="1"/>
  <c r="AA158" i="58"/>
  <c r="AA240" i="58" s="1"/>
  <c r="AA255" i="58" s="1"/>
  <c r="Q116" i="47" s="1"/>
  <c r="AF220" i="58"/>
  <c r="Y202" i="58"/>
  <c r="Y213" i="58"/>
  <c r="Y191" i="58"/>
  <c r="Y179" i="58"/>
  <c r="AH152" i="58"/>
  <c r="AG237" i="58"/>
  <c r="AG252" i="58" s="1"/>
  <c r="W115" i="47" s="1"/>
  <c r="Z164" i="58"/>
  <c r="AH155" i="58"/>
  <c r="Y201" i="58"/>
  <c r="Y212" i="58"/>
  <c r="Y190" i="58"/>
  <c r="Y178" i="58"/>
  <c r="AK158" i="58"/>
  <c r="AK240" i="58" s="1"/>
  <c r="AK255" i="58" s="1"/>
  <c r="AA116" i="47" s="1"/>
  <c r="Y152" i="58"/>
  <c r="AI164" i="58"/>
  <c r="AH176" i="58"/>
  <c r="AH210" i="58"/>
  <c r="AH199" i="58"/>
  <c r="AH188" i="58"/>
  <c r="X228" i="58"/>
  <c r="X266" i="58" s="1"/>
  <c r="N123" i="47" s="1"/>
  <c r="W151" i="58"/>
  <c r="W233" i="58" s="1"/>
  <c r="W248" i="58" s="1"/>
  <c r="M109" i="47" s="1"/>
  <c r="AJ167" i="58"/>
  <c r="AJ166" i="58"/>
  <c r="Z163" i="58"/>
  <c r="AG221" i="58"/>
  <c r="AG259" i="58" s="1"/>
  <c r="W120" i="47" s="1"/>
  <c r="AG234" i="58"/>
  <c r="AG249" i="58" s="1"/>
  <c r="W111" i="47" s="1"/>
  <c r="X222" i="58"/>
  <c r="X260" i="58" s="1"/>
  <c r="N121" i="47" s="1"/>
  <c r="Y210" i="58"/>
  <c r="Y188" i="58"/>
  <c r="Y199" i="58"/>
  <c r="Y176" i="58"/>
  <c r="AG186" i="58"/>
  <c r="AG208" i="58"/>
  <c r="AG174" i="58"/>
  <c r="AG197" i="58"/>
  <c r="X225" i="58"/>
  <c r="X263" i="58" s="1"/>
  <c r="N126" i="47" s="1"/>
  <c r="AH213" i="58"/>
  <c r="AH202" i="58"/>
  <c r="AH191" i="58"/>
  <c r="AH179" i="58"/>
  <c r="AI162" i="58"/>
  <c r="AH153" i="58"/>
  <c r="AG224" i="58"/>
  <c r="AG262" i="58" s="1"/>
  <c r="W124" i="47" s="1"/>
  <c r="AH190" i="58"/>
  <c r="AH178" i="58"/>
  <c r="AH212" i="58"/>
  <c r="AH201" i="58"/>
  <c r="AG151" i="58"/>
  <c r="Y155" i="58"/>
  <c r="AI170" i="58"/>
  <c r="Z170" i="58"/>
  <c r="AA157" i="58"/>
  <c r="AA239" i="58" s="1"/>
  <c r="AA254" i="58" s="1"/>
  <c r="Q110" i="47" s="1"/>
  <c r="Y162" i="58"/>
  <c r="Z167" i="58"/>
  <c r="Z166" i="58"/>
  <c r="X156" i="58"/>
  <c r="X238" i="58" s="1"/>
  <c r="X253" i="58" s="1"/>
  <c r="N117" i="47" s="1"/>
  <c r="AE258" i="58"/>
  <c r="U118" i="47" s="1"/>
  <c r="AG235" i="58"/>
  <c r="AG250" i="58" s="1"/>
  <c r="W112" i="47" s="1"/>
  <c r="Y216" i="58"/>
  <c r="Y205" i="58"/>
  <c r="Y194" i="58"/>
  <c r="Y182" i="58"/>
  <c r="AI159" i="58"/>
  <c r="AK157" i="58"/>
  <c r="AK239" i="58" s="1"/>
  <c r="AK254" i="58" s="1"/>
  <c r="AA110" i="47" s="1"/>
  <c r="AJ163" i="58"/>
  <c r="AH156" i="58"/>
  <c r="X234" i="58"/>
  <c r="X249" i="58" s="1"/>
  <c r="N111" i="47" s="1"/>
  <c r="Y209" i="58"/>
  <c r="Y187" i="58"/>
  <c r="Y198" i="58"/>
  <c r="Y175" i="58"/>
  <c r="AH175" i="58"/>
  <c r="AH209" i="58"/>
  <c r="AH187" i="58"/>
  <c r="AH198" i="58"/>
  <c r="X153" i="58"/>
  <c r="X235" i="58" s="1"/>
  <c r="X250" i="58" s="1"/>
  <c r="N112" i="47" s="1"/>
  <c r="Y159" i="58"/>
  <c r="W220" i="58"/>
  <c r="X186" i="58"/>
  <c r="X208" i="58"/>
  <c r="X174" i="58"/>
  <c r="X197" i="58"/>
  <c r="AH194" i="58"/>
  <c r="AH216" i="58"/>
  <c r="AH182" i="58"/>
  <c r="AH241" i="58" s="1"/>
  <c r="AH256" i="58" s="1"/>
  <c r="X114" i="47" s="1"/>
  <c r="AH205" i="58"/>
  <c r="AZ225" i="58" l="1"/>
  <c r="BB85" i="58" a="1"/>
  <c r="BB85" i="58" s="1"/>
  <c r="BA201" i="58"/>
  <c r="BA178" i="58"/>
  <c r="BA212" i="58"/>
  <c r="BA190" i="58"/>
  <c r="BA98" i="58" a="1"/>
  <c r="BA98" i="58" s="1"/>
  <c r="AZ157" i="58"/>
  <c r="AZ239" i="58" s="1"/>
  <c r="AZ228" i="58"/>
  <c r="AZ96" i="58" a="1"/>
  <c r="AZ96" i="58" s="1"/>
  <c r="AY155" i="58"/>
  <c r="AY237" i="58" s="1"/>
  <c r="BB78" i="58" a="1"/>
  <c r="BB78" i="58" s="1"/>
  <c r="BA170" i="58"/>
  <c r="BB89" i="58" a="1"/>
  <c r="BB89" i="58" s="1"/>
  <c r="BA182" i="58"/>
  <c r="BA216" i="58"/>
  <c r="BA194" i="58"/>
  <c r="BA205" i="58"/>
  <c r="BB86" i="58" a="1"/>
  <c r="BB86" i="58" s="1"/>
  <c r="BA179" i="58"/>
  <c r="BA213" i="58"/>
  <c r="BA191" i="58"/>
  <c r="BA202" i="58"/>
  <c r="AZ97" i="58" a="1"/>
  <c r="AZ97" i="58" s="1"/>
  <c r="AY156" i="58"/>
  <c r="AY238" i="58" s="1"/>
  <c r="BD74" i="58" a="1"/>
  <c r="BD74" i="58" s="1"/>
  <c r="BC166" i="58"/>
  <c r="AZ224" i="58"/>
  <c r="BB75" i="58" a="1"/>
  <c r="BB75" i="58" s="1"/>
  <c r="BA167" i="58"/>
  <c r="BA99" i="58" a="1"/>
  <c r="BA99" i="58" s="1"/>
  <c r="AZ158" i="58"/>
  <c r="AZ240" i="58" s="1"/>
  <c r="AZ222" i="58"/>
  <c r="AZ221" i="58"/>
  <c r="BB83" i="58" a="1"/>
  <c r="BB83" i="58" s="1"/>
  <c r="BA188" i="58"/>
  <c r="BA210" i="58"/>
  <c r="BA176" i="58"/>
  <c r="BA199" i="58"/>
  <c r="BB94" i="58" a="1"/>
  <c r="BB94" i="58" s="1"/>
  <c r="BA153" i="58"/>
  <c r="AZ235" i="58"/>
  <c r="BB72" i="58" a="1"/>
  <c r="BB72" i="58" s="1"/>
  <c r="BA164" i="58"/>
  <c r="BB82" i="58" a="1"/>
  <c r="BB82" i="58" s="1"/>
  <c r="BA175" i="58"/>
  <c r="BA209" i="58"/>
  <c r="BA187" i="58"/>
  <c r="BA198" i="58"/>
  <c r="BC71" i="58" a="1"/>
  <c r="BC71" i="58" s="1"/>
  <c r="BB163" i="58"/>
  <c r="BA93" i="58" a="1"/>
  <c r="BA93" i="58" s="1"/>
  <c r="AZ152" i="58"/>
  <c r="AZ234" i="58" s="1"/>
  <c r="AP263" i="58"/>
  <c r="AF126" i="47" s="1"/>
  <c r="BB70" i="58" a="1"/>
  <c r="BB70" i="58" s="1"/>
  <c r="BA162" i="58"/>
  <c r="AY220" i="58"/>
  <c r="BA81" i="58" a="1"/>
  <c r="BA81" i="58" s="1"/>
  <c r="AZ208" i="58"/>
  <c r="AZ174" i="58"/>
  <c r="AZ186" i="58"/>
  <c r="AZ197" i="58"/>
  <c r="AX220" i="58"/>
  <c r="AP258" i="58" s="1"/>
  <c r="AX155" i="58"/>
  <c r="AX237" i="58" s="1"/>
  <c r="AP252" i="58" s="1"/>
  <c r="AQ100" i="58" a="1"/>
  <c r="AQ100" i="58" s="1"/>
  <c r="AR100" i="58" s="1" a="1"/>
  <c r="AR100" i="58" s="1"/>
  <c r="AS100" i="58" s="1" a="1"/>
  <c r="AS100" i="58" s="1"/>
  <c r="AT100" i="58" s="1" a="1"/>
  <c r="AT100" i="58" s="1"/>
  <c r="AU100" i="58" s="1" a="1"/>
  <c r="AU100" i="58" s="1"/>
  <c r="AV100" i="58" s="1" a="1"/>
  <c r="AV100" i="58" s="1"/>
  <c r="AW100" i="58" s="1" a="1"/>
  <c r="AW100" i="58" s="1"/>
  <c r="AX100" i="58" s="1" a="1"/>
  <c r="AX100" i="58" s="1"/>
  <c r="AY100" i="58" s="1" a="1"/>
  <c r="AY100" i="58" s="1"/>
  <c r="AF110" i="47"/>
  <c r="AX156" i="58"/>
  <c r="AX238" i="58" s="1"/>
  <c r="AP253" i="58" s="1"/>
  <c r="AQ92" i="58" a="1"/>
  <c r="AQ92" i="58" s="1"/>
  <c r="AR92" i="58" s="1" a="1"/>
  <c r="AR92" i="58" s="1"/>
  <c r="AS92" i="58" s="1" a="1"/>
  <c r="AS92" i="58" s="1"/>
  <c r="AT92" i="58" s="1" a="1"/>
  <c r="AT92" i="58" s="1"/>
  <c r="AU92" i="58" s="1" a="1"/>
  <c r="AU92" i="58" s="1"/>
  <c r="AV92" i="58" s="1" a="1"/>
  <c r="AV92" i="58" s="1"/>
  <c r="AW92" i="58" s="1" a="1"/>
  <c r="AW92" i="58" s="1"/>
  <c r="AX92" i="58" s="1" a="1"/>
  <c r="AX92" i="58" s="1"/>
  <c r="AY92" i="58" s="1" a="1"/>
  <c r="AY92" i="58" s="1"/>
  <c r="AF116" i="47"/>
  <c r="AF124" i="47"/>
  <c r="AF121" i="47"/>
  <c r="AH234" i="58"/>
  <c r="AH249" i="58" s="1"/>
  <c r="X111" i="47" s="1"/>
  <c r="AH237" i="58"/>
  <c r="AH252" i="58" s="1"/>
  <c r="X115" i="47" s="1"/>
  <c r="Y234" i="58"/>
  <c r="Y249" i="58" s="1"/>
  <c r="O111" i="47" s="1"/>
  <c r="Y222" i="58"/>
  <c r="Y260" i="58" s="1"/>
  <c r="O121" i="47" s="1"/>
  <c r="P220" i="58"/>
  <c r="P258" i="58" s="1"/>
  <c r="AH238" i="58"/>
  <c r="AH253" i="58" s="1"/>
  <c r="X117" i="47" s="1"/>
  <c r="AB158" i="58"/>
  <c r="AB240" i="58" s="1"/>
  <c r="AB255" i="58" s="1"/>
  <c r="R116" i="47" s="1"/>
  <c r="AC158" i="58"/>
  <c r="AC240" i="58" s="1"/>
  <c r="AC255" i="58" s="1"/>
  <c r="S116" i="47" s="1"/>
  <c r="AH228" i="58"/>
  <c r="AH266" i="58" s="1"/>
  <c r="X123" i="47" s="1"/>
  <c r="AH221" i="58"/>
  <c r="AH259" i="58" s="1"/>
  <c r="X120" i="47" s="1"/>
  <c r="Y221" i="58"/>
  <c r="Y259" i="58" s="1"/>
  <c r="O120" i="47" s="1"/>
  <c r="Y241" i="58"/>
  <c r="Y256" i="58" s="1"/>
  <c r="O114" i="47" s="1"/>
  <c r="AI182" i="58"/>
  <c r="AI241" i="58" s="1"/>
  <c r="AI256" i="58" s="1"/>
  <c r="Y114" i="47" s="1"/>
  <c r="AI216" i="58"/>
  <c r="AI194" i="58"/>
  <c r="AI205" i="58"/>
  <c r="X220" i="58"/>
  <c r="W258" i="58"/>
  <c r="M118" i="47" s="1"/>
  <c r="AI187" i="58"/>
  <c r="AI175" i="58"/>
  <c r="AI209" i="58"/>
  <c r="AI198" i="58"/>
  <c r="Y228" i="58"/>
  <c r="Y266" i="58" s="1"/>
  <c r="O123" i="47" s="1"/>
  <c r="AH224" i="58"/>
  <c r="AH262" i="58" s="1"/>
  <c r="X124" i="47" s="1"/>
  <c r="AH225" i="58"/>
  <c r="AH263" i="58" s="1"/>
  <c r="X126" i="47" s="1"/>
  <c r="AG233" i="58"/>
  <c r="AG248" i="58" s="1"/>
  <c r="W109" i="47" s="1"/>
  <c r="AG220" i="58"/>
  <c r="AH222" i="58"/>
  <c r="AH260" i="58" s="1"/>
  <c r="X121" i="47" s="1"/>
  <c r="AI199" i="58"/>
  <c r="AI188" i="58"/>
  <c r="AI176" i="58"/>
  <c r="AI210" i="58"/>
  <c r="Y224" i="58"/>
  <c r="Y262" i="58" s="1"/>
  <c r="O124" i="47" s="1"/>
  <c r="AI155" i="58"/>
  <c r="AA164" i="58"/>
  <c r="Y225" i="58"/>
  <c r="Y263" i="58" s="1"/>
  <c r="O126" i="47" s="1"/>
  <c r="Y197" i="58"/>
  <c r="Y208" i="58"/>
  <c r="Y186" i="58"/>
  <c r="Y174" i="58"/>
  <c r="Z159" i="58"/>
  <c r="Y153" i="58"/>
  <c r="Y235" i="58" s="1"/>
  <c r="Y250" i="58" s="1"/>
  <c r="O112" i="47" s="1"/>
  <c r="Z209" i="58"/>
  <c r="Z187" i="58"/>
  <c r="Z175" i="58"/>
  <c r="Z198" i="58"/>
  <c r="AI156" i="58"/>
  <c r="AK163" i="58"/>
  <c r="AL157" i="58"/>
  <c r="AL239" i="58" s="1"/>
  <c r="AL254" i="58" s="1"/>
  <c r="AB110" i="47" s="1"/>
  <c r="AJ159" i="58"/>
  <c r="Z205" i="58"/>
  <c r="Z216" i="58"/>
  <c r="Z194" i="58"/>
  <c r="Z182" i="58"/>
  <c r="Y156" i="58"/>
  <c r="Y238" i="58" s="1"/>
  <c r="Y253" i="58" s="1"/>
  <c r="O117" i="47" s="1"/>
  <c r="AA166" i="58"/>
  <c r="AA167" i="58"/>
  <c r="Z162" i="58"/>
  <c r="AB157" i="58"/>
  <c r="AB239" i="58" s="1"/>
  <c r="AB254" i="58" s="1"/>
  <c r="R110" i="47" s="1"/>
  <c r="AC157" i="58"/>
  <c r="AC239" i="58" s="1"/>
  <c r="AC254" i="58" s="1"/>
  <c r="S110" i="47" s="1"/>
  <c r="AA170" i="58"/>
  <c r="AJ170" i="58"/>
  <c r="Z155" i="58"/>
  <c r="AH151" i="58"/>
  <c r="AI178" i="58"/>
  <c r="AI190" i="58"/>
  <c r="AI201" i="58"/>
  <c r="AI212" i="58"/>
  <c r="AI153" i="58"/>
  <c r="AJ162" i="58"/>
  <c r="AI191" i="58"/>
  <c r="AI179" i="58"/>
  <c r="AI202" i="58"/>
  <c r="AI213" i="58"/>
  <c r="AH174" i="58"/>
  <c r="AH208" i="58"/>
  <c r="AH186" i="58"/>
  <c r="AH197" i="58"/>
  <c r="Z199" i="58"/>
  <c r="Z188" i="58"/>
  <c r="Z210" i="58"/>
  <c r="Z176" i="58"/>
  <c r="AA163" i="58"/>
  <c r="AK166" i="58"/>
  <c r="AK167" i="58"/>
  <c r="X151" i="58"/>
  <c r="X233" i="58" s="1"/>
  <c r="X248" i="58" s="1"/>
  <c r="N109" i="47" s="1"/>
  <c r="AH235" i="58"/>
  <c r="AH250" i="58" s="1"/>
  <c r="X112" i="47" s="1"/>
  <c r="AJ164" i="58"/>
  <c r="Z152" i="58"/>
  <c r="AL158" i="58"/>
  <c r="AL240" i="58" s="1"/>
  <c r="AL255" i="58" s="1"/>
  <c r="AB116" i="47" s="1"/>
  <c r="Y237" i="58"/>
  <c r="Y252" i="58" s="1"/>
  <c r="O115" i="47" s="1"/>
  <c r="Z201" i="58"/>
  <c r="Z212" i="58"/>
  <c r="Z190" i="58"/>
  <c r="Z178" i="58"/>
  <c r="AI152" i="58"/>
  <c r="Z191" i="58"/>
  <c r="Z202" i="58"/>
  <c r="Z213" i="58"/>
  <c r="Z179" i="58"/>
  <c r="AF258" i="58"/>
  <c r="V118" i="47" s="1"/>
  <c r="BA97" i="58" l="1" a="1"/>
  <c r="BA97" i="58" s="1"/>
  <c r="AZ156" i="58"/>
  <c r="AZ238" i="58" s="1"/>
  <c r="BC78" i="58" a="1"/>
  <c r="BC78" i="58" s="1"/>
  <c r="BB170" i="58"/>
  <c r="BB99" i="58" a="1"/>
  <c r="BB99" i="58" s="1"/>
  <c r="BA158" i="58"/>
  <c r="BA240" i="58" s="1"/>
  <c r="BA225" i="58"/>
  <c r="AZ100" i="58" a="1"/>
  <c r="AZ100" i="58" s="1"/>
  <c r="AY159" i="58"/>
  <c r="AY241" i="58" s="1"/>
  <c r="BA96" i="58" a="1"/>
  <c r="BA96" i="58" s="1"/>
  <c r="AZ155" i="58"/>
  <c r="AZ237" i="58" s="1"/>
  <c r="BC75" i="58" a="1"/>
  <c r="BC75" i="58" s="1"/>
  <c r="BB167" i="58"/>
  <c r="BC86" i="58" a="1"/>
  <c r="BC86" i="58" s="1"/>
  <c r="BB179" i="58"/>
  <c r="BB213" i="58"/>
  <c r="BB202" i="58"/>
  <c r="BB191" i="58"/>
  <c r="BB98" i="58" a="1"/>
  <c r="BB98" i="58" s="1"/>
  <c r="BA157" i="58"/>
  <c r="BA239" i="58" s="1"/>
  <c r="BA228" i="58"/>
  <c r="BA224" i="58"/>
  <c r="BE74" i="58" a="1"/>
  <c r="BE74" i="58" s="1"/>
  <c r="BD166" i="58"/>
  <c r="BC89" i="58" a="1"/>
  <c r="BC89" i="58" s="1"/>
  <c r="BB205" i="58"/>
  <c r="BB182" i="58"/>
  <c r="BB216" i="58"/>
  <c r="BB194" i="58"/>
  <c r="BC85" i="58" a="1"/>
  <c r="BC85" i="58" s="1"/>
  <c r="BB201" i="58"/>
  <c r="BB178" i="58"/>
  <c r="BB212" i="58"/>
  <c r="BB190" i="58"/>
  <c r="BA235" i="58"/>
  <c r="BA221" i="58"/>
  <c r="BC72" i="58" a="1"/>
  <c r="BC72" i="58" s="1"/>
  <c r="BB164" i="58"/>
  <c r="BC94" i="58" a="1"/>
  <c r="BC94" i="58" s="1"/>
  <c r="BB153" i="58"/>
  <c r="BA222" i="58"/>
  <c r="BC83" i="58" a="1"/>
  <c r="BC83" i="58" s="1"/>
  <c r="BB199" i="58"/>
  <c r="BB188" i="58"/>
  <c r="BB210" i="58"/>
  <c r="BB176" i="58"/>
  <c r="BB93" i="58" a="1"/>
  <c r="BB93" i="58" s="1"/>
  <c r="BA152" i="58"/>
  <c r="BA234" i="58" s="1"/>
  <c r="BD71" i="58" a="1"/>
  <c r="BD71" i="58" s="1"/>
  <c r="BC163" i="58"/>
  <c r="BC82" i="58" a="1"/>
  <c r="BC82" i="58" s="1"/>
  <c r="BB187" i="58"/>
  <c r="BB209" i="58"/>
  <c r="BB198" i="58"/>
  <c r="BB175" i="58"/>
  <c r="AZ220" i="58"/>
  <c r="BB81" i="58" a="1"/>
  <c r="BB81" i="58" s="1"/>
  <c r="BA208" i="58"/>
  <c r="BA174" i="58"/>
  <c r="BA186" i="58"/>
  <c r="BA197" i="58"/>
  <c r="AZ92" i="58" a="1"/>
  <c r="AZ92" i="58" s="1"/>
  <c r="AY151" i="58"/>
  <c r="AY233" i="58" s="1"/>
  <c r="BC70" i="58" a="1"/>
  <c r="BC70" i="58" s="1"/>
  <c r="BB162" i="58"/>
  <c r="AX151" i="58"/>
  <c r="AX233" i="58" s="1"/>
  <c r="AP248" i="58" s="1"/>
  <c r="AF117" i="47"/>
  <c r="AX159" i="58"/>
  <c r="AX241" i="58" s="1"/>
  <c r="AP256" i="58" s="1"/>
  <c r="AF115" i="47"/>
  <c r="AF118" i="47"/>
  <c r="AI238" i="58"/>
  <c r="AI253" i="58" s="1"/>
  <c r="Y117" i="47" s="1"/>
  <c r="Z237" i="58"/>
  <c r="Z252" i="58" s="1"/>
  <c r="P115" i="47" s="1"/>
  <c r="AH220" i="58"/>
  <c r="AH258" i="58" s="1"/>
  <c r="X118" i="47" s="1"/>
  <c r="AH233" i="58"/>
  <c r="AH248" i="58" s="1"/>
  <c r="X109" i="47" s="1"/>
  <c r="AI237" i="58"/>
  <c r="AI252" i="58" s="1"/>
  <c r="Y115" i="47" s="1"/>
  <c r="Z241" i="58"/>
  <c r="Z256" i="58" s="1"/>
  <c r="P114" i="47" s="1"/>
  <c r="Z228" i="58"/>
  <c r="Z266" i="58" s="1"/>
  <c r="P123" i="47" s="1"/>
  <c r="Y220" i="58"/>
  <c r="Y258" i="58" s="1"/>
  <c r="O118" i="47" s="1"/>
  <c r="AA191" i="58"/>
  <c r="AA202" i="58"/>
  <c r="AA179" i="58"/>
  <c r="AA213" i="58"/>
  <c r="AJ152" i="58"/>
  <c r="AA178" i="58"/>
  <c r="AA212" i="58"/>
  <c r="AA190" i="58"/>
  <c r="AA201" i="58"/>
  <c r="AM158" i="58"/>
  <c r="AM240" i="58" s="1"/>
  <c r="AM255" i="58" s="1"/>
  <c r="AC116" i="47" s="1"/>
  <c r="AA152" i="58"/>
  <c r="AK164" i="58"/>
  <c r="AL167" i="58"/>
  <c r="AL166" i="58"/>
  <c r="AJ202" i="58"/>
  <c r="AJ213" i="58"/>
  <c r="AJ191" i="58"/>
  <c r="AJ179" i="58"/>
  <c r="AI151" i="58"/>
  <c r="AA155" i="58"/>
  <c r="AK170" i="58"/>
  <c r="AB170" i="58"/>
  <c r="AC170" i="58"/>
  <c r="AA162" i="58"/>
  <c r="AB167" i="58"/>
  <c r="AC167" i="58"/>
  <c r="AB166" i="58"/>
  <c r="AC166" i="58"/>
  <c r="Z156" i="58"/>
  <c r="Z238" i="58" s="1"/>
  <c r="Z253" i="58" s="1"/>
  <c r="P117" i="47" s="1"/>
  <c r="AA216" i="58"/>
  <c r="AA182" i="58"/>
  <c r="AA194" i="58"/>
  <c r="AA205" i="58"/>
  <c r="AL163" i="58"/>
  <c r="Z234" i="58"/>
  <c r="Z249" i="58" s="1"/>
  <c r="P111" i="47" s="1"/>
  <c r="Z153" i="58"/>
  <c r="Z235" i="58" s="1"/>
  <c r="Z250" i="58" s="1"/>
  <c r="P112" i="47" s="1"/>
  <c r="AA159" i="58"/>
  <c r="Z197" i="58"/>
  <c r="Z208" i="58"/>
  <c r="Z186" i="58"/>
  <c r="Z174" i="58"/>
  <c r="AB164" i="58"/>
  <c r="AC164" i="58"/>
  <c r="AJ155" i="58"/>
  <c r="AI235" i="58"/>
  <c r="AI250" i="58" s="1"/>
  <c r="Y112" i="47" s="1"/>
  <c r="AI234" i="58"/>
  <c r="AI249" i="58" s="1"/>
  <c r="Y111" i="47" s="1"/>
  <c r="AJ198" i="58"/>
  <c r="AJ209" i="58"/>
  <c r="AJ175" i="58"/>
  <c r="AJ187" i="58"/>
  <c r="AI228" i="58"/>
  <c r="AI266" i="58" s="1"/>
  <c r="Y123" i="47" s="1"/>
  <c r="Z225" i="58"/>
  <c r="Z263" i="58" s="1"/>
  <c r="P126" i="47" s="1"/>
  <c r="Z224" i="58"/>
  <c r="Z262" i="58" s="1"/>
  <c r="P124" i="47" s="1"/>
  <c r="Y151" i="58"/>
  <c r="Y233" i="58" s="1"/>
  <c r="Y248" i="58" s="1"/>
  <c r="O109" i="47" s="1"/>
  <c r="AB163" i="58"/>
  <c r="AC163" i="58"/>
  <c r="Z222" i="58"/>
  <c r="Z260" i="58" s="1"/>
  <c r="P121" i="47" s="1"/>
  <c r="AA176" i="58"/>
  <c r="AA188" i="58"/>
  <c r="AA199" i="58"/>
  <c r="AA210" i="58"/>
  <c r="AI197" i="58"/>
  <c r="AI186" i="58"/>
  <c r="AI174" i="58"/>
  <c r="AI208" i="58"/>
  <c r="AI225" i="58"/>
  <c r="AI263" i="58" s="1"/>
  <c r="Y126" i="47" s="1"/>
  <c r="AK162" i="58"/>
  <c r="AJ153" i="58"/>
  <c r="AI224" i="58"/>
  <c r="AI262" i="58" s="1"/>
  <c r="Y124" i="47" s="1"/>
  <c r="AJ201" i="58"/>
  <c r="AJ212" i="58"/>
  <c r="AJ190" i="58"/>
  <c r="AJ178" i="58"/>
  <c r="AK159" i="58"/>
  <c r="AM157" i="58"/>
  <c r="AM239" i="58" s="1"/>
  <c r="AM254" i="58" s="1"/>
  <c r="AC110" i="47" s="1"/>
  <c r="AJ156" i="58"/>
  <c r="Z221" i="58"/>
  <c r="Z259" i="58" s="1"/>
  <c r="P120" i="47" s="1"/>
  <c r="AA175" i="58"/>
  <c r="AA209" i="58"/>
  <c r="AA198" i="58"/>
  <c r="AA187" i="58"/>
  <c r="AI222" i="58"/>
  <c r="AI260" i="58" s="1"/>
  <c r="Y121" i="47" s="1"/>
  <c r="AJ210" i="58"/>
  <c r="AJ188" i="58"/>
  <c r="AJ176" i="58"/>
  <c r="AJ199" i="58"/>
  <c r="AG258" i="58"/>
  <c r="W118" i="47" s="1"/>
  <c r="AI221" i="58"/>
  <c r="AI259" i="58" s="1"/>
  <c r="Y120" i="47" s="1"/>
  <c r="X258" i="58"/>
  <c r="N118" i="47" s="1"/>
  <c r="AJ182" i="58"/>
  <c r="AJ241" i="58" s="1"/>
  <c r="AJ256" i="58" s="1"/>
  <c r="Z114" i="47" s="1"/>
  <c r="AJ205" i="58"/>
  <c r="AJ216" i="58"/>
  <c r="AJ194" i="58"/>
  <c r="BB225" i="58" l="1"/>
  <c r="BB96" i="58" a="1"/>
  <c r="BB96" i="58" s="1"/>
  <c r="BA155" i="58"/>
  <c r="BA237" i="58" s="1"/>
  <c r="BD85" i="58" a="1"/>
  <c r="BD85" i="58" s="1"/>
  <c r="BC201" i="58"/>
  <c r="BC190" i="58"/>
  <c r="BC178" i="58"/>
  <c r="BC212" i="58"/>
  <c r="BB228" i="58"/>
  <c r="BC98" i="58" a="1"/>
  <c r="BC98" i="58" s="1"/>
  <c r="BB157" i="58"/>
  <c r="BB239" i="58" s="1"/>
  <c r="BA100" i="58" a="1"/>
  <c r="BA100" i="58" s="1"/>
  <c r="AZ159" i="58"/>
  <c r="AZ241" i="58" s="1"/>
  <c r="BC99" i="58" a="1"/>
  <c r="BC99" i="58" s="1"/>
  <c r="BB158" i="58"/>
  <c r="BB240" i="58" s="1"/>
  <c r="BD89" i="58" a="1"/>
  <c r="BD89" i="58" s="1"/>
  <c r="BC182" i="58"/>
  <c r="BC216" i="58"/>
  <c r="BC194" i="58"/>
  <c r="BC205" i="58"/>
  <c r="BD86" i="58" a="1"/>
  <c r="BD86" i="58" s="1"/>
  <c r="BC179" i="58"/>
  <c r="BC213" i="58"/>
  <c r="BC191" i="58"/>
  <c r="BC202" i="58"/>
  <c r="BD78" i="58" a="1"/>
  <c r="BD78" i="58" s="1"/>
  <c r="BC170" i="58"/>
  <c r="BB224" i="58"/>
  <c r="BF74" i="58" a="1"/>
  <c r="BF74" i="58" s="1"/>
  <c r="BE166" i="58"/>
  <c r="BD75" i="58" a="1"/>
  <c r="BD75" i="58" s="1"/>
  <c r="BC167" i="58"/>
  <c r="BB97" i="58" a="1"/>
  <c r="BB97" i="58" s="1"/>
  <c r="BA156" i="58"/>
  <c r="BA238" i="58" s="1"/>
  <c r="BB222" i="58"/>
  <c r="BD83" i="58" a="1"/>
  <c r="BD83" i="58" s="1"/>
  <c r="BC199" i="58"/>
  <c r="BC188" i="58"/>
  <c r="BC210" i="58"/>
  <c r="BC176" i="58"/>
  <c r="BD94" i="58" a="1"/>
  <c r="BD94" i="58" s="1"/>
  <c r="BC153" i="58"/>
  <c r="BB235" i="58"/>
  <c r="BD72" i="58" a="1"/>
  <c r="BD72" i="58" s="1"/>
  <c r="BC164" i="58"/>
  <c r="BB221" i="58"/>
  <c r="BD82" i="58" a="1"/>
  <c r="BD82" i="58" s="1"/>
  <c r="BC175" i="58"/>
  <c r="BC187" i="58"/>
  <c r="BC198" i="58"/>
  <c r="BC209" i="58"/>
  <c r="BE71" i="58" a="1"/>
  <c r="BE71" i="58" s="1"/>
  <c r="BD163" i="58"/>
  <c r="BC93" i="58" a="1"/>
  <c r="BC93" i="58" s="1"/>
  <c r="BB152" i="58"/>
  <c r="BB234" i="58" s="1"/>
  <c r="BD70" i="58" a="1"/>
  <c r="BD70" i="58" s="1"/>
  <c r="BC162" i="58"/>
  <c r="BA92" i="58" a="1"/>
  <c r="BA92" i="58" s="1"/>
  <c r="AZ151" i="58"/>
  <c r="AZ233" i="58" s="1"/>
  <c r="BA220" i="58"/>
  <c r="BC81" i="58" a="1"/>
  <c r="BC81" i="58" s="1"/>
  <c r="BB208" i="58"/>
  <c r="BB174" i="58"/>
  <c r="BB186" i="58"/>
  <c r="BB197" i="58"/>
  <c r="AF114" i="47"/>
  <c r="AF109" i="47"/>
  <c r="AA234" i="58"/>
  <c r="AA249" i="58" s="1"/>
  <c r="Q111" i="47" s="1"/>
  <c r="AA237" i="58"/>
  <c r="AA252" i="58" s="1"/>
  <c r="Q115" i="47" s="1"/>
  <c r="AJ237" i="58"/>
  <c r="AJ252" i="58" s="1"/>
  <c r="Z115" i="47" s="1"/>
  <c r="AJ234" i="58"/>
  <c r="AJ249" i="58" s="1"/>
  <c r="Z111" i="47" s="1"/>
  <c r="AJ228" i="58"/>
  <c r="AJ266" i="58" s="1"/>
  <c r="Z123" i="47" s="1"/>
  <c r="AI233" i="58"/>
  <c r="AI248" i="58" s="1"/>
  <c r="Y109" i="47" s="1"/>
  <c r="AA228" i="58"/>
  <c r="AA266" i="58" s="1"/>
  <c r="Q123" i="47" s="1"/>
  <c r="AJ224" i="58"/>
  <c r="AJ262" i="58" s="1"/>
  <c r="Z124" i="47" s="1"/>
  <c r="AJ235" i="58"/>
  <c r="AJ250" i="58" s="1"/>
  <c r="Z112" i="47" s="1"/>
  <c r="AA221" i="58"/>
  <c r="AA259" i="58" s="1"/>
  <c r="Q120" i="47" s="1"/>
  <c r="AB187" i="58"/>
  <c r="AB198" i="58"/>
  <c r="AB209" i="58"/>
  <c r="AB175" i="58"/>
  <c r="AK156" i="58"/>
  <c r="AN157" i="58"/>
  <c r="AN239" i="58" s="1"/>
  <c r="AN254" i="58" s="1"/>
  <c r="AD110" i="47" s="1"/>
  <c r="AK178" i="58"/>
  <c r="AK212" i="58"/>
  <c r="AK201" i="58"/>
  <c r="AK190" i="58"/>
  <c r="AK153" i="58"/>
  <c r="AA222" i="58"/>
  <c r="AA260" i="58" s="1"/>
  <c r="Q121" i="47" s="1"/>
  <c r="AB188" i="58"/>
  <c r="AB199" i="58"/>
  <c r="AB210" i="58"/>
  <c r="AB176" i="58"/>
  <c r="AJ221" i="58"/>
  <c r="AJ259" i="58" s="1"/>
  <c r="Z120" i="47" s="1"/>
  <c r="AK175" i="58"/>
  <c r="AK209" i="58"/>
  <c r="AK198" i="58"/>
  <c r="AK187" i="58"/>
  <c r="Z220" i="58"/>
  <c r="AM163" i="58"/>
  <c r="AA241" i="58"/>
  <c r="AA256" i="58" s="1"/>
  <c r="Q114" i="47" s="1"/>
  <c r="AB194" i="58"/>
  <c r="AB205" i="58"/>
  <c r="AB182" i="58"/>
  <c r="AB216" i="58"/>
  <c r="AL170" i="58"/>
  <c r="AJ225" i="58"/>
  <c r="AJ263" i="58" s="1"/>
  <c r="Z126" i="47" s="1"/>
  <c r="AL164" i="58"/>
  <c r="AA224" i="58"/>
  <c r="AA262" i="58" s="1"/>
  <c r="Q124" i="47" s="1"/>
  <c r="AK152" i="58"/>
  <c r="AA225" i="58"/>
  <c r="AA263" i="58" s="1"/>
  <c r="Q126" i="47" s="1"/>
  <c r="AB179" i="58"/>
  <c r="AB191" i="58"/>
  <c r="AB213" i="58"/>
  <c r="AB202" i="58"/>
  <c r="AK182" i="58"/>
  <c r="AK241" i="58" s="1"/>
  <c r="AK256" i="58" s="1"/>
  <c r="AA114" i="47" s="1"/>
  <c r="AK194" i="58"/>
  <c r="AK216" i="58"/>
  <c r="AK205" i="58"/>
  <c r="AJ222" i="58"/>
  <c r="AJ260" i="58" s="1"/>
  <c r="Z121" i="47" s="1"/>
  <c r="AK199" i="58"/>
  <c r="AK176" i="58"/>
  <c r="AK210" i="58"/>
  <c r="AK188" i="58"/>
  <c r="AL159" i="58"/>
  <c r="AL162" i="58"/>
  <c r="AI220" i="58"/>
  <c r="AJ197" i="58"/>
  <c r="AJ174" i="58"/>
  <c r="AJ208" i="58"/>
  <c r="AJ186" i="58"/>
  <c r="Z151" i="58"/>
  <c r="Z233" i="58" s="1"/>
  <c r="Z248" i="58" s="1"/>
  <c r="P109" i="47" s="1"/>
  <c r="AK155" i="58"/>
  <c r="AA197" i="58"/>
  <c r="AA186" i="58"/>
  <c r="AA208" i="58"/>
  <c r="AA174" i="58"/>
  <c r="AB159" i="58"/>
  <c r="AC159" i="58"/>
  <c r="AA153" i="58"/>
  <c r="AA235" i="58" s="1"/>
  <c r="AA250" i="58" s="1"/>
  <c r="Q112" i="47" s="1"/>
  <c r="AA156" i="58"/>
  <c r="AA238" i="58" s="1"/>
  <c r="AA253" i="58" s="1"/>
  <c r="Q117" i="47" s="1"/>
  <c r="AB162" i="58"/>
  <c r="AC162" i="58"/>
  <c r="AB155" i="58"/>
  <c r="AC155" i="58"/>
  <c r="AJ151" i="58"/>
  <c r="AJ238" i="58"/>
  <c r="AJ253" i="58" s="1"/>
  <c r="Z117" i="47" s="1"/>
  <c r="AK213" i="58"/>
  <c r="AK191" i="58"/>
  <c r="AK179" i="58"/>
  <c r="AK202" i="58"/>
  <c r="AM166" i="58"/>
  <c r="AM167" i="58"/>
  <c r="AB152" i="58"/>
  <c r="AC152" i="58"/>
  <c r="AN158" i="58"/>
  <c r="AN240" i="58" s="1"/>
  <c r="AN255" i="58" s="1"/>
  <c r="AD116" i="47" s="1"/>
  <c r="AB201" i="58"/>
  <c r="AB212" i="58"/>
  <c r="AB190" i="58"/>
  <c r="AB178" i="58"/>
  <c r="BC228" i="58" l="1"/>
  <c r="BC97" i="58" a="1"/>
  <c r="BC97" i="58" s="1"/>
  <c r="BB156" i="58"/>
  <c r="BB238" i="58" s="1"/>
  <c r="BB100" i="58" a="1"/>
  <c r="BB100" i="58" s="1"/>
  <c r="BA159" i="58"/>
  <c r="BA241" i="58" s="1"/>
  <c r="BE75" i="58" a="1"/>
  <c r="BE75" i="58" s="1"/>
  <c r="BD167" i="58"/>
  <c r="BE86" i="58" a="1"/>
  <c r="BE86" i="58" s="1"/>
  <c r="BD202" i="58"/>
  <c r="BD179" i="58"/>
  <c r="BD213" i="58"/>
  <c r="BD191" i="58"/>
  <c r="BD98" i="58" a="1"/>
  <c r="BD98" i="58" s="1"/>
  <c r="BC157" i="58"/>
  <c r="BC239" i="58" s="1"/>
  <c r="BG74" i="58" a="1"/>
  <c r="BG74" i="58" s="1"/>
  <c r="BF166" i="58"/>
  <c r="BC224" i="58"/>
  <c r="BE89" i="58" a="1"/>
  <c r="BE89" i="58" s="1"/>
  <c r="BD205" i="58"/>
  <c r="BD182" i="58"/>
  <c r="BD216" i="58"/>
  <c r="BD194" i="58"/>
  <c r="BE85" i="58" a="1"/>
  <c r="BE85" i="58" s="1"/>
  <c r="BD190" i="58"/>
  <c r="BD201" i="58"/>
  <c r="BD178" i="58"/>
  <c r="BD212" i="58"/>
  <c r="BE78" i="58" a="1"/>
  <c r="BE78" i="58" s="1"/>
  <c r="BD170" i="58"/>
  <c r="BD99" i="58" a="1"/>
  <c r="BD99" i="58" s="1"/>
  <c r="BC158" i="58"/>
  <c r="BC240" i="58" s="1"/>
  <c r="BC96" i="58" a="1"/>
  <c r="BC96" i="58" s="1"/>
  <c r="BB155" i="58"/>
  <c r="BB237" i="58" s="1"/>
  <c r="BC225" i="58"/>
  <c r="BC235" i="58"/>
  <c r="BC222" i="58"/>
  <c r="BE72" i="58" a="1"/>
  <c r="BE72" i="58" s="1"/>
  <c r="BD164" i="58"/>
  <c r="BE94" i="58" a="1"/>
  <c r="BE94" i="58" s="1"/>
  <c r="BD153" i="58"/>
  <c r="BE83" i="58" a="1"/>
  <c r="BE83" i="58" s="1"/>
  <c r="BD210" i="58"/>
  <c r="BD199" i="58"/>
  <c r="BD188" i="58"/>
  <c r="BD176" i="58"/>
  <c r="BD93" i="58" a="1"/>
  <c r="BD93" i="58" s="1"/>
  <c r="BC152" i="58"/>
  <c r="BC234" i="58" s="1"/>
  <c r="BF71" i="58" a="1"/>
  <c r="BF71" i="58" s="1"/>
  <c r="BE163" i="58"/>
  <c r="BC221" i="58"/>
  <c r="BE82" i="58" a="1"/>
  <c r="BE82" i="58" s="1"/>
  <c r="BD209" i="58"/>
  <c r="BD175" i="58"/>
  <c r="BD187" i="58"/>
  <c r="BD198" i="58"/>
  <c r="BB220" i="58"/>
  <c r="BD81" i="58" a="1"/>
  <c r="BD81" i="58" s="1"/>
  <c r="BC208" i="58"/>
  <c r="BC174" i="58"/>
  <c r="BC186" i="58"/>
  <c r="BC197" i="58"/>
  <c r="BB92" i="58" a="1"/>
  <c r="BB92" i="58" s="1"/>
  <c r="BA151" i="58"/>
  <c r="BA233" i="58" s="1"/>
  <c r="BE70" i="58" a="1"/>
  <c r="BE70" i="58" s="1"/>
  <c r="BD162" i="58"/>
  <c r="AK238" i="58"/>
  <c r="AK253" i="58" s="1"/>
  <c r="AA117" i="47" s="1"/>
  <c r="AB237" i="58"/>
  <c r="AB252" i="58" s="1"/>
  <c r="R115" i="47" s="1"/>
  <c r="AA220" i="58"/>
  <c r="AA258" i="58" s="1"/>
  <c r="Q118" i="47" s="1"/>
  <c r="AJ220" i="58"/>
  <c r="AJ258" i="58" s="1"/>
  <c r="Z118" i="47" s="1"/>
  <c r="AK235" i="58"/>
  <c r="AK250" i="58" s="1"/>
  <c r="AA112" i="47" s="1"/>
  <c r="AB224" i="58"/>
  <c r="AB262" i="58" s="1"/>
  <c r="R124" i="47" s="1"/>
  <c r="AK222" i="58"/>
  <c r="AK260" i="58" s="1"/>
  <c r="AA121" i="47" s="1"/>
  <c r="AK221" i="58"/>
  <c r="AK259" i="58" s="1"/>
  <c r="AA120" i="47" s="1"/>
  <c r="AJ233" i="58"/>
  <c r="AJ248" i="58" s="1"/>
  <c r="Z109" i="47" s="1"/>
  <c r="AO158" i="58"/>
  <c r="AO240" i="58" s="1"/>
  <c r="AN167" i="58"/>
  <c r="AN166" i="58"/>
  <c r="AK225" i="58"/>
  <c r="AK263" i="58" s="1"/>
  <c r="AA126" i="47" s="1"/>
  <c r="AL202" i="58"/>
  <c r="AL191" i="58"/>
  <c r="AL179" i="58"/>
  <c r="AL213" i="58"/>
  <c r="AK151" i="58"/>
  <c r="AB156" i="58"/>
  <c r="AB238" i="58" s="1"/>
  <c r="AB253" i="58" s="1"/>
  <c r="R117" i="47" s="1"/>
  <c r="AC156" i="58"/>
  <c r="AB153" i="58"/>
  <c r="AB235" i="58" s="1"/>
  <c r="AB250" i="58" s="1"/>
  <c r="R112" i="47" s="1"/>
  <c r="AC153" i="58"/>
  <c r="AB186" i="58"/>
  <c r="AB197" i="58"/>
  <c r="AB174" i="58"/>
  <c r="AB208" i="58"/>
  <c r="AA151" i="58"/>
  <c r="AA233" i="58" s="1"/>
  <c r="AA248" i="58" s="1"/>
  <c r="Q109" i="47" s="1"/>
  <c r="AK174" i="58"/>
  <c r="AK208" i="58"/>
  <c r="AK197" i="58"/>
  <c r="AK186" i="58"/>
  <c r="AM162" i="58"/>
  <c r="AL199" i="58"/>
  <c r="AL188" i="58"/>
  <c r="AL176" i="58"/>
  <c r="AL210" i="58"/>
  <c r="AK228" i="58"/>
  <c r="AK266" i="58" s="1"/>
  <c r="AA123" i="47" s="1"/>
  <c r="AL182" i="58"/>
  <c r="AL241" i="58" s="1"/>
  <c r="AL256" i="58" s="1"/>
  <c r="AB114" i="47" s="1"/>
  <c r="AL205" i="58"/>
  <c r="AL194" i="58"/>
  <c r="AL216" i="58"/>
  <c r="AM164" i="58"/>
  <c r="AB241" i="58"/>
  <c r="AB256" i="58" s="1"/>
  <c r="R114" i="47" s="1"/>
  <c r="AB228" i="58"/>
  <c r="AB266" i="58" s="1"/>
  <c r="R123" i="47" s="1"/>
  <c r="AL175" i="58"/>
  <c r="AL198" i="58"/>
  <c r="AL187" i="58"/>
  <c r="AL209" i="58"/>
  <c r="AC199" i="58"/>
  <c r="AC176" i="58"/>
  <c r="AC210" i="58"/>
  <c r="AC188" i="58"/>
  <c r="AL153" i="58"/>
  <c r="AK224" i="58"/>
  <c r="AK262" i="58" s="1"/>
  <c r="AA124" i="47" s="1"/>
  <c r="AL212" i="58"/>
  <c r="AL201" i="58"/>
  <c r="AL178" i="58"/>
  <c r="AL190" i="58"/>
  <c r="AL156" i="58"/>
  <c r="AB221" i="58"/>
  <c r="AB259" i="58" s="1"/>
  <c r="R120" i="47" s="1"/>
  <c r="AC201" i="58"/>
  <c r="AC190" i="58"/>
  <c r="AC178" i="58"/>
  <c r="AC237" i="58" s="1"/>
  <c r="AC252" i="58" s="1"/>
  <c r="S115" i="47" s="1"/>
  <c r="AC212" i="58"/>
  <c r="AL155" i="58"/>
  <c r="AI258" i="58"/>
  <c r="Y118" i="47" s="1"/>
  <c r="AM159" i="58"/>
  <c r="AB225" i="58"/>
  <c r="AB263" i="58" s="1"/>
  <c r="R126" i="47" s="1"/>
  <c r="AC202" i="58"/>
  <c r="AC179" i="58"/>
  <c r="AC213" i="58"/>
  <c r="AC191" i="58"/>
  <c r="AL152" i="58"/>
  <c r="AM170" i="58"/>
  <c r="AC205" i="58"/>
  <c r="AC182" i="58"/>
  <c r="AC241" i="58" s="1"/>
  <c r="AC256" i="58" s="1"/>
  <c r="S114" i="47" s="1"/>
  <c r="AC216" i="58"/>
  <c r="AC194" i="58"/>
  <c r="AN163" i="58"/>
  <c r="Z258" i="58"/>
  <c r="P118" i="47" s="1"/>
  <c r="AK234" i="58"/>
  <c r="AK249" i="58" s="1"/>
  <c r="AA111" i="47" s="1"/>
  <c r="AB222" i="58"/>
  <c r="AB260" i="58" s="1"/>
  <c r="R121" i="47" s="1"/>
  <c r="AK237" i="58"/>
  <c r="AK252" i="58" s="1"/>
  <c r="AA115" i="47" s="1"/>
  <c r="AO157" i="58"/>
  <c r="AO239" i="58" s="1"/>
  <c r="AB234" i="58"/>
  <c r="AB249" i="58" s="1"/>
  <c r="R111" i="47" s="1"/>
  <c r="AC198" i="58"/>
  <c r="AC175" i="58"/>
  <c r="AC234" i="58" s="1"/>
  <c r="AC249" i="58" s="1"/>
  <c r="S111" i="47" s="1"/>
  <c r="AC209" i="58"/>
  <c r="AC187" i="58"/>
  <c r="BD235" i="58" l="1"/>
  <c r="BD96" i="58" a="1"/>
  <c r="BD96" i="58" s="1"/>
  <c r="BC155" i="58"/>
  <c r="BC237" i="58" s="1"/>
  <c r="BD228" i="58"/>
  <c r="BD221" i="58"/>
  <c r="BE99" i="58" a="1"/>
  <c r="BE99" i="58" s="1"/>
  <c r="BD158" i="58"/>
  <c r="BD240" i="58" s="1"/>
  <c r="BF89" i="58" a="1"/>
  <c r="BF89" i="58" s="1"/>
  <c r="BE205" i="58"/>
  <c r="BE182" i="58"/>
  <c r="BE216" i="58"/>
  <c r="BE194" i="58"/>
  <c r="BD225" i="58"/>
  <c r="BF86" i="58" a="1"/>
  <c r="BF86" i="58" s="1"/>
  <c r="BE202" i="58"/>
  <c r="BE179" i="58"/>
  <c r="BE213" i="58"/>
  <c r="BE191" i="58"/>
  <c r="BF78" i="58" a="1"/>
  <c r="BF78" i="58" s="1"/>
  <c r="BE170" i="58"/>
  <c r="BF75" i="58" a="1"/>
  <c r="BF75" i="58" s="1"/>
  <c r="BE167" i="58"/>
  <c r="BH74" i="58" a="1"/>
  <c r="BH74" i="58" s="1"/>
  <c r="BG166" i="58"/>
  <c r="BD224" i="58"/>
  <c r="BC100" i="58" a="1"/>
  <c r="BC100" i="58" s="1"/>
  <c r="BB159" i="58"/>
  <c r="BB241" i="58" s="1"/>
  <c r="BF85" i="58" a="1"/>
  <c r="BF85" i="58" s="1"/>
  <c r="BE190" i="58"/>
  <c r="BE201" i="58"/>
  <c r="BE178" i="58"/>
  <c r="BE212" i="58"/>
  <c r="BE98" i="58" a="1"/>
  <c r="BE98" i="58" s="1"/>
  <c r="BD157" i="58"/>
  <c r="BD239" i="58" s="1"/>
  <c r="BD97" i="58" a="1"/>
  <c r="BD97" i="58" s="1"/>
  <c r="BC156" i="58"/>
  <c r="BC238" i="58" s="1"/>
  <c r="BD222" i="58"/>
  <c r="BF83" i="58" a="1"/>
  <c r="BF83" i="58" s="1"/>
  <c r="BE210" i="58"/>
  <c r="BE199" i="58"/>
  <c r="BE188" i="58"/>
  <c r="BE176" i="58"/>
  <c r="BF94" i="58" a="1"/>
  <c r="BF94" i="58" s="1"/>
  <c r="BE153" i="58"/>
  <c r="BF72" i="58" a="1"/>
  <c r="BF72" i="58" s="1"/>
  <c r="BE164" i="58"/>
  <c r="BF82" i="58" a="1"/>
  <c r="BF82" i="58" s="1"/>
  <c r="BE209" i="58"/>
  <c r="BE175" i="58"/>
  <c r="BE187" i="58"/>
  <c r="BE198" i="58"/>
  <c r="BG71" i="58" a="1"/>
  <c r="BG71" i="58" s="1"/>
  <c r="BF163" i="58"/>
  <c r="BE93" i="58" a="1"/>
  <c r="BE93" i="58" s="1"/>
  <c r="BD152" i="58"/>
  <c r="BD234" i="58" s="1"/>
  <c r="BF70" i="58" a="1"/>
  <c r="BF70" i="58" s="1"/>
  <c r="BE162" i="58"/>
  <c r="BC92" i="58" a="1"/>
  <c r="BC92" i="58" s="1"/>
  <c r="BB151" i="58"/>
  <c r="BB233" i="58" s="1"/>
  <c r="BC220" i="58"/>
  <c r="BE81" i="58" a="1"/>
  <c r="BE81" i="58" s="1"/>
  <c r="BD208" i="58"/>
  <c r="BD174" i="58"/>
  <c r="BD186" i="58"/>
  <c r="BD197" i="58"/>
  <c r="AK233" i="58"/>
  <c r="AK248" i="58" s="1"/>
  <c r="AA109" i="47" s="1"/>
  <c r="AC238" i="58"/>
  <c r="AC253" i="58" s="1"/>
  <c r="S117" i="47" s="1"/>
  <c r="AC235" i="58"/>
  <c r="AC250" i="58" s="1"/>
  <c r="S112" i="47" s="1"/>
  <c r="AC228" i="58"/>
  <c r="AC266" i="58" s="1"/>
  <c r="S123" i="47" s="1"/>
  <c r="AC225" i="58"/>
  <c r="AC263" i="58" s="1"/>
  <c r="S126" i="47" s="1"/>
  <c r="AC221" i="58"/>
  <c r="AC259" i="58" s="1"/>
  <c r="S120" i="47" s="1"/>
  <c r="AL224" i="58"/>
  <c r="AL262" i="58" s="1"/>
  <c r="AB124" i="47" s="1"/>
  <c r="AC222" i="58"/>
  <c r="AC260" i="58" s="1"/>
  <c r="S121" i="47" s="1"/>
  <c r="AL221" i="58"/>
  <c r="AL259" i="58" s="1"/>
  <c r="AB120" i="47" s="1"/>
  <c r="AL234" i="58"/>
  <c r="AL249" i="58" s="1"/>
  <c r="AB111" i="47" s="1"/>
  <c r="AP157" i="58"/>
  <c r="AP239" i="58" s="1"/>
  <c r="AN159" i="58"/>
  <c r="AC224" i="58"/>
  <c r="AC262" i="58" s="1"/>
  <c r="S124" i="47" s="1"/>
  <c r="AM156" i="58"/>
  <c r="AL237" i="58"/>
  <c r="AL252" i="58" s="1"/>
  <c r="AB115" i="47" s="1"/>
  <c r="AM187" i="58"/>
  <c r="AM209" i="58"/>
  <c r="AM175" i="58"/>
  <c r="AM198" i="58"/>
  <c r="AL228" i="58"/>
  <c r="AL266" i="58" s="1"/>
  <c r="AB123" i="47" s="1"/>
  <c r="AL235" i="58"/>
  <c r="AL250" i="58" s="1"/>
  <c r="AB112" i="47" s="1"/>
  <c r="AN162" i="58"/>
  <c r="AK220" i="58"/>
  <c r="AL197" i="58"/>
  <c r="AL208" i="58"/>
  <c r="AL174" i="58"/>
  <c r="AL186" i="58"/>
  <c r="AB220" i="58"/>
  <c r="AL151" i="58"/>
  <c r="AL225" i="58"/>
  <c r="AL263" i="58" s="1"/>
  <c r="AB126" i="47" s="1"/>
  <c r="AM213" i="58"/>
  <c r="AM179" i="58"/>
  <c r="AM202" i="58"/>
  <c r="AM191" i="58"/>
  <c r="AO166" i="58"/>
  <c r="AO167" i="58"/>
  <c r="AP158" i="58"/>
  <c r="AP240" i="58" s="1"/>
  <c r="AO163" i="58"/>
  <c r="AN170" i="58"/>
  <c r="AM152" i="58"/>
  <c r="AM155" i="58"/>
  <c r="AM190" i="58"/>
  <c r="AM178" i="58"/>
  <c r="AM212" i="58"/>
  <c r="AM201" i="58"/>
  <c r="AM153" i="58"/>
  <c r="AN164" i="58"/>
  <c r="AM194" i="58"/>
  <c r="AM205" i="58"/>
  <c r="AM216" i="58"/>
  <c r="AM182" i="58"/>
  <c r="AM241" i="58" s="1"/>
  <c r="AM256" i="58" s="1"/>
  <c r="AC114" i="47" s="1"/>
  <c r="AL222" i="58"/>
  <c r="AL260" i="58" s="1"/>
  <c r="AB121" i="47" s="1"/>
  <c r="AM210" i="58"/>
  <c r="AM176" i="58"/>
  <c r="AM188" i="58"/>
  <c r="AM199" i="58"/>
  <c r="AB151" i="58"/>
  <c r="AB233" i="58" s="1"/>
  <c r="AB248" i="58" s="1"/>
  <c r="R109" i="47" s="1"/>
  <c r="AC151" i="58"/>
  <c r="AC197" i="58"/>
  <c r="AC208" i="58"/>
  <c r="AC174" i="58"/>
  <c r="AC186" i="58"/>
  <c r="AL238" i="58"/>
  <c r="AL253" i="58" s="1"/>
  <c r="AB117" i="47" s="1"/>
  <c r="BE228" i="58" l="1"/>
  <c r="BF98" i="58" a="1"/>
  <c r="BF98" i="58" s="1"/>
  <c r="BE157" i="58"/>
  <c r="BE239" i="58" s="1"/>
  <c r="BG75" i="58" a="1"/>
  <c r="BG75" i="58" s="1"/>
  <c r="BF167" i="58"/>
  <c r="BG89" i="58" a="1"/>
  <c r="BG89" i="58" s="1"/>
  <c r="BF205" i="58"/>
  <c r="BF182" i="58"/>
  <c r="BF216" i="58"/>
  <c r="BF194" i="58"/>
  <c r="BE224" i="58"/>
  <c r="BG78" i="58" a="1"/>
  <c r="BG78" i="58" s="1"/>
  <c r="BF170" i="58"/>
  <c r="BG85" i="58" a="1"/>
  <c r="BG85" i="58" s="1"/>
  <c r="BF190" i="58"/>
  <c r="BF178" i="58"/>
  <c r="BF212" i="58"/>
  <c r="BF201" i="58"/>
  <c r="BF99" i="58" a="1"/>
  <c r="BF99" i="58" s="1"/>
  <c r="BE158" i="58"/>
  <c r="BE240" i="58" s="1"/>
  <c r="BE225" i="58"/>
  <c r="BD100" i="58" a="1"/>
  <c r="BD100" i="58" s="1"/>
  <c r="BC159" i="58"/>
  <c r="BC241" i="58" s="1"/>
  <c r="BG86" i="58" a="1"/>
  <c r="BG86" i="58" s="1"/>
  <c r="BF202" i="58"/>
  <c r="BF191" i="58"/>
  <c r="BF179" i="58"/>
  <c r="BF213" i="58"/>
  <c r="BE97" i="58" a="1"/>
  <c r="BE97" i="58" s="1"/>
  <c r="BD156" i="58"/>
  <c r="BD238" i="58" s="1"/>
  <c r="BI74" i="58" a="1"/>
  <c r="BI74" i="58" s="1"/>
  <c r="BH166" i="58"/>
  <c r="BE96" i="58" a="1"/>
  <c r="BE96" i="58" s="1"/>
  <c r="BD155" i="58"/>
  <c r="BD237" i="58" s="1"/>
  <c r="BG72" i="58" a="1"/>
  <c r="BG72" i="58" s="1"/>
  <c r="BF164" i="58"/>
  <c r="BG94" i="58" a="1"/>
  <c r="BG94" i="58" s="1"/>
  <c r="BF153" i="58"/>
  <c r="BE235" i="58"/>
  <c r="BE222" i="58"/>
  <c r="BE221" i="58"/>
  <c r="BG83" i="58" a="1"/>
  <c r="BG83" i="58" s="1"/>
  <c r="BF176" i="58"/>
  <c r="BF199" i="58"/>
  <c r="BF188" i="58"/>
  <c r="BF210" i="58"/>
  <c r="BF93" i="58" a="1"/>
  <c r="BF93" i="58" s="1"/>
  <c r="BE152" i="58"/>
  <c r="BE234" i="58" s="1"/>
  <c r="BH71" i="58" a="1"/>
  <c r="BH71" i="58" s="1"/>
  <c r="BG163" i="58"/>
  <c r="BG82" i="58" a="1"/>
  <c r="BG82" i="58" s="1"/>
  <c r="BF209" i="58"/>
  <c r="BF175" i="58"/>
  <c r="BF187" i="58"/>
  <c r="BF198" i="58"/>
  <c r="BD220" i="58"/>
  <c r="BF81" i="58" a="1"/>
  <c r="BF81" i="58" s="1"/>
  <c r="BE208" i="58"/>
  <c r="BE174" i="58"/>
  <c r="BE186" i="58"/>
  <c r="BE197" i="58"/>
  <c r="BD92" i="58" a="1"/>
  <c r="BD92" i="58" s="1"/>
  <c r="BC151" i="58"/>
  <c r="BC233" i="58" s="1"/>
  <c r="BG70" i="58" a="1"/>
  <c r="BG70" i="58" s="1"/>
  <c r="BF162" i="58"/>
  <c r="AM238" i="58"/>
  <c r="AM253" i="58" s="1"/>
  <c r="AC117" i="47" s="1"/>
  <c r="AM235" i="58"/>
  <c r="AM250" i="58" s="1"/>
  <c r="AC112" i="47" s="1"/>
  <c r="AM237" i="58"/>
  <c r="AM252" i="58" s="1"/>
  <c r="AC115" i="47" s="1"/>
  <c r="AC220" i="58"/>
  <c r="AC258" i="58" s="1"/>
  <c r="S118" i="47" s="1"/>
  <c r="AM225" i="58"/>
  <c r="AM263" i="58" s="1"/>
  <c r="AC126" i="47" s="1"/>
  <c r="AL220" i="58"/>
  <c r="AL258" i="58" s="1"/>
  <c r="AB118" i="47" s="1"/>
  <c r="AC233" i="58"/>
  <c r="AC248" i="58" s="1"/>
  <c r="S109" i="47" s="1"/>
  <c r="AM222" i="58"/>
  <c r="AM260" i="58" s="1"/>
  <c r="AC121" i="47" s="1"/>
  <c r="AM228" i="58"/>
  <c r="AM266" i="58" s="1"/>
  <c r="AC123" i="47" s="1"/>
  <c r="AO164" i="58"/>
  <c r="AN153" i="58"/>
  <c r="AN190" i="58"/>
  <c r="AN201" i="58"/>
  <c r="AN178" i="58"/>
  <c r="AN212" i="58"/>
  <c r="AP163" i="58"/>
  <c r="AP167" i="58"/>
  <c r="AP166" i="58"/>
  <c r="AL233" i="58"/>
  <c r="AL248" i="58" s="1"/>
  <c r="AB109" i="47" s="1"/>
  <c r="AK258" i="58"/>
  <c r="AA118" i="47" s="1"/>
  <c r="AM234" i="58"/>
  <c r="AM249" i="58" s="1"/>
  <c r="AC111" i="47" s="1"/>
  <c r="AM221" i="58"/>
  <c r="AM259" i="58" s="1"/>
  <c r="AC120" i="47" s="1"/>
  <c r="AO159" i="58"/>
  <c r="AQ157" i="58"/>
  <c r="AQ239" i="58" s="1"/>
  <c r="AN199" i="58"/>
  <c r="AN176" i="58"/>
  <c r="AN210" i="58"/>
  <c r="AN188" i="58"/>
  <c r="AN194" i="58"/>
  <c r="AN205" i="58"/>
  <c r="AN182" i="58"/>
  <c r="AN241" i="58" s="1"/>
  <c r="AN256" i="58" s="1"/>
  <c r="AD114" i="47" s="1"/>
  <c r="AN216" i="58"/>
  <c r="AM224" i="58"/>
  <c r="AM262" i="58" s="1"/>
  <c r="AC124" i="47" s="1"/>
  <c r="AN155" i="58"/>
  <c r="AN152" i="58"/>
  <c r="AO170" i="58"/>
  <c r="AQ158" i="58"/>
  <c r="AQ240" i="58" s="1"/>
  <c r="AN202" i="58"/>
  <c r="AN213" i="58"/>
  <c r="AN191" i="58"/>
  <c r="AN179" i="58"/>
  <c r="AM151" i="58"/>
  <c r="AB258" i="58"/>
  <c r="R118" i="47" s="1"/>
  <c r="AM208" i="58"/>
  <c r="AM186" i="58"/>
  <c r="AM174" i="58"/>
  <c r="AM197" i="58"/>
  <c r="AO162" i="58"/>
  <c r="AN187" i="58"/>
  <c r="AN198" i="58"/>
  <c r="AN209" i="58"/>
  <c r="AN175" i="58"/>
  <c r="AN156" i="58"/>
  <c r="BF225" i="58" l="1"/>
  <c r="BF96" i="58" a="1"/>
  <c r="BF96" i="58" s="1"/>
  <c r="BE155" i="58"/>
  <c r="BE237" i="58" s="1"/>
  <c r="BE100" i="58" a="1"/>
  <c r="BE100" i="58" s="1"/>
  <c r="BD159" i="58"/>
  <c r="BD241" i="58" s="1"/>
  <c r="BJ74" i="58" a="1"/>
  <c r="BJ74" i="58" s="1"/>
  <c r="BI166" i="58"/>
  <c r="BF228" i="58"/>
  <c r="BF97" i="58" a="1"/>
  <c r="BF97" i="58" s="1"/>
  <c r="BE156" i="58"/>
  <c r="BE238" i="58" s="1"/>
  <c r="BG99" i="58" a="1"/>
  <c r="BG99" i="58" s="1"/>
  <c r="BF158" i="58"/>
  <c r="BF240" i="58" s="1"/>
  <c r="BH89" i="58" a="1"/>
  <c r="BH89" i="58" s="1"/>
  <c r="BG194" i="58"/>
  <c r="BG205" i="58"/>
  <c r="BG216" i="58"/>
  <c r="BG182" i="58"/>
  <c r="BH75" i="58" a="1"/>
  <c r="BH75" i="58" s="1"/>
  <c r="BG167" i="58"/>
  <c r="BF224" i="58"/>
  <c r="BH86" i="58" a="1"/>
  <c r="BH86" i="58" s="1"/>
  <c r="BG202" i="58"/>
  <c r="BG179" i="58"/>
  <c r="BG213" i="58"/>
  <c r="BG191" i="58"/>
  <c r="BH85" i="58" a="1"/>
  <c r="BH85" i="58" s="1"/>
  <c r="BG178" i="58"/>
  <c r="BG212" i="58"/>
  <c r="BG190" i="58"/>
  <c r="BG201" i="58"/>
  <c r="BH78" i="58" a="1"/>
  <c r="BH78" i="58" s="1"/>
  <c r="BG170" i="58"/>
  <c r="BG98" i="58" a="1"/>
  <c r="BG98" i="58" s="1"/>
  <c r="BF157" i="58"/>
  <c r="BF239" i="58" s="1"/>
  <c r="BF222" i="58"/>
  <c r="BH83" i="58" a="1"/>
  <c r="BH83" i="58" s="1"/>
  <c r="BG210" i="58"/>
  <c r="BG176" i="58"/>
  <c r="BG199" i="58"/>
  <c r="BG188" i="58"/>
  <c r="BH94" i="58" a="1"/>
  <c r="BH94" i="58" s="1"/>
  <c r="BG153" i="58"/>
  <c r="BF235" i="58"/>
  <c r="BH72" i="58" a="1"/>
  <c r="BH72" i="58" s="1"/>
  <c r="BG164" i="58"/>
  <c r="BF221" i="58"/>
  <c r="BH82" i="58" a="1"/>
  <c r="BH82" i="58" s="1"/>
  <c r="BG198" i="58"/>
  <c r="BG209" i="58"/>
  <c r="BG175" i="58"/>
  <c r="BG187" i="58"/>
  <c r="BI71" i="58" a="1"/>
  <c r="BI71" i="58" s="1"/>
  <c r="BH163" i="58"/>
  <c r="BG93" i="58" a="1"/>
  <c r="BG93" i="58" s="1"/>
  <c r="BF152" i="58"/>
  <c r="BF234" i="58" s="1"/>
  <c r="BE92" i="58" a="1"/>
  <c r="BE92" i="58" s="1"/>
  <c r="BD151" i="58"/>
  <c r="BD233" i="58" s="1"/>
  <c r="BE220" i="58"/>
  <c r="BH70" i="58" a="1"/>
  <c r="BH70" i="58" s="1"/>
  <c r="BG162" i="58"/>
  <c r="BG81" i="58" a="1"/>
  <c r="BG81" i="58" s="1"/>
  <c r="BF174" i="58"/>
  <c r="BF186" i="58"/>
  <c r="BF197" i="58"/>
  <c r="BF208" i="58"/>
  <c r="AN234" i="58"/>
  <c r="AN249" i="58" s="1"/>
  <c r="AD111" i="47" s="1"/>
  <c r="AN235" i="58"/>
  <c r="AN250" i="58" s="1"/>
  <c r="AD112" i="47" s="1"/>
  <c r="AM233" i="58"/>
  <c r="AM248" i="58" s="1"/>
  <c r="AC109" i="47" s="1"/>
  <c r="AN238" i="58"/>
  <c r="AN253" i="58" s="1"/>
  <c r="AD117" i="47" s="1"/>
  <c r="AN228" i="58"/>
  <c r="AN266" i="58" s="1"/>
  <c r="AD123" i="47" s="1"/>
  <c r="AN224" i="58"/>
  <c r="AN262" i="58" s="1"/>
  <c r="AD124" i="47" s="1"/>
  <c r="AN221" i="58"/>
  <c r="AN259" i="58" s="1"/>
  <c r="AD120" i="47" s="1"/>
  <c r="AM220" i="58"/>
  <c r="AN208" i="58"/>
  <c r="AN186" i="58"/>
  <c r="AN197" i="58"/>
  <c r="AN174" i="58"/>
  <c r="AN225" i="58"/>
  <c r="AN263" i="58" s="1"/>
  <c r="AD126" i="47" s="1"/>
  <c r="AR158" i="58"/>
  <c r="AR240" i="58" s="1"/>
  <c r="AO152" i="58"/>
  <c r="AO155" i="58"/>
  <c r="AN222" i="58"/>
  <c r="AN260" i="58" s="1"/>
  <c r="AD121" i="47" s="1"/>
  <c r="AO210" i="58"/>
  <c r="AO176" i="58"/>
  <c r="AO188" i="58"/>
  <c r="AO199" i="58"/>
  <c r="AO190" i="58"/>
  <c r="AO201" i="58"/>
  <c r="AO212" i="58"/>
  <c r="AO178" i="58"/>
  <c r="AP164" i="58"/>
  <c r="AO156" i="58"/>
  <c r="AO187" i="58"/>
  <c r="AO198" i="58"/>
  <c r="AO209" i="58"/>
  <c r="AO175" i="58"/>
  <c r="AP162" i="58"/>
  <c r="AN151" i="58"/>
  <c r="AO191" i="58"/>
  <c r="AO179" i="58"/>
  <c r="AO202" i="58"/>
  <c r="AO213" i="58"/>
  <c r="AP170" i="58"/>
  <c r="AO205" i="58"/>
  <c r="AO216" i="58"/>
  <c r="AO194" i="58"/>
  <c r="AO182" i="58"/>
  <c r="AO241" i="58" s="1"/>
  <c r="AR157" i="58"/>
  <c r="AR239" i="58" s="1"/>
  <c r="AP159" i="58"/>
  <c r="AQ166" i="58"/>
  <c r="AQ167" i="58"/>
  <c r="AQ163" i="58"/>
  <c r="AN237" i="58"/>
  <c r="AN252" i="58" s="1"/>
  <c r="AD115" i="47" s="1"/>
  <c r="AO153" i="58"/>
  <c r="BG235" i="58" l="1"/>
  <c r="BG224" i="58"/>
  <c r="BH98" i="58" a="1"/>
  <c r="BH98" i="58" s="1"/>
  <c r="BG157" i="58"/>
  <c r="BG239" i="58" s="1"/>
  <c r="BI86" i="58" a="1"/>
  <c r="BI86" i="58" s="1"/>
  <c r="BH191" i="58"/>
  <c r="BH202" i="58"/>
  <c r="BH179" i="58"/>
  <c r="BH213" i="58"/>
  <c r="BH99" i="58" a="1"/>
  <c r="BH99" i="58" s="1"/>
  <c r="BG158" i="58"/>
  <c r="BG240" i="58" s="1"/>
  <c r="BI78" i="58" a="1"/>
  <c r="BI78" i="58" s="1"/>
  <c r="BH170" i="58"/>
  <c r="BG97" i="58" a="1"/>
  <c r="BG97" i="58" s="1"/>
  <c r="BF156" i="58"/>
  <c r="BF238" i="58" s="1"/>
  <c r="BI75" i="58" a="1"/>
  <c r="BI75" i="58" s="1"/>
  <c r="BH167" i="58"/>
  <c r="BG222" i="58"/>
  <c r="BG221" i="58"/>
  <c r="BK74" i="58" a="1"/>
  <c r="BK74" i="58" s="1"/>
  <c r="BJ166" i="58"/>
  <c r="BI85" i="58" a="1"/>
  <c r="BI85" i="58" s="1"/>
  <c r="BH178" i="58"/>
  <c r="BH212" i="58"/>
  <c r="BH190" i="58"/>
  <c r="BH201" i="58"/>
  <c r="BF100" i="58" a="1"/>
  <c r="BF100" i="58" s="1"/>
  <c r="BE159" i="58"/>
  <c r="BE241" i="58" s="1"/>
  <c r="BG225" i="58"/>
  <c r="BG228" i="58"/>
  <c r="BI89" i="58" a="1"/>
  <c r="BI89" i="58" s="1"/>
  <c r="BH194" i="58"/>
  <c r="BH205" i="58"/>
  <c r="BH182" i="58"/>
  <c r="BH216" i="58"/>
  <c r="BG96" i="58" a="1"/>
  <c r="BG96" i="58" s="1"/>
  <c r="BF155" i="58"/>
  <c r="BF237" i="58" s="1"/>
  <c r="BI72" i="58" a="1"/>
  <c r="BI72" i="58" s="1"/>
  <c r="BH164" i="58"/>
  <c r="BI94" i="58" a="1"/>
  <c r="BI94" i="58" s="1"/>
  <c r="BH153" i="58"/>
  <c r="BI83" i="58" a="1"/>
  <c r="BI83" i="58" s="1"/>
  <c r="BH188" i="58"/>
  <c r="BH210" i="58"/>
  <c r="BH176" i="58"/>
  <c r="BH199" i="58"/>
  <c r="BH93" i="58" a="1"/>
  <c r="BH93" i="58" s="1"/>
  <c r="BG152" i="58"/>
  <c r="BG234" i="58" s="1"/>
  <c r="BJ71" i="58" a="1"/>
  <c r="BJ71" i="58" s="1"/>
  <c r="BI163" i="58"/>
  <c r="BI82" i="58" a="1"/>
  <c r="BI82" i="58" s="1"/>
  <c r="BH198" i="58"/>
  <c r="BH209" i="58"/>
  <c r="BH175" i="58"/>
  <c r="BH187" i="58"/>
  <c r="BF220" i="58"/>
  <c r="BH81" i="58" a="1"/>
  <c r="BH81" i="58" s="1"/>
  <c r="BG208" i="58"/>
  <c r="BG174" i="58"/>
  <c r="BG186" i="58"/>
  <c r="BG197" i="58"/>
  <c r="BI70" i="58" a="1"/>
  <c r="BI70" i="58" s="1"/>
  <c r="BH162" i="58"/>
  <c r="BF92" i="58" a="1"/>
  <c r="BF92" i="58" s="1"/>
  <c r="BE151" i="58"/>
  <c r="BE233" i="58" s="1"/>
  <c r="AO237" i="58"/>
  <c r="AO238" i="58"/>
  <c r="AN220" i="58"/>
  <c r="AN258" i="58" s="1"/>
  <c r="AD118" i="47" s="1"/>
  <c r="AO234" i="58"/>
  <c r="AQ159" i="58"/>
  <c r="AS157" i="58"/>
  <c r="AS239" i="58" s="1"/>
  <c r="AO254" i="58" s="1"/>
  <c r="AE110" i="47" s="1"/>
  <c r="AP182" i="58"/>
  <c r="AP241" i="58" s="1"/>
  <c r="AP216" i="58"/>
  <c r="AP205" i="58"/>
  <c r="AP194" i="58"/>
  <c r="AQ170" i="58"/>
  <c r="AO151" i="58"/>
  <c r="AP209" i="58"/>
  <c r="AP198" i="58"/>
  <c r="AP175" i="58"/>
  <c r="AP187" i="58"/>
  <c r="AQ164" i="58"/>
  <c r="AO224" i="58"/>
  <c r="AO235" i="58"/>
  <c r="AP176" i="58"/>
  <c r="AP188" i="58"/>
  <c r="AP210" i="58"/>
  <c r="AP199" i="58"/>
  <c r="AP155" i="58"/>
  <c r="AP152" i="58"/>
  <c r="AS158" i="58"/>
  <c r="AS240" i="58" s="1"/>
  <c r="AO255" i="58" s="1"/>
  <c r="AE116" i="47" s="1"/>
  <c r="AM258" i="58"/>
  <c r="AC118" i="47" s="1"/>
  <c r="AP153" i="58"/>
  <c r="AR163" i="58"/>
  <c r="AR167" i="58"/>
  <c r="AR166" i="58"/>
  <c r="AO228" i="58"/>
  <c r="AO225" i="58"/>
  <c r="AP179" i="58"/>
  <c r="AP191" i="58"/>
  <c r="AP213" i="58"/>
  <c r="AP202" i="58"/>
  <c r="AQ162" i="58"/>
  <c r="AO221" i="58"/>
  <c r="AP156" i="58"/>
  <c r="AP190" i="58"/>
  <c r="AP212" i="58"/>
  <c r="AP178" i="58"/>
  <c r="AP201" i="58"/>
  <c r="AO222" i="58"/>
  <c r="AN233" i="58"/>
  <c r="AN248" i="58" s="1"/>
  <c r="AD109" i="47" s="1"/>
  <c r="AO186" i="58"/>
  <c r="AO208" i="58"/>
  <c r="AO197" i="58"/>
  <c r="AO174" i="58"/>
  <c r="BH221" i="58" l="1"/>
  <c r="AQ259" i="58" s="1"/>
  <c r="AG120" i="47" s="1"/>
  <c r="BH222" i="58"/>
  <c r="AQ260" i="58" s="1"/>
  <c r="AG121" i="47" s="1"/>
  <c r="BJ85" i="58" a="1"/>
  <c r="BJ85" i="58" s="1"/>
  <c r="BI178" i="58"/>
  <c r="BI212" i="58"/>
  <c r="BI190" i="58"/>
  <c r="BI201" i="58"/>
  <c r="BJ78" i="58" a="1"/>
  <c r="BJ78" i="58" s="1"/>
  <c r="BI170" i="58"/>
  <c r="BH228" i="58"/>
  <c r="AQ266" i="58" s="1"/>
  <c r="AG123" i="47" s="1"/>
  <c r="BJ89" i="58" a="1"/>
  <c r="BJ89" i="58" s="1"/>
  <c r="BI194" i="58"/>
  <c r="BI205" i="58"/>
  <c r="BI182" i="58"/>
  <c r="BI216" i="58"/>
  <c r="BL74" i="58" a="1"/>
  <c r="BL74" i="58" s="1"/>
  <c r="BK166" i="58"/>
  <c r="BI99" i="58" a="1"/>
  <c r="BI99" i="58" s="1"/>
  <c r="BH158" i="58"/>
  <c r="BH240" i="58" s="1"/>
  <c r="AQ255" i="58" s="1"/>
  <c r="AG116" i="47" s="1"/>
  <c r="BG100" i="58" a="1"/>
  <c r="BG100" i="58" s="1"/>
  <c r="BF159" i="58"/>
  <c r="BF241" i="58" s="1"/>
  <c r="BH225" i="58"/>
  <c r="AQ263" i="58" s="1"/>
  <c r="AG126" i="47" s="1"/>
  <c r="BJ75" i="58" a="1"/>
  <c r="BJ75" i="58" s="1"/>
  <c r="BI167" i="58"/>
  <c r="BJ86" i="58" a="1"/>
  <c r="BJ86" i="58" s="1"/>
  <c r="BI191" i="58"/>
  <c r="BI202" i="58"/>
  <c r="BI179" i="58"/>
  <c r="BI213" i="58"/>
  <c r="BH224" i="58"/>
  <c r="AQ262" i="58" s="1"/>
  <c r="AG124" i="47" s="1"/>
  <c r="BH96" i="58" a="1"/>
  <c r="BH96" i="58" s="1"/>
  <c r="BG155" i="58"/>
  <c r="BG237" i="58" s="1"/>
  <c r="BH97" i="58" a="1"/>
  <c r="BH97" i="58" s="1"/>
  <c r="BG156" i="58"/>
  <c r="BG238" i="58" s="1"/>
  <c r="BI98" i="58" a="1"/>
  <c r="BI98" i="58" s="1"/>
  <c r="BH157" i="58"/>
  <c r="BH239" i="58" s="1"/>
  <c r="AQ254" i="58" s="1"/>
  <c r="AG110" i="47" s="1"/>
  <c r="BJ83" i="58" a="1"/>
  <c r="BJ83" i="58" s="1"/>
  <c r="BI210" i="58"/>
  <c r="BI176" i="58"/>
  <c r="BI199" i="58"/>
  <c r="BI188" i="58"/>
  <c r="BJ94" i="58" a="1"/>
  <c r="BJ94" i="58" s="1"/>
  <c r="BI153" i="58"/>
  <c r="BH235" i="58"/>
  <c r="AQ250" i="58" s="1"/>
  <c r="AG112" i="47" s="1"/>
  <c r="BJ72" i="58" a="1"/>
  <c r="BJ72" i="58" s="1"/>
  <c r="BI164" i="58"/>
  <c r="BJ82" i="58" a="1"/>
  <c r="BJ82" i="58" s="1"/>
  <c r="BI198" i="58"/>
  <c r="BI209" i="58"/>
  <c r="BI175" i="58"/>
  <c r="BI187" i="58"/>
  <c r="BK71" i="58" a="1"/>
  <c r="BK71" i="58" s="1"/>
  <c r="BJ163" i="58"/>
  <c r="BI93" i="58" a="1"/>
  <c r="BI93" i="58" s="1"/>
  <c r="BH152" i="58"/>
  <c r="BH234" i="58" s="1"/>
  <c r="AQ249" i="58" s="1"/>
  <c r="AG111" i="47" s="1"/>
  <c r="BJ70" i="58" a="1"/>
  <c r="BJ70" i="58" s="1"/>
  <c r="BI162" i="58"/>
  <c r="BG220" i="58"/>
  <c r="BG92" i="58" a="1"/>
  <c r="BG92" i="58" s="1"/>
  <c r="BF151" i="58"/>
  <c r="BF233" i="58" s="1"/>
  <c r="BI81" i="58" a="1"/>
  <c r="BI81" i="58" s="1"/>
  <c r="BH208" i="58"/>
  <c r="BH174" i="58"/>
  <c r="BH186" i="58"/>
  <c r="BH197" i="58"/>
  <c r="AP237" i="58"/>
  <c r="AO233" i="58"/>
  <c r="AP234" i="58"/>
  <c r="AP228" i="58"/>
  <c r="AP224" i="58"/>
  <c r="AP238" i="58"/>
  <c r="AO220" i="58"/>
  <c r="AQ212" i="58"/>
  <c r="AQ178" i="58"/>
  <c r="AQ190" i="58"/>
  <c r="AQ201" i="58"/>
  <c r="AP225" i="58"/>
  <c r="AQ179" i="58"/>
  <c r="AQ213" i="58"/>
  <c r="AQ202" i="58"/>
  <c r="AQ191" i="58"/>
  <c r="AS166" i="58"/>
  <c r="AS167" i="58"/>
  <c r="AS163" i="58"/>
  <c r="AP235" i="58"/>
  <c r="AP221" i="58"/>
  <c r="AQ209" i="58"/>
  <c r="AQ187" i="58"/>
  <c r="AQ175" i="58"/>
  <c r="AQ198" i="58"/>
  <c r="AR170" i="58"/>
  <c r="AT157" i="58"/>
  <c r="AT239" i="58" s="1"/>
  <c r="AR159" i="58"/>
  <c r="AP174" i="58"/>
  <c r="AP186" i="58"/>
  <c r="AP208" i="58"/>
  <c r="AP197" i="58"/>
  <c r="AQ156" i="58"/>
  <c r="AR162" i="58"/>
  <c r="AQ153" i="58"/>
  <c r="AT158" i="58"/>
  <c r="AT240" i="58" s="1"/>
  <c r="AQ152" i="58"/>
  <c r="AQ155" i="58"/>
  <c r="AP222" i="58"/>
  <c r="AQ188" i="58"/>
  <c r="AQ199" i="58"/>
  <c r="AQ176" i="58"/>
  <c r="AQ210" i="58"/>
  <c r="AR164" i="58"/>
  <c r="AP151" i="58"/>
  <c r="AQ182" i="58"/>
  <c r="AQ241" i="58" s="1"/>
  <c r="AQ194" i="58"/>
  <c r="AQ216" i="58"/>
  <c r="AQ205" i="58"/>
  <c r="BI235" i="58" l="1"/>
  <c r="BI228" i="58"/>
  <c r="BK75" i="58" a="1"/>
  <c r="BK75" i="58" s="1"/>
  <c r="BJ167" i="58"/>
  <c r="BK89" i="58" a="1"/>
  <c r="BK89" i="58" s="1"/>
  <c r="BJ216" i="58"/>
  <c r="BJ194" i="58"/>
  <c r="BJ205" i="58"/>
  <c r="BJ182" i="58"/>
  <c r="BI97" i="58" a="1"/>
  <c r="BI97" i="58" s="1"/>
  <c r="BH156" i="58"/>
  <c r="BH238" i="58" s="1"/>
  <c r="AQ253" i="58" s="1"/>
  <c r="AG117" i="47" s="1"/>
  <c r="BI96" i="58" a="1"/>
  <c r="BI96" i="58" s="1"/>
  <c r="BH155" i="58"/>
  <c r="BH237" i="58" s="1"/>
  <c r="AQ252" i="58" s="1"/>
  <c r="AG115" i="47" s="1"/>
  <c r="BH100" i="58" a="1"/>
  <c r="BH100" i="58" s="1"/>
  <c r="BG159" i="58"/>
  <c r="BG241" i="58" s="1"/>
  <c r="BK78" i="58" a="1"/>
  <c r="BK78" i="58" s="1"/>
  <c r="BJ170" i="58"/>
  <c r="BJ99" i="58" a="1"/>
  <c r="BJ99" i="58" s="1"/>
  <c r="BI158" i="58"/>
  <c r="BI240" i="58" s="1"/>
  <c r="BM74" i="58" a="1"/>
  <c r="BM74" i="58" s="1"/>
  <c r="BL166" i="58"/>
  <c r="BI224" i="58"/>
  <c r="BI225" i="58"/>
  <c r="BK86" i="58" a="1"/>
  <c r="BK86" i="58" s="1"/>
  <c r="BJ179" i="58"/>
  <c r="BJ191" i="58"/>
  <c r="BJ202" i="58"/>
  <c r="BJ213" i="58"/>
  <c r="BJ98" i="58" a="1"/>
  <c r="BJ98" i="58" s="1"/>
  <c r="BI157" i="58"/>
  <c r="BI239" i="58" s="1"/>
  <c r="BK85" i="58" a="1"/>
  <c r="BK85" i="58" s="1"/>
  <c r="BJ201" i="58"/>
  <c r="BJ178" i="58"/>
  <c r="BJ212" i="58"/>
  <c r="BJ190" i="58"/>
  <c r="BI222" i="58"/>
  <c r="BK72" i="58" a="1"/>
  <c r="BK72" i="58" s="1"/>
  <c r="BJ164" i="58"/>
  <c r="BK94" i="58" a="1"/>
  <c r="BK94" i="58" s="1"/>
  <c r="BJ153" i="58"/>
  <c r="BI221" i="58"/>
  <c r="BK83" i="58" a="1"/>
  <c r="BK83" i="58" s="1"/>
  <c r="BJ188" i="58"/>
  <c r="BJ210" i="58"/>
  <c r="BJ176" i="58"/>
  <c r="BJ199" i="58"/>
  <c r="BJ93" i="58" a="1"/>
  <c r="BJ93" i="58" s="1"/>
  <c r="BI152" i="58"/>
  <c r="BI234" i="58" s="1"/>
  <c r="BL71" i="58" a="1"/>
  <c r="BL71" i="58" s="1"/>
  <c r="BK163" i="58"/>
  <c r="BK82" i="58" a="1"/>
  <c r="BK82" i="58" s="1"/>
  <c r="BJ198" i="58"/>
  <c r="BJ209" i="58"/>
  <c r="BJ175" i="58"/>
  <c r="BJ187" i="58"/>
  <c r="BH220" i="58"/>
  <c r="BJ81" i="58" a="1"/>
  <c r="BJ81" i="58" s="1"/>
  <c r="BI208" i="58"/>
  <c r="BI174" i="58"/>
  <c r="BI186" i="58"/>
  <c r="BI197" i="58"/>
  <c r="BH92" i="58" a="1"/>
  <c r="BH92" i="58" s="1"/>
  <c r="BG151" i="58"/>
  <c r="BG233" i="58" s="1"/>
  <c r="BK70" i="58" a="1"/>
  <c r="BK70" i="58" s="1"/>
  <c r="BJ162" i="58"/>
  <c r="AQ235" i="58"/>
  <c r="AQ224" i="58"/>
  <c r="AQ222" i="58"/>
  <c r="AQ151" i="58"/>
  <c r="AR188" i="58"/>
  <c r="AR199" i="58"/>
  <c r="AR176" i="58"/>
  <c r="AR210" i="58"/>
  <c r="AR155" i="58"/>
  <c r="AR152" i="58"/>
  <c r="AU158" i="58"/>
  <c r="AU240" i="58" s="1"/>
  <c r="AR153" i="58"/>
  <c r="AR156" i="58"/>
  <c r="AP220" i="58"/>
  <c r="AQ174" i="58"/>
  <c r="AQ208" i="58"/>
  <c r="AQ186" i="58"/>
  <c r="AQ197" i="58"/>
  <c r="AS170" i="58"/>
  <c r="AQ234" i="58"/>
  <c r="AQ225" i="58"/>
  <c r="AR202" i="58"/>
  <c r="AR213" i="58"/>
  <c r="AR179" i="58"/>
  <c r="AR191" i="58"/>
  <c r="AQ237" i="58"/>
  <c r="AR201" i="58"/>
  <c r="AR178" i="58"/>
  <c r="AR212" i="58"/>
  <c r="AR190" i="58"/>
  <c r="AQ228" i="58"/>
  <c r="AR216" i="58"/>
  <c r="AR194" i="58"/>
  <c r="AR205" i="58"/>
  <c r="AR182" i="58"/>
  <c r="AR241" i="58" s="1"/>
  <c r="AS164" i="58"/>
  <c r="AS162" i="58"/>
  <c r="AP233" i="58"/>
  <c r="AS159" i="58"/>
  <c r="AU157" i="58"/>
  <c r="AU239" i="58" s="1"/>
  <c r="AQ221" i="58"/>
  <c r="AR198" i="58"/>
  <c r="AR175" i="58"/>
  <c r="AR187" i="58"/>
  <c r="AR209" i="58"/>
  <c r="AT163" i="58"/>
  <c r="AT167" i="58"/>
  <c r="AT166" i="58"/>
  <c r="AQ238" i="58"/>
  <c r="BJ228" i="58" l="1"/>
  <c r="BJ224" i="58"/>
  <c r="BI100" i="58" a="1"/>
  <c r="BI100" i="58" s="1"/>
  <c r="BH159" i="58"/>
  <c r="BH241" i="58" s="1"/>
  <c r="AQ256" i="58" s="1"/>
  <c r="AG114" i="47" s="1"/>
  <c r="BL86" i="58" a="1"/>
  <c r="BL86" i="58" s="1"/>
  <c r="BK191" i="58"/>
  <c r="BK179" i="58"/>
  <c r="BK202" i="58"/>
  <c r="BK213" i="58"/>
  <c r="BJ96" i="58" a="1"/>
  <c r="BJ96" i="58" s="1"/>
  <c r="BI155" i="58"/>
  <c r="BI237" i="58" s="1"/>
  <c r="BJ221" i="58"/>
  <c r="BL85" i="58" a="1"/>
  <c r="BL85" i="58" s="1"/>
  <c r="BK201" i="58"/>
  <c r="BK178" i="58"/>
  <c r="BK212" i="58"/>
  <c r="BK190" i="58"/>
  <c r="BJ97" i="58" a="1"/>
  <c r="BJ97" i="58" s="1"/>
  <c r="BI156" i="58"/>
  <c r="BI238" i="58" s="1"/>
  <c r="BN74" i="58" a="1"/>
  <c r="BN74" i="58" s="1"/>
  <c r="BM166" i="58"/>
  <c r="BK98" i="58" a="1"/>
  <c r="BK98" i="58" s="1"/>
  <c r="BJ157" i="58"/>
  <c r="BJ239" i="58" s="1"/>
  <c r="BK99" i="58" a="1"/>
  <c r="BK99" i="58" s="1"/>
  <c r="BJ158" i="58"/>
  <c r="BJ240" i="58" s="1"/>
  <c r="BL78" i="58" a="1"/>
  <c r="BL78" i="58" s="1"/>
  <c r="BK170" i="58"/>
  <c r="BL89" i="58" a="1"/>
  <c r="BL89" i="58" s="1"/>
  <c r="BK194" i="58"/>
  <c r="BK182" i="58"/>
  <c r="BK205" i="58"/>
  <c r="BK216" i="58"/>
  <c r="BJ225" i="58"/>
  <c r="BL75" i="58" a="1"/>
  <c r="BL75" i="58" s="1"/>
  <c r="BK167" i="58"/>
  <c r="BJ222" i="58"/>
  <c r="BL83" i="58" a="1"/>
  <c r="BL83" i="58" s="1"/>
  <c r="BK188" i="58"/>
  <c r="BK210" i="58"/>
  <c r="BK176" i="58"/>
  <c r="BK199" i="58"/>
  <c r="BL94" i="58" a="1"/>
  <c r="BL94" i="58" s="1"/>
  <c r="BK153" i="58"/>
  <c r="BJ235" i="58"/>
  <c r="BL72" i="58" a="1"/>
  <c r="BL72" i="58" s="1"/>
  <c r="BK164" i="58"/>
  <c r="BL82" i="58" a="1"/>
  <c r="BL82" i="58" s="1"/>
  <c r="BK187" i="58"/>
  <c r="BK198" i="58"/>
  <c r="BK209" i="58"/>
  <c r="BK175" i="58"/>
  <c r="BM71" i="58" a="1"/>
  <c r="BM71" i="58" s="1"/>
  <c r="BL163" i="58"/>
  <c r="BK93" i="58" a="1"/>
  <c r="BK93" i="58" s="1"/>
  <c r="BJ152" i="58"/>
  <c r="BJ234" i="58" s="1"/>
  <c r="BL70" i="58" a="1"/>
  <c r="BL70" i="58" s="1"/>
  <c r="BK162" i="58"/>
  <c r="BI92" i="58" a="1"/>
  <c r="BI92" i="58" s="1"/>
  <c r="BH151" i="58"/>
  <c r="BH233" i="58" s="1"/>
  <c r="AQ248" i="58" s="1"/>
  <c r="AG109" i="47" s="1"/>
  <c r="BI220" i="58"/>
  <c r="BK81" i="58" a="1"/>
  <c r="BK81" i="58" s="1"/>
  <c r="BJ208" i="58"/>
  <c r="BJ174" i="58"/>
  <c r="BJ186" i="58"/>
  <c r="BJ197" i="58"/>
  <c r="AQ258" i="58"/>
  <c r="AG118" i="47" s="1"/>
  <c r="AR237" i="58"/>
  <c r="AQ233" i="58"/>
  <c r="AR234" i="58"/>
  <c r="AR238" i="58"/>
  <c r="AU166" i="58"/>
  <c r="AU167" i="58"/>
  <c r="AU163" i="58"/>
  <c r="AR221" i="58"/>
  <c r="AR228" i="58"/>
  <c r="AS194" i="58"/>
  <c r="AS182" i="58"/>
  <c r="AS241" i="58" s="1"/>
  <c r="AO256" i="58" s="1"/>
  <c r="AE114" i="47" s="1"/>
  <c r="AS216" i="58"/>
  <c r="AS205" i="58"/>
  <c r="AR224" i="58"/>
  <c r="AS212" i="58"/>
  <c r="AS201" i="58"/>
  <c r="AS178" i="58"/>
  <c r="AS190" i="58"/>
  <c r="AR225" i="58"/>
  <c r="AS179" i="58"/>
  <c r="AS191" i="58"/>
  <c r="AS213" i="58"/>
  <c r="AS202" i="58"/>
  <c r="AT170" i="58"/>
  <c r="AQ220" i="58"/>
  <c r="AR235" i="58"/>
  <c r="AR222" i="58"/>
  <c r="AR151" i="58"/>
  <c r="AS175" i="58"/>
  <c r="AS209" i="58"/>
  <c r="AS198" i="58"/>
  <c r="AS187" i="58"/>
  <c r="AV157" i="58"/>
  <c r="AV239" i="58" s="1"/>
  <c r="AW157" i="58"/>
  <c r="AW239" i="58" s="1"/>
  <c r="AT159" i="58"/>
  <c r="AT162" i="58"/>
  <c r="AT164" i="58"/>
  <c r="AR186" i="58"/>
  <c r="AR197" i="58"/>
  <c r="AR174" i="58"/>
  <c r="AR208" i="58"/>
  <c r="AS156" i="58"/>
  <c r="AS153" i="58"/>
  <c r="AV158" i="58"/>
  <c r="AV240" i="58" s="1"/>
  <c r="AW158" i="58"/>
  <c r="AW240" i="58" s="1"/>
  <c r="AS152" i="58"/>
  <c r="AS155" i="58"/>
  <c r="AS176" i="58"/>
  <c r="AS210" i="58"/>
  <c r="AS199" i="58"/>
  <c r="AS188" i="58"/>
  <c r="BK225" i="58" l="1"/>
  <c r="BK224" i="58"/>
  <c r="BK235" i="58"/>
  <c r="BM75" i="58" a="1"/>
  <c r="BM75" i="58" s="1"/>
  <c r="BL167" i="58"/>
  <c r="BL99" i="58" a="1"/>
  <c r="BL99" i="58" s="1"/>
  <c r="BK158" i="58"/>
  <c r="BK240" i="58" s="1"/>
  <c r="BL98" i="58" a="1"/>
  <c r="BL98" i="58" s="1"/>
  <c r="BK157" i="58"/>
  <c r="BK239" i="58" s="1"/>
  <c r="BK96" i="58" a="1"/>
  <c r="BK96" i="58" s="1"/>
  <c r="BJ155" i="58"/>
  <c r="BJ237" i="58" s="1"/>
  <c r="BK228" i="58"/>
  <c r="BO74" i="58" a="1"/>
  <c r="BO74" i="58" s="1"/>
  <c r="BN166" i="58"/>
  <c r="BK97" i="58" a="1"/>
  <c r="BK97" i="58" s="1"/>
  <c r="BJ156" i="58"/>
  <c r="BJ238" i="58" s="1"/>
  <c r="BM89" i="58" a="1"/>
  <c r="BM89" i="58" s="1"/>
  <c r="BL182" i="58"/>
  <c r="BL216" i="58"/>
  <c r="BL194" i="58"/>
  <c r="BL205" i="58"/>
  <c r="BM86" i="58" a="1"/>
  <c r="BM86" i="58" s="1"/>
  <c r="BL179" i="58"/>
  <c r="BL213" i="58"/>
  <c r="BL191" i="58"/>
  <c r="BL202" i="58"/>
  <c r="BM78" i="58" a="1"/>
  <c r="BM78" i="58" s="1"/>
  <c r="BL170" i="58"/>
  <c r="BJ100" i="58" a="1"/>
  <c r="BJ100" i="58" s="1"/>
  <c r="BI159" i="58"/>
  <c r="BI241" i="58" s="1"/>
  <c r="BM85" i="58" a="1"/>
  <c r="BM85" i="58" s="1"/>
  <c r="BL201" i="58"/>
  <c r="BL178" i="58"/>
  <c r="BL212" i="58"/>
  <c r="BL190" i="58"/>
  <c r="BM72" i="58" a="1"/>
  <c r="BM72" i="58" s="1"/>
  <c r="BL164" i="58"/>
  <c r="BM94" i="58" a="1"/>
  <c r="BM94" i="58" s="1"/>
  <c r="BL153" i="58"/>
  <c r="BK222" i="58"/>
  <c r="BM83" i="58" a="1"/>
  <c r="BM83" i="58" s="1"/>
  <c r="BL188" i="58"/>
  <c r="BL199" i="58"/>
  <c r="BL210" i="58"/>
  <c r="BL176" i="58"/>
  <c r="BL93" i="58" a="1"/>
  <c r="BL93" i="58" s="1"/>
  <c r="BK152" i="58"/>
  <c r="BK234" i="58" s="1"/>
  <c r="BN71" i="58" a="1"/>
  <c r="BN71" i="58" s="1"/>
  <c r="BM163" i="58"/>
  <c r="BK221" i="58"/>
  <c r="BM82" i="58" a="1"/>
  <c r="BM82" i="58" s="1"/>
  <c r="BL187" i="58"/>
  <c r="BL175" i="58"/>
  <c r="BL198" i="58"/>
  <c r="BL209" i="58"/>
  <c r="BJ220" i="58"/>
  <c r="BL81" i="58" a="1"/>
  <c r="BL81" i="58" s="1"/>
  <c r="BK208" i="58"/>
  <c r="BK174" i="58"/>
  <c r="BK186" i="58"/>
  <c r="BK197" i="58"/>
  <c r="BJ92" i="58" a="1"/>
  <c r="BJ92" i="58" s="1"/>
  <c r="BI151" i="58"/>
  <c r="BI233" i="58" s="1"/>
  <c r="BM70" i="58" a="1"/>
  <c r="BM70" i="58" s="1"/>
  <c r="BL162" i="58"/>
  <c r="AR233" i="58"/>
  <c r="AS224" i="58"/>
  <c r="AO262" i="58" s="1"/>
  <c r="AE124" i="47" s="1"/>
  <c r="AS235" i="58"/>
  <c r="AO250" i="58" s="1"/>
  <c r="AE112" i="47" s="1"/>
  <c r="AS234" i="58"/>
  <c r="AO249" i="58" s="1"/>
  <c r="AE111" i="47" s="1"/>
  <c r="AS222" i="58"/>
  <c r="AO260" i="58" s="1"/>
  <c r="AE121" i="47" s="1"/>
  <c r="AT199" i="58"/>
  <c r="AT176" i="58"/>
  <c r="AT210" i="58"/>
  <c r="AT188" i="58"/>
  <c r="AR220" i="58"/>
  <c r="AU159" i="58"/>
  <c r="AS221" i="58"/>
  <c r="AO259" i="58" s="1"/>
  <c r="AE120" i="47" s="1"/>
  <c r="AT175" i="58"/>
  <c r="AT198" i="58"/>
  <c r="AT209" i="58"/>
  <c r="AT187" i="58"/>
  <c r="AU170" i="58"/>
  <c r="AS238" i="58"/>
  <c r="AO253" i="58" s="1"/>
  <c r="AE117" i="47" s="1"/>
  <c r="AS237" i="58"/>
  <c r="AO252" i="58" s="1"/>
  <c r="AE115" i="47" s="1"/>
  <c r="AS228" i="58"/>
  <c r="AO266" i="58" s="1"/>
  <c r="AE123" i="47" s="1"/>
  <c r="AT155" i="58"/>
  <c r="AT152" i="58"/>
  <c r="AT153" i="58"/>
  <c r="AT156" i="58"/>
  <c r="AS174" i="58"/>
  <c r="AS208" i="58"/>
  <c r="AS186" i="58"/>
  <c r="AS197" i="58"/>
  <c r="AU164" i="58"/>
  <c r="AU162" i="58"/>
  <c r="AS151" i="58"/>
  <c r="AS225" i="58"/>
  <c r="AO263" i="58" s="1"/>
  <c r="AE126" i="47" s="1"/>
  <c r="AT179" i="58"/>
  <c r="AT202" i="58"/>
  <c r="AT213" i="58"/>
  <c r="AT191" i="58"/>
  <c r="AT178" i="58"/>
  <c r="AT212" i="58"/>
  <c r="AT201" i="58"/>
  <c r="AT190" i="58"/>
  <c r="AT216" i="58"/>
  <c r="AT194" i="58"/>
  <c r="AT182" i="58"/>
  <c r="AT241" i="58" s="1"/>
  <c r="AT205" i="58"/>
  <c r="AW163" i="58"/>
  <c r="AV163" i="58"/>
  <c r="AW167" i="58"/>
  <c r="AV167" i="58"/>
  <c r="AW166" i="58"/>
  <c r="AV166" i="58"/>
  <c r="BL225" i="58" l="1"/>
  <c r="BP74" i="58" a="1"/>
  <c r="BP74" i="58" s="1"/>
  <c r="BO166" i="58"/>
  <c r="BL224" i="58"/>
  <c r="BN86" i="58" a="1"/>
  <c r="BN86" i="58" s="1"/>
  <c r="BM179" i="58"/>
  <c r="BM213" i="58"/>
  <c r="BM191" i="58"/>
  <c r="BM202" i="58"/>
  <c r="BN85" i="58" a="1"/>
  <c r="BN85" i="58" s="1"/>
  <c r="BM201" i="58"/>
  <c r="BM178" i="58"/>
  <c r="BM212" i="58"/>
  <c r="BM190" i="58"/>
  <c r="BL96" i="58" a="1"/>
  <c r="BL96" i="58" s="1"/>
  <c r="BK155" i="58"/>
  <c r="BK237" i="58" s="1"/>
  <c r="BL228" i="58"/>
  <c r="BM98" i="58" a="1"/>
  <c r="BM98" i="58" s="1"/>
  <c r="BL157" i="58"/>
  <c r="BL239" i="58" s="1"/>
  <c r="BK100" i="58" a="1"/>
  <c r="BK100" i="58" s="1"/>
  <c r="BJ159" i="58"/>
  <c r="BJ241" i="58" s="1"/>
  <c r="BM99" i="58" a="1"/>
  <c r="BM99" i="58" s="1"/>
  <c r="BL158" i="58"/>
  <c r="BL240" i="58" s="1"/>
  <c r="BN89" i="58" a="1"/>
  <c r="BN89" i="58" s="1"/>
  <c r="BM182" i="58"/>
  <c r="BM216" i="58"/>
  <c r="BM194" i="58"/>
  <c r="BM205" i="58"/>
  <c r="BN78" i="58" a="1"/>
  <c r="BN78" i="58" s="1"/>
  <c r="BM170" i="58"/>
  <c r="BN75" i="58" a="1"/>
  <c r="BN75" i="58" s="1"/>
  <c r="BM167" i="58"/>
  <c r="BL97" i="58" a="1"/>
  <c r="BL97" i="58" s="1"/>
  <c r="BK156" i="58"/>
  <c r="BK238" i="58" s="1"/>
  <c r="BL222" i="58"/>
  <c r="BN83" i="58" a="1"/>
  <c r="BN83" i="58" s="1"/>
  <c r="BM188" i="58"/>
  <c r="BM210" i="58"/>
  <c r="BM176" i="58"/>
  <c r="BM199" i="58"/>
  <c r="BN94" i="58" a="1"/>
  <c r="BN94" i="58" s="1"/>
  <c r="BM153" i="58"/>
  <c r="BL235" i="58"/>
  <c r="BN72" i="58" a="1"/>
  <c r="BN72" i="58" s="1"/>
  <c r="BM164" i="58"/>
  <c r="BL221" i="58"/>
  <c r="BN82" i="58" a="1"/>
  <c r="BN82" i="58" s="1"/>
  <c r="BM187" i="58"/>
  <c r="BM198" i="58"/>
  <c r="BM209" i="58"/>
  <c r="BM175" i="58"/>
  <c r="BO71" i="58" a="1"/>
  <c r="BO71" i="58" s="1"/>
  <c r="BN163" i="58"/>
  <c r="BM93" i="58" a="1"/>
  <c r="BM93" i="58" s="1"/>
  <c r="BL152" i="58"/>
  <c r="BL234" i="58" s="1"/>
  <c r="BN70" i="58" a="1"/>
  <c r="BN70" i="58" s="1"/>
  <c r="BM162" i="58"/>
  <c r="BK92" i="58" a="1"/>
  <c r="BK92" i="58" s="1"/>
  <c r="BJ151" i="58"/>
  <c r="BJ233" i="58" s="1"/>
  <c r="BK220" i="58"/>
  <c r="BM81" i="58" a="1"/>
  <c r="BM81" i="58" s="1"/>
  <c r="BL208" i="58"/>
  <c r="BL174" i="58"/>
  <c r="BL186" i="58"/>
  <c r="BL197" i="58"/>
  <c r="AT237" i="58"/>
  <c r="AT238" i="58"/>
  <c r="AS220" i="58"/>
  <c r="AO258" i="58" s="1"/>
  <c r="AE118" i="47" s="1"/>
  <c r="AT224" i="58"/>
  <c r="AT221" i="58"/>
  <c r="AT228" i="58"/>
  <c r="AU182" i="58"/>
  <c r="AU241" i="58" s="1"/>
  <c r="AU216" i="58"/>
  <c r="AU205" i="58"/>
  <c r="AU194" i="58"/>
  <c r="AT225" i="58"/>
  <c r="AU179" i="58"/>
  <c r="AU213" i="58"/>
  <c r="AU202" i="58"/>
  <c r="AU191" i="58"/>
  <c r="AT151" i="58"/>
  <c r="AT197" i="58"/>
  <c r="AT208" i="58"/>
  <c r="AT186" i="58"/>
  <c r="AT174" i="58"/>
  <c r="AT234" i="58"/>
  <c r="AT222" i="58"/>
  <c r="AT235" i="58"/>
  <c r="AU188" i="58"/>
  <c r="AU176" i="58"/>
  <c r="AU210" i="58"/>
  <c r="AU199" i="58"/>
  <c r="AU178" i="58"/>
  <c r="AU212" i="58"/>
  <c r="AU201" i="58"/>
  <c r="AU190" i="58"/>
  <c r="AW162" i="58"/>
  <c r="AV162" i="58"/>
  <c r="AW164" i="58"/>
  <c r="AV164" i="58"/>
  <c r="AS233" i="58"/>
  <c r="AO248" i="58" s="1"/>
  <c r="AE109" i="47" s="1"/>
  <c r="AU156" i="58"/>
  <c r="AU153" i="58"/>
  <c r="AU152" i="58"/>
  <c r="AU155" i="58"/>
  <c r="AW170" i="58"/>
  <c r="AV170" i="58"/>
  <c r="AU175" i="58"/>
  <c r="AU209" i="58"/>
  <c r="AU198" i="58"/>
  <c r="AU187" i="58"/>
  <c r="AV159" i="58"/>
  <c r="AW159" i="58"/>
  <c r="BM224" i="58" l="1"/>
  <c r="BN99" i="58" a="1"/>
  <c r="BN99" i="58" s="1"/>
  <c r="BM158" i="58"/>
  <c r="BM240" i="58" s="1"/>
  <c r="BO85" i="58" a="1"/>
  <c r="BO85" i="58" s="1"/>
  <c r="BN201" i="58"/>
  <c r="BN190" i="58"/>
  <c r="BN178" i="58"/>
  <c r="BN212" i="58"/>
  <c r="BO75" i="58" a="1"/>
  <c r="BO75" i="58" s="1"/>
  <c r="BN167" i="58"/>
  <c r="BL100" i="58" a="1"/>
  <c r="BL100" i="58" s="1"/>
  <c r="BK159" i="58"/>
  <c r="BK241" i="58" s="1"/>
  <c r="BM225" i="58"/>
  <c r="BO78" i="58" a="1"/>
  <c r="BO78" i="58" s="1"/>
  <c r="BN170" i="58"/>
  <c r="BN98" i="58" a="1"/>
  <c r="BN98" i="58" s="1"/>
  <c r="BM157" i="58"/>
  <c r="BM239" i="58" s="1"/>
  <c r="BO86" i="58" a="1"/>
  <c r="BO86" i="58" s="1"/>
  <c r="BN179" i="58"/>
  <c r="BN213" i="58"/>
  <c r="BN202" i="58"/>
  <c r="BN191" i="58"/>
  <c r="BM228" i="58"/>
  <c r="BM96" i="58" a="1"/>
  <c r="BM96" i="58" s="1"/>
  <c r="BL155" i="58"/>
  <c r="BL237" i="58" s="1"/>
  <c r="BO89" i="58" a="1"/>
  <c r="BO89" i="58" s="1"/>
  <c r="BN182" i="58"/>
  <c r="BN216" i="58"/>
  <c r="BN194" i="58"/>
  <c r="BN205" i="58"/>
  <c r="BQ74" i="58" a="1"/>
  <c r="BQ74" i="58" s="1"/>
  <c r="BP166" i="58"/>
  <c r="BM97" i="58" a="1"/>
  <c r="BM97" i="58" s="1"/>
  <c r="BL156" i="58"/>
  <c r="BL238" i="58" s="1"/>
  <c r="BM235" i="58"/>
  <c r="BO72" i="58" a="1"/>
  <c r="BO72" i="58" s="1"/>
  <c r="BN164" i="58"/>
  <c r="BO94" i="58" a="1"/>
  <c r="BO94" i="58" s="1"/>
  <c r="BN153" i="58"/>
  <c r="BM222" i="58"/>
  <c r="BO83" i="58" a="1"/>
  <c r="BO83" i="58" s="1"/>
  <c r="BN199" i="58"/>
  <c r="BN188" i="58"/>
  <c r="BN210" i="58"/>
  <c r="BN176" i="58"/>
  <c r="BN93" i="58" a="1"/>
  <c r="BN93" i="58" s="1"/>
  <c r="BM152" i="58"/>
  <c r="BM234" i="58" s="1"/>
  <c r="BP71" i="58" a="1"/>
  <c r="BP71" i="58" s="1"/>
  <c r="BO163" i="58"/>
  <c r="BM221" i="58"/>
  <c r="BO82" i="58" a="1"/>
  <c r="BO82" i="58" s="1"/>
  <c r="BN187" i="58"/>
  <c r="BN198" i="58"/>
  <c r="BN209" i="58"/>
  <c r="BN175" i="58"/>
  <c r="BL220" i="58"/>
  <c r="BN81" i="58" a="1"/>
  <c r="BN81" i="58" s="1"/>
  <c r="BM208" i="58"/>
  <c r="BM174" i="58"/>
  <c r="BM186" i="58"/>
  <c r="BM197" i="58"/>
  <c r="BL92" i="58" a="1"/>
  <c r="BL92" i="58" s="1"/>
  <c r="BK151" i="58"/>
  <c r="BK233" i="58" s="1"/>
  <c r="BO70" i="58" a="1"/>
  <c r="BO70" i="58" s="1"/>
  <c r="BN162" i="58"/>
  <c r="AT233" i="58"/>
  <c r="AU234" i="58"/>
  <c r="AU237" i="58"/>
  <c r="AU235" i="58"/>
  <c r="AU238" i="58"/>
  <c r="AU221" i="58"/>
  <c r="AV209" i="58"/>
  <c r="AV187" i="58"/>
  <c r="AV198" i="58"/>
  <c r="AV175" i="58"/>
  <c r="AU224" i="58"/>
  <c r="AV201" i="58"/>
  <c r="AV212" i="58"/>
  <c r="AV190" i="58"/>
  <c r="AV178" i="58"/>
  <c r="AU222" i="58"/>
  <c r="AT220" i="58"/>
  <c r="AU151" i="58"/>
  <c r="AU225" i="58"/>
  <c r="AV213" i="58"/>
  <c r="AV191" i="58"/>
  <c r="AV179" i="58"/>
  <c r="AV202" i="58"/>
  <c r="AU228" i="58"/>
  <c r="AV216" i="58"/>
  <c r="AV205" i="58"/>
  <c r="AV194" i="58"/>
  <c r="AV182" i="58"/>
  <c r="AV241" i="58" s="1"/>
  <c r="AV155" i="58"/>
  <c r="AW155" i="58"/>
  <c r="AV152" i="58"/>
  <c r="AW152" i="58"/>
  <c r="AV153" i="58"/>
  <c r="AW153" i="58"/>
  <c r="AV156" i="58"/>
  <c r="AW156" i="58"/>
  <c r="AV210" i="58"/>
  <c r="AV199" i="58"/>
  <c r="AV188" i="58"/>
  <c r="AV176" i="58"/>
  <c r="AU174" i="58"/>
  <c r="AU208" i="58"/>
  <c r="AU197" i="58"/>
  <c r="AU186" i="58"/>
  <c r="BN224" i="58" l="1"/>
  <c r="BN225" i="58"/>
  <c r="BN221" i="58"/>
  <c r="BN97" i="58" a="1"/>
  <c r="BN97" i="58" s="1"/>
  <c r="BM156" i="58"/>
  <c r="BM238" i="58" s="1"/>
  <c r="BM100" i="58" a="1"/>
  <c r="BM100" i="58" s="1"/>
  <c r="BL159" i="58"/>
  <c r="BL241" i="58" s="1"/>
  <c r="BN222" i="58"/>
  <c r="BR74" i="58" a="1"/>
  <c r="BR74" i="58" s="1"/>
  <c r="BR166" i="58" s="1"/>
  <c r="BQ166" i="58"/>
  <c r="BP75" i="58" a="1"/>
  <c r="BP75" i="58" s="1"/>
  <c r="BO167" i="58"/>
  <c r="BP86" i="58" a="1"/>
  <c r="BP86" i="58" s="1"/>
  <c r="BO179" i="58"/>
  <c r="BO213" i="58"/>
  <c r="BO191" i="58"/>
  <c r="BO202" i="58"/>
  <c r="BN228" i="58"/>
  <c r="BO98" i="58" a="1"/>
  <c r="BO98" i="58" s="1"/>
  <c r="BN157" i="58"/>
  <c r="BN239" i="58" s="1"/>
  <c r="BP89" i="58" a="1"/>
  <c r="BP89" i="58" s="1"/>
  <c r="BO182" i="58"/>
  <c r="BO216" i="58"/>
  <c r="BO205" i="58"/>
  <c r="BO194" i="58"/>
  <c r="BP85" i="58" a="1"/>
  <c r="BP85" i="58" s="1"/>
  <c r="BO201" i="58"/>
  <c r="BO178" i="58"/>
  <c r="BO212" i="58"/>
  <c r="BO190" i="58"/>
  <c r="BP78" i="58" a="1"/>
  <c r="BP78" i="58" s="1"/>
  <c r="BO170" i="58"/>
  <c r="BO99" i="58" a="1"/>
  <c r="BO99" i="58" s="1"/>
  <c r="BN158" i="58"/>
  <c r="BN240" i="58" s="1"/>
  <c r="BN96" i="58" a="1"/>
  <c r="BN96" i="58" s="1"/>
  <c r="BM155" i="58"/>
  <c r="BM237" i="58" s="1"/>
  <c r="BP83" i="58" a="1"/>
  <c r="BP83" i="58" s="1"/>
  <c r="BO199" i="58"/>
  <c r="BO176" i="58"/>
  <c r="BO188" i="58"/>
  <c r="BO210" i="58"/>
  <c r="BP94" i="58" a="1"/>
  <c r="BP94" i="58" s="1"/>
  <c r="BO153" i="58"/>
  <c r="BN235" i="58"/>
  <c r="BP72" i="58" a="1"/>
  <c r="BP72" i="58" s="1"/>
  <c r="BO164" i="58"/>
  <c r="BP82" i="58" a="1"/>
  <c r="BP82" i="58" s="1"/>
  <c r="BO175" i="58"/>
  <c r="BO187" i="58"/>
  <c r="BO198" i="58"/>
  <c r="BO209" i="58"/>
  <c r="BQ71" i="58" a="1"/>
  <c r="BQ71" i="58" s="1"/>
  <c r="BP163" i="58"/>
  <c r="BO93" i="58" a="1"/>
  <c r="BO93" i="58" s="1"/>
  <c r="BN152" i="58"/>
  <c r="BN234" i="58" s="1"/>
  <c r="BM92" i="58" a="1"/>
  <c r="BM92" i="58" s="1"/>
  <c r="BL151" i="58"/>
  <c r="BL233" i="58" s="1"/>
  <c r="BP70" i="58" a="1"/>
  <c r="BP70" i="58" s="1"/>
  <c r="BO162" i="58"/>
  <c r="BM220" i="58"/>
  <c r="BO81" i="58" a="1"/>
  <c r="BO81" i="58" s="1"/>
  <c r="BN208" i="58"/>
  <c r="BN174" i="58"/>
  <c r="BN186" i="58"/>
  <c r="BN197" i="58"/>
  <c r="AU233" i="58"/>
  <c r="AV235" i="58"/>
  <c r="AV228" i="58"/>
  <c r="AV224" i="58"/>
  <c r="AU220" i="58"/>
  <c r="AV197" i="58"/>
  <c r="AV186" i="58"/>
  <c r="AV208" i="58"/>
  <c r="AV174" i="58"/>
  <c r="AV222" i="58"/>
  <c r="AW182" i="58"/>
  <c r="AW241" i="58" s="1"/>
  <c r="AW205" i="58"/>
  <c r="AW194" i="58"/>
  <c r="AW216" i="58"/>
  <c r="AV225" i="58"/>
  <c r="AW202" i="58"/>
  <c r="AW179" i="58"/>
  <c r="AW238" i="58" s="1"/>
  <c r="AW191" i="58"/>
  <c r="AW213" i="58"/>
  <c r="AV151" i="58"/>
  <c r="AW151" i="58"/>
  <c r="AV237" i="58"/>
  <c r="AW201" i="58"/>
  <c r="AW178" i="58"/>
  <c r="AW237" i="58" s="1"/>
  <c r="AW190" i="58"/>
  <c r="AW212" i="58"/>
  <c r="AV234" i="58"/>
  <c r="AV221" i="58"/>
  <c r="AW198" i="58"/>
  <c r="AW175" i="58"/>
  <c r="AW234" i="58" s="1"/>
  <c r="AW187" i="58"/>
  <c r="AW209" i="58"/>
  <c r="AW176" i="58"/>
  <c r="AW235" i="58" s="1"/>
  <c r="AW199" i="58"/>
  <c r="AW188" i="58"/>
  <c r="AW210" i="58"/>
  <c r="AV238" i="58"/>
  <c r="BO225" i="58" l="1"/>
  <c r="BO235" i="58"/>
  <c r="BO224" i="58"/>
  <c r="BO96" i="58" a="1"/>
  <c r="BO96" i="58" s="1"/>
  <c r="BN155" i="58"/>
  <c r="BN237" i="58" s="1"/>
  <c r="BQ86" i="58" a="1"/>
  <c r="BQ86" i="58" s="1"/>
  <c r="BP202" i="58"/>
  <c r="BP179" i="58"/>
  <c r="BP213" i="58"/>
  <c r="BP191" i="58"/>
  <c r="BQ75" i="58" a="1"/>
  <c r="BQ75" i="58" s="1"/>
  <c r="BP167" i="58"/>
  <c r="BP99" i="58" a="1"/>
  <c r="BP99" i="58" s="1"/>
  <c r="BO158" i="58"/>
  <c r="BO240" i="58" s="1"/>
  <c r="BQ89" i="58" a="1"/>
  <c r="BQ89" i="58" s="1"/>
  <c r="BP205" i="58"/>
  <c r="BP182" i="58"/>
  <c r="BP216" i="58"/>
  <c r="BP194" i="58"/>
  <c r="BQ78" i="58" a="1"/>
  <c r="BQ78" i="58" s="1"/>
  <c r="BP170" i="58"/>
  <c r="BP98" i="58" a="1"/>
  <c r="BP98" i="58" s="1"/>
  <c r="BO157" i="58"/>
  <c r="BO239" i="58" s="1"/>
  <c r="BQ85" i="58" a="1"/>
  <c r="BQ85" i="58" s="1"/>
  <c r="BP190" i="58"/>
  <c r="BP201" i="58"/>
  <c r="BP178" i="58"/>
  <c r="BP212" i="58"/>
  <c r="BN100" i="58" a="1"/>
  <c r="BN100" i="58" s="1"/>
  <c r="BM159" i="58"/>
  <c r="BM241" i="58" s="1"/>
  <c r="BO228" i="58"/>
  <c r="BO97" i="58" a="1"/>
  <c r="BO97" i="58" s="1"/>
  <c r="BN156" i="58"/>
  <c r="BN238" i="58" s="1"/>
  <c r="BO222" i="58"/>
  <c r="BQ72" i="58" a="1"/>
  <c r="BQ72" i="58" s="1"/>
  <c r="BP164" i="58"/>
  <c r="BQ94" i="58" a="1"/>
  <c r="BQ94" i="58" s="1"/>
  <c r="BP153" i="58"/>
  <c r="BQ83" i="58" a="1"/>
  <c r="BQ83" i="58" s="1"/>
  <c r="BP199" i="58"/>
  <c r="BP188" i="58"/>
  <c r="BP176" i="58"/>
  <c r="BP210" i="58"/>
  <c r="BP93" i="58" a="1"/>
  <c r="BP93" i="58" s="1"/>
  <c r="BO152" i="58"/>
  <c r="BO234" i="58" s="1"/>
  <c r="BR71" i="58" a="1"/>
  <c r="BR71" i="58" s="1"/>
  <c r="BR163" i="58" s="1"/>
  <c r="BQ163" i="58"/>
  <c r="BO221" i="58"/>
  <c r="BQ82" i="58" a="1"/>
  <c r="BQ82" i="58" s="1"/>
  <c r="BP209" i="58"/>
  <c r="BP175" i="58"/>
  <c r="BP187" i="58"/>
  <c r="BP198" i="58"/>
  <c r="BN220" i="58"/>
  <c r="BP81" i="58" a="1"/>
  <c r="BP81" i="58" s="1"/>
  <c r="BO208" i="58"/>
  <c r="BO174" i="58"/>
  <c r="BO186" i="58"/>
  <c r="BO197" i="58"/>
  <c r="BQ70" i="58" a="1"/>
  <c r="BQ70" i="58" s="1"/>
  <c r="BP162" i="58"/>
  <c r="BN92" i="58" a="1"/>
  <c r="BN92" i="58" s="1"/>
  <c r="BM151" i="58"/>
  <c r="BM233" i="58" s="1"/>
  <c r="AW228" i="58"/>
  <c r="AV233" i="58"/>
  <c r="AV220" i="58"/>
  <c r="AW197" i="58"/>
  <c r="AW174" i="58"/>
  <c r="AW233" i="58" s="1"/>
  <c r="AW186" i="58"/>
  <c r="AW208" i="58"/>
  <c r="AW222" i="58"/>
  <c r="AW221" i="58"/>
  <c r="AW224" i="58"/>
  <c r="AW225" i="58"/>
  <c r="BP235" i="58" l="1"/>
  <c r="BQ99" i="58" a="1"/>
  <c r="BQ99" i="58" s="1"/>
  <c r="BP158" i="58"/>
  <c r="BP240" i="58" s="1"/>
  <c r="BP97" i="58" a="1"/>
  <c r="BP97" i="58" s="1"/>
  <c r="BO156" i="58"/>
  <c r="BO238" i="58" s="1"/>
  <c r="BQ98" i="58" a="1"/>
  <c r="BQ98" i="58" s="1"/>
  <c r="BP157" i="58"/>
  <c r="BP239" i="58" s="1"/>
  <c r="BR75" i="58" a="1"/>
  <c r="BR75" i="58" s="1"/>
  <c r="BR167" i="58" s="1"/>
  <c r="BQ167" i="58"/>
  <c r="BR78" i="58" a="1"/>
  <c r="BR78" i="58" s="1"/>
  <c r="BR170" i="58" s="1"/>
  <c r="BQ170" i="58"/>
  <c r="BO100" i="58" a="1"/>
  <c r="BO100" i="58" s="1"/>
  <c r="BN159" i="58"/>
  <c r="BN241" i="58" s="1"/>
  <c r="BP225" i="58"/>
  <c r="BR86" i="58" a="1"/>
  <c r="BR86" i="58" s="1"/>
  <c r="BQ202" i="58"/>
  <c r="BQ179" i="58"/>
  <c r="BQ213" i="58"/>
  <c r="BQ191" i="58"/>
  <c r="BP224" i="58"/>
  <c r="BP228" i="58"/>
  <c r="BR85" i="58" a="1"/>
  <c r="BR85" i="58" s="1"/>
  <c r="BQ190" i="58"/>
  <c r="BQ201" i="58"/>
  <c r="BQ178" i="58"/>
  <c r="BQ212" i="58"/>
  <c r="BR89" i="58" a="1"/>
  <c r="BR89" i="58" s="1"/>
  <c r="BQ205" i="58"/>
  <c r="BQ182" i="58"/>
  <c r="BQ216" i="58"/>
  <c r="BQ194" i="58"/>
  <c r="BP96" i="58" a="1"/>
  <c r="BP96" i="58" s="1"/>
  <c r="BO155" i="58"/>
  <c r="BO237" i="58" s="1"/>
  <c r="BP222" i="58"/>
  <c r="BO220" i="58"/>
  <c r="BR83" i="58" a="1"/>
  <c r="BR83" i="58" s="1"/>
  <c r="BQ199" i="58"/>
  <c r="BQ188" i="58"/>
  <c r="BQ210" i="58"/>
  <c r="BQ176" i="58"/>
  <c r="BR94" i="58" a="1"/>
  <c r="BR94" i="58" s="1"/>
  <c r="BR153" i="58" s="1"/>
  <c r="BQ153" i="58"/>
  <c r="BR72" i="58" a="1"/>
  <c r="BR72" i="58" s="1"/>
  <c r="BR164" i="58" s="1"/>
  <c r="BQ164" i="58"/>
  <c r="BR82" i="58" a="1"/>
  <c r="BR82" i="58" s="1"/>
  <c r="BQ198" i="58"/>
  <c r="BQ209" i="58"/>
  <c r="BQ175" i="58"/>
  <c r="BQ187" i="58"/>
  <c r="BP221" i="58"/>
  <c r="BQ93" i="58" a="1"/>
  <c r="BQ93" i="58" s="1"/>
  <c r="BP152" i="58"/>
  <c r="BP234" i="58" s="1"/>
  <c r="BR70" i="58" a="1"/>
  <c r="BR70" i="58" s="1"/>
  <c r="BR162" i="58" s="1"/>
  <c r="BQ162" i="58"/>
  <c r="BQ81" i="58" a="1"/>
  <c r="BQ81" i="58" s="1"/>
  <c r="BP208" i="58"/>
  <c r="BP174" i="58"/>
  <c r="BP186" i="58"/>
  <c r="BP197" i="58"/>
  <c r="BO92" i="58" a="1"/>
  <c r="BO92" i="58" s="1"/>
  <c r="BN151" i="58"/>
  <c r="BN233" i="58" s="1"/>
  <c r="AW220" i="58"/>
  <c r="BQ224" i="58" l="1"/>
  <c r="BR190" i="58"/>
  <c r="BR178" i="58"/>
  <c r="BR201" i="58"/>
  <c r="BR212" i="58"/>
  <c r="BP100" i="58" a="1"/>
  <c r="BP100" i="58" s="1"/>
  <c r="BO159" i="58"/>
  <c r="BO241" i="58" s="1"/>
  <c r="BQ96" i="58" a="1"/>
  <c r="BQ96" i="58" s="1"/>
  <c r="BP155" i="58"/>
  <c r="BP237" i="58" s="1"/>
  <c r="BQ228" i="58"/>
  <c r="BQ225" i="58"/>
  <c r="BR205" i="58"/>
  <c r="BR194" i="58"/>
  <c r="BR182" i="58"/>
  <c r="BR216" i="58"/>
  <c r="BR202" i="58"/>
  <c r="BR191" i="58"/>
  <c r="BR179" i="58"/>
  <c r="BR213" i="58"/>
  <c r="BR98" i="58" a="1"/>
  <c r="BR98" i="58" s="1"/>
  <c r="BR157" i="58" s="1"/>
  <c r="BR239" i="58" s="1"/>
  <c r="AR254" i="58" s="1"/>
  <c r="AH110" i="47" s="1"/>
  <c r="AJ110" i="47" s="1"/>
  <c r="BQ157" i="58"/>
  <c r="BQ239" i="58" s="1"/>
  <c r="BQ97" i="58" a="1"/>
  <c r="BQ97" i="58" s="1"/>
  <c r="BP156" i="58"/>
  <c r="BP238" i="58" s="1"/>
  <c r="BR99" i="58" a="1"/>
  <c r="BR99" i="58" s="1"/>
  <c r="BR158" i="58" s="1"/>
  <c r="BR240" i="58" s="1"/>
  <c r="AR255" i="58" s="1"/>
  <c r="AH116" i="47" s="1"/>
  <c r="AJ116" i="47" s="1"/>
  <c r="BQ158" i="58"/>
  <c r="BQ240" i="58" s="1"/>
  <c r="BQ235" i="58"/>
  <c r="BQ222" i="58"/>
  <c r="BQ221" i="58"/>
  <c r="BR176" i="58"/>
  <c r="BR235" i="58" s="1"/>
  <c r="AR250" i="58" s="1"/>
  <c r="AH112" i="47" s="1"/>
  <c r="AJ112" i="47" s="1"/>
  <c r="BR199" i="58"/>
  <c r="BR188" i="58"/>
  <c r="BR210" i="58"/>
  <c r="BR93" i="58" a="1"/>
  <c r="BR93" i="58" s="1"/>
  <c r="BR152" i="58" s="1"/>
  <c r="BQ152" i="58"/>
  <c r="BQ234" i="58" s="1"/>
  <c r="BR209" i="58"/>
  <c r="BR175" i="58"/>
  <c r="BR187" i="58"/>
  <c r="BR198" i="58"/>
  <c r="BP92" i="58" a="1"/>
  <c r="BP92" i="58" s="1"/>
  <c r="BO151" i="58"/>
  <c r="BO233" i="58" s="1"/>
  <c r="BP220" i="58"/>
  <c r="BR81" i="58" a="1"/>
  <c r="BR81" i="58" s="1"/>
  <c r="BQ208" i="58"/>
  <c r="BQ174" i="58"/>
  <c r="BQ186" i="58"/>
  <c r="BQ197" i="58"/>
  <c r="E59" i="58"/>
  <c r="F73" i="58" s="1"/>
  <c r="BR234" i="58" l="1"/>
  <c r="AR249" i="58" s="1"/>
  <c r="AH111" i="47" s="1"/>
  <c r="AJ111" i="47" s="1"/>
  <c r="BR228" i="58"/>
  <c r="AR266" i="58" s="1"/>
  <c r="AH123" i="47" s="1"/>
  <c r="AJ123" i="47" s="1"/>
  <c r="BR224" i="58"/>
  <c r="AR262" i="58" s="1"/>
  <c r="AH124" i="47" s="1"/>
  <c r="AJ124" i="47" s="1"/>
  <c r="BR222" i="58"/>
  <c r="AR260" i="58" s="1"/>
  <c r="AH121" i="47" s="1"/>
  <c r="AJ121" i="47" s="1"/>
  <c r="BR225" i="58"/>
  <c r="AR263" i="58" s="1"/>
  <c r="AH126" i="47" s="1"/>
  <c r="AJ126" i="47" s="1"/>
  <c r="BR96" i="58" a="1"/>
  <c r="BR96" i="58" s="1"/>
  <c r="BR155" i="58" s="1"/>
  <c r="BR237" i="58" s="1"/>
  <c r="AR252" i="58" s="1"/>
  <c r="AH115" i="47" s="1"/>
  <c r="AJ115" i="47" s="1"/>
  <c r="BQ155" i="58"/>
  <c r="BQ237" i="58" s="1"/>
  <c r="BQ100" i="58" a="1"/>
  <c r="BQ100" i="58" s="1"/>
  <c r="BP159" i="58"/>
  <c r="BP241" i="58" s="1"/>
  <c r="BR97" i="58" a="1"/>
  <c r="BR97" i="58" s="1"/>
  <c r="BR156" i="58" s="1"/>
  <c r="BR238" i="58" s="1"/>
  <c r="AR253" i="58" s="1"/>
  <c r="AH117" i="47" s="1"/>
  <c r="AJ117" i="47" s="1"/>
  <c r="BQ156" i="58"/>
  <c r="BQ238" i="58" s="1"/>
  <c r="BR221" i="58"/>
  <c r="AR259" i="58" s="1"/>
  <c r="AH120" i="47" s="1"/>
  <c r="AJ120" i="47" s="1"/>
  <c r="BQ220" i="58"/>
  <c r="BQ92" i="58" a="1"/>
  <c r="BQ92" i="58" s="1"/>
  <c r="BP151" i="58"/>
  <c r="BP233" i="58" s="1"/>
  <c r="BR174" i="58"/>
  <c r="BR186" i="58"/>
  <c r="BR197" i="58"/>
  <c r="BR208" i="58"/>
  <c r="Q73" i="58" a="1"/>
  <c r="Q73" i="58" s="1"/>
  <c r="Q165" i="58" s="1"/>
  <c r="M73" i="58" a="1"/>
  <c r="M73" i="58" s="1"/>
  <c r="M165" i="58" s="1"/>
  <c r="G73" i="58"/>
  <c r="F84" i="58"/>
  <c r="BR100" i="58" l="1" a="1"/>
  <c r="BR100" i="58" s="1"/>
  <c r="BR159" i="58" s="1"/>
  <c r="BR241" i="58" s="1"/>
  <c r="AR256" i="58" s="1"/>
  <c r="AH114" i="47" s="1"/>
  <c r="AJ114" i="47" s="1"/>
  <c r="BQ159" i="58"/>
  <c r="BQ241" i="58" s="1"/>
  <c r="BR220" i="58"/>
  <c r="BR92" i="58" a="1"/>
  <c r="BR92" i="58" s="1"/>
  <c r="BR151" i="58" s="1"/>
  <c r="BR233" i="58" s="1"/>
  <c r="AR248" i="58" s="1"/>
  <c r="AH109" i="47" s="1"/>
  <c r="AJ109" i="47" s="1"/>
  <c r="BQ151" i="58"/>
  <c r="BQ233" i="58" s="1"/>
  <c r="N73" i="58" a="1"/>
  <c r="N73" i="58" s="1"/>
  <c r="O73" i="58" s="1" a="1"/>
  <c r="O73" i="58" s="1"/>
  <c r="P73" i="58" s="1" a="1"/>
  <c r="P73" i="58" s="1"/>
  <c r="Q84" i="58" a="1"/>
  <c r="Q84" i="58" s="1"/>
  <c r="M84" i="58" a="1"/>
  <c r="M84" i="58" s="1"/>
  <c r="N84" i="58" s="1" a="1"/>
  <c r="N84" i="58" s="1"/>
  <c r="O84" i="58" s="1" a="1"/>
  <c r="O84" i="58" s="1"/>
  <c r="P84" i="58" s="1" a="1"/>
  <c r="P84" i="58" s="1"/>
  <c r="H73" i="58"/>
  <c r="R73" i="58" a="1"/>
  <c r="R73" i="58" s="1"/>
  <c r="S73" i="58" s="1" a="1"/>
  <c r="S73" i="58" s="1"/>
  <c r="T73" i="58" a="1"/>
  <c r="T73" i="58" s="1"/>
  <c r="T165" i="58" s="1"/>
  <c r="F95" i="58"/>
  <c r="G84" i="58"/>
  <c r="AR258" i="58" l="1"/>
  <c r="AH118" i="47" s="1"/>
  <c r="AJ118" i="47" s="1"/>
  <c r="Q95" i="58" a="1"/>
  <c r="Q95" i="58" s="1"/>
  <c r="Q154" i="58" s="1"/>
  <c r="M95" i="58" a="1"/>
  <c r="M95" i="58" s="1"/>
  <c r="M154" i="58" s="1"/>
  <c r="H84" i="58"/>
  <c r="R84" i="58" a="1"/>
  <c r="R84" i="58" s="1"/>
  <c r="S84" i="58" s="1" a="1"/>
  <c r="S84" i="58" s="1"/>
  <c r="T84" i="58" a="1"/>
  <c r="T84" i="58" s="1"/>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AD73" i="58" a="1"/>
  <c r="AD73" i="58" s="1"/>
  <c r="AD165" i="58" s="1"/>
  <c r="N211" i="58"/>
  <c r="N200" i="58"/>
  <c r="N189" i="58"/>
  <c r="N177" i="58"/>
  <c r="G95" i="58"/>
  <c r="I73" i="58"/>
  <c r="J73" i="58" s="1"/>
  <c r="K73" i="58" s="1"/>
  <c r="N165" i="58"/>
  <c r="M177" i="58"/>
  <c r="M211" i="58"/>
  <c r="M189" i="58"/>
  <c r="M200" i="58"/>
  <c r="Q211" i="58"/>
  <c r="Q177" i="58"/>
  <c r="Q189" i="58"/>
  <c r="Q200" i="58"/>
  <c r="S165" i="58"/>
  <c r="R165" i="58"/>
  <c r="N95" i="58" l="1" a="1"/>
  <c r="N95" i="58" s="1"/>
  <c r="O95" i="58" s="1" a="1"/>
  <c r="O95" i="58" s="1"/>
  <c r="P95" i="58" s="1" a="1"/>
  <c r="P95" i="58" s="1"/>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AD84" i="58" a="1"/>
  <c r="AD84" i="58" s="1"/>
  <c r="H95" i="58"/>
  <c r="R95" i="58" a="1"/>
  <c r="R95" i="58" s="1"/>
  <c r="S95" i="58" s="1" a="1"/>
  <c r="S95" i="58" s="1"/>
  <c r="T95" i="58" a="1"/>
  <c r="T95" i="58" s="1"/>
  <c r="T154" i="58" s="1"/>
  <c r="AE73" i="58" a="1"/>
  <c r="AE73" i="58" s="1"/>
  <c r="AE165" i="58" s="1"/>
  <c r="Q236" i="58"/>
  <c r="Q251" i="58" s="1"/>
  <c r="G113" i="47" s="1"/>
  <c r="M236" i="58"/>
  <c r="M251" i="58" s="1"/>
  <c r="N223" i="58"/>
  <c r="N261" i="58" s="1"/>
  <c r="Q223" i="58"/>
  <c r="Q261" i="58" s="1"/>
  <c r="G122" i="47" s="1"/>
  <c r="M223" i="58"/>
  <c r="M261" i="58" s="1"/>
  <c r="U165" i="58"/>
  <c r="I84" i="58"/>
  <c r="J84" i="58" s="1"/>
  <c r="K84" i="58" s="1"/>
  <c r="O165" i="58"/>
  <c r="P165" i="58"/>
  <c r="T177" i="58"/>
  <c r="T189" i="58"/>
  <c r="T211" i="58"/>
  <c r="T200" i="58"/>
  <c r="R211" i="58"/>
  <c r="R200" i="58"/>
  <c r="R177" i="58"/>
  <c r="R189" i="58"/>
  <c r="O211" i="58"/>
  <c r="O189" i="58"/>
  <c r="O177" i="58"/>
  <c r="O200" i="58"/>
  <c r="N154" i="58" l="1"/>
  <c r="N236" i="58" s="1"/>
  <c r="N251" i="58" s="1"/>
  <c r="R154" i="58"/>
  <c r="R236" i="58" s="1"/>
  <c r="R251" i="58" s="1"/>
  <c r="H113" i="47" s="1"/>
  <c r="AF73" i="58"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U95" i="58" a="1"/>
  <c r="U95" i="58" s="1"/>
  <c r="V95" i="58" s="1" a="1"/>
  <c r="V95" i="58" s="1"/>
  <c r="W95" i="58" s="1" a="1"/>
  <c r="W95" i="58" s="1"/>
  <c r="X95" i="58" s="1" a="1"/>
  <c r="X95" i="58" s="1"/>
  <c r="Y95" i="58" s="1" a="1"/>
  <c r="Y95" i="58" s="1"/>
  <c r="Z95" i="58" s="1" a="1"/>
  <c r="Z95" i="58" s="1"/>
  <c r="AA95" i="58" s="1" a="1"/>
  <c r="AA95" i="58" s="1"/>
  <c r="AB95" i="58" s="1" a="1"/>
  <c r="AB95" i="58" s="1"/>
  <c r="AC95" i="58" s="1" a="1"/>
  <c r="AC95" i="58" s="1"/>
  <c r="AD95" i="58" a="1"/>
  <c r="AD95" i="58" s="1"/>
  <c r="AD154"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M245" i="58"/>
  <c r="Q245" i="58"/>
  <c r="T236" i="58"/>
  <c r="T251" i="58" s="1"/>
  <c r="J113" i="47" s="1"/>
  <c r="R223" i="58"/>
  <c r="R261" i="58" s="1"/>
  <c r="H122" i="47" s="1"/>
  <c r="P154" i="58"/>
  <c r="S154" i="58"/>
  <c r="O223" i="58"/>
  <c r="S200" i="58"/>
  <c r="S211" i="58"/>
  <c r="S189" i="58"/>
  <c r="S177" i="58"/>
  <c r="AD189" i="58"/>
  <c r="AD177" i="58"/>
  <c r="AD200" i="58"/>
  <c r="AD211" i="58"/>
  <c r="P200" i="58"/>
  <c r="P189" i="58"/>
  <c r="P177" i="58"/>
  <c r="P211" i="58"/>
  <c r="T223" i="58"/>
  <c r="U189" i="58"/>
  <c r="U200" i="58"/>
  <c r="U211" i="58"/>
  <c r="U177" i="58"/>
  <c r="I95" i="58"/>
  <c r="J95" i="58" s="1"/>
  <c r="K95" i="58" s="1"/>
  <c r="V165" i="58"/>
  <c r="AO84" i="58" l="1" a="1"/>
  <c r="AO84" i="58" s="1"/>
  <c r="AO73" i="58" a="1"/>
  <c r="AO73" i="58" s="1"/>
  <c r="U154" i="58"/>
  <c r="U236" i="58" s="1"/>
  <c r="U251" i="58" s="1"/>
  <c r="K113" i="47" s="1"/>
  <c r="N245" i="58"/>
  <c r="AE95" i="58" a="1"/>
  <c r="AE95" i="58" s="1"/>
  <c r="AF95" i="58" s="1" a="1"/>
  <c r="AF95" i="58" s="1"/>
  <c r="O154" i="58"/>
  <c r="O236" i="58" s="1"/>
  <c r="O251" i="58" s="1"/>
  <c r="AF165" i="58"/>
  <c r="R245" i="58"/>
  <c r="P236" i="58"/>
  <c r="P251" i="58" s="1"/>
  <c r="S236" i="58"/>
  <c r="S251" i="58" s="1"/>
  <c r="I113" i="47" s="1"/>
  <c r="V154" i="58"/>
  <c r="S223" i="58"/>
  <c r="S261" i="58" s="1"/>
  <c r="I122" i="47" s="1"/>
  <c r="W165" i="58"/>
  <c r="V200" i="58"/>
  <c r="V189" i="58"/>
  <c r="V177" i="58"/>
  <c r="V211" i="58"/>
  <c r="T261" i="58"/>
  <c r="J122" i="47" s="1"/>
  <c r="T245" i="58"/>
  <c r="AD223" i="58"/>
  <c r="AE200" i="58"/>
  <c r="AE211" i="58"/>
  <c r="AE177" i="58"/>
  <c r="AE189" i="58"/>
  <c r="AG165" i="58"/>
  <c r="U223" i="58"/>
  <c r="P223" i="58"/>
  <c r="AD236" i="58"/>
  <c r="AD251" i="58" s="1"/>
  <c r="T113" i="47" s="1"/>
  <c r="O261" i="58"/>
  <c r="AP73" i="58" l="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P84" i="58"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E154" i="58"/>
  <c r="AE236" i="58" s="1"/>
  <c r="AE251" i="58" s="1"/>
  <c r="U113" i="47" s="1"/>
  <c r="AG95" i="58" a="1"/>
  <c r="AG95" i="58" s="1"/>
  <c r="AH95" i="58" s="1" a="1"/>
  <c r="AH95" i="58" s="1"/>
  <c r="AI95" i="58" s="1" a="1"/>
  <c r="AI95" i="58" s="1"/>
  <c r="AJ95" i="58" s="1" a="1"/>
  <c r="AJ95" i="58" s="1"/>
  <c r="AK95" i="58" s="1" a="1"/>
  <c r="AK95" i="58" s="1"/>
  <c r="AL95" i="58" s="1" a="1"/>
  <c r="AL95" i="58" s="1"/>
  <c r="AM95" i="58" s="1" a="1"/>
  <c r="AM95" i="58" s="1"/>
  <c r="AN95" i="58" s="1" a="1"/>
  <c r="AN95" i="58" s="1"/>
  <c r="AF154" i="58"/>
  <c r="O245" i="58"/>
  <c r="V236" i="58"/>
  <c r="V251" i="58" s="1"/>
  <c r="L113" i="47" s="1"/>
  <c r="S245" i="58"/>
  <c r="AE223" i="58"/>
  <c r="AE261" i="58" s="1"/>
  <c r="U122" i="47" s="1"/>
  <c r="P261" i="58"/>
  <c r="P245" i="58"/>
  <c r="U261" i="58"/>
  <c r="K122" i="47" s="1"/>
  <c r="U245" i="58"/>
  <c r="W154" i="58"/>
  <c r="AD261" i="58"/>
  <c r="T122" i="47" s="1"/>
  <c r="AD245" i="58"/>
  <c r="X165" i="58"/>
  <c r="AH165" i="58"/>
  <c r="AF177" i="58"/>
  <c r="AF200" i="58"/>
  <c r="AF189" i="58"/>
  <c r="AF211" i="58"/>
  <c r="V223" i="58"/>
  <c r="W189" i="58"/>
  <c r="W211" i="58"/>
  <c r="W177" i="58"/>
  <c r="W200" i="58"/>
  <c r="AZ84" i="58" l="1" a="1"/>
  <c r="AZ84" i="58" s="1"/>
  <c r="AY211" i="58"/>
  <c r="AY177" i="58"/>
  <c r="AY189" i="58"/>
  <c r="AY200" i="58"/>
  <c r="AZ73" i="58" a="1"/>
  <c r="AZ73" i="58" s="1"/>
  <c r="AY165" i="58"/>
  <c r="AX177" i="58"/>
  <c r="AX165" i="58"/>
  <c r="AX211" i="58"/>
  <c r="AX200" i="58"/>
  <c r="AX189" i="58"/>
  <c r="AO95" i="58" a="1"/>
  <c r="AO95" i="58" s="1"/>
  <c r="AF236" i="58"/>
  <c r="AF251" i="58" s="1"/>
  <c r="V113" i="47" s="1"/>
  <c r="AE245" i="58"/>
  <c r="W236" i="58"/>
  <c r="W251" i="58" s="1"/>
  <c r="M113" i="47" s="1"/>
  <c r="W223" i="58"/>
  <c r="V261" i="58"/>
  <c r="L122" i="47" s="1"/>
  <c r="V245" i="58"/>
  <c r="AF223" i="58"/>
  <c r="AI165" i="58"/>
  <c r="Y165" i="58"/>
  <c r="X154" i="58"/>
  <c r="X189" i="58"/>
  <c r="X200" i="58"/>
  <c r="X211" i="58"/>
  <c r="X177" i="58"/>
  <c r="AG177" i="58"/>
  <c r="AG200" i="58"/>
  <c r="AG189" i="58"/>
  <c r="AG211" i="58"/>
  <c r="AG154" i="58"/>
  <c r="AY223" i="58" l="1"/>
  <c r="BA73" i="58" a="1"/>
  <c r="BA73" i="58" s="1"/>
  <c r="AZ165" i="58"/>
  <c r="BA84" i="58" a="1"/>
  <c r="BA84" i="58" s="1"/>
  <c r="AZ211" i="58"/>
  <c r="AZ177" i="58"/>
  <c r="AZ189" i="58"/>
  <c r="AZ200" i="58"/>
  <c r="AP95" i="58" a="1"/>
  <c r="AP95" i="58" s="1"/>
  <c r="AX223" i="58"/>
  <c r="X236" i="58"/>
  <c r="X251" i="58" s="1"/>
  <c r="N113" i="47" s="1"/>
  <c r="AG223" i="58"/>
  <c r="AG261" i="58" s="1"/>
  <c r="W122" i="47" s="1"/>
  <c r="AG236" i="58"/>
  <c r="AG251" i="58" s="1"/>
  <c r="W113" i="47" s="1"/>
  <c r="AH154" i="58"/>
  <c r="AH189" i="58"/>
  <c r="AH200" i="58"/>
  <c r="AH177" i="58"/>
  <c r="AH211" i="58"/>
  <c r="X223" i="58"/>
  <c r="Y154" i="58"/>
  <c r="Z165" i="58"/>
  <c r="AJ165" i="58"/>
  <c r="AF261" i="58"/>
  <c r="V122" i="47" s="1"/>
  <c r="AF245" i="58"/>
  <c r="Y200" i="58"/>
  <c r="Y211" i="58"/>
  <c r="Y189" i="58"/>
  <c r="Y177" i="58"/>
  <c r="W261" i="58"/>
  <c r="M122" i="47" s="1"/>
  <c r="W245" i="58"/>
  <c r="AZ223" i="58" l="1"/>
  <c r="BB84" i="58" a="1"/>
  <c r="BB84" i="58" s="1"/>
  <c r="BA211" i="58"/>
  <c r="BA177" i="58"/>
  <c r="BA189" i="58"/>
  <c r="BA200" i="58"/>
  <c r="BB73" i="58" a="1"/>
  <c r="BB73" i="58" s="1"/>
  <c r="BA165" i="58"/>
  <c r="AP261" i="58"/>
  <c r="AF122" i="47" s="1"/>
  <c r="AQ95" i="58" a="1"/>
  <c r="AQ95" i="58" s="1"/>
  <c r="AR95" i="58" s="1" a="1"/>
  <c r="AR95" i="58" s="1"/>
  <c r="AS95" i="58" s="1" a="1"/>
  <c r="AS95" i="58" s="1"/>
  <c r="AT95" i="58" s="1" a="1"/>
  <c r="AT95" i="58" s="1"/>
  <c r="AU95" i="58" s="1" a="1"/>
  <c r="AU95" i="58" s="1"/>
  <c r="AV95" i="58" s="1" a="1"/>
  <c r="AV95" i="58" s="1"/>
  <c r="AW95" i="58" s="1" a="1"/>
  <c r="AW95" i="58" s="1"/>
  <c r="AX95" i="58" s="1" a="1"/>
  <c r="AX95" i="58" s="1"/>
  <c r="AY95" i="58" s="1" a="1"/>
  <c r="AY95" i="58" s="1"/>
  <c r="Y236" i="58"/>
  <c r="Y251" i="58" s="1"/>
  <c r="O113" i="47" s="1"/>
  <c r="AG245" i="58"/>
  <c r="AH236" i="58"/>
  <c r="AH251" i="58" s="1"/>
  <c r="X113" i="47" s="1"/>
  <c r="Y223" i="58"/>
  <c r="Y261" i="58" s="1"/>
  <c r="O122" i="47" s="1"/>
  <c r="AK165" i="58"/>
  <c r="AA165" i="58"/>
  <c r="Z154" i="58"/>
  <c r="X261" i="58"/>
  <c r="N122" i="47" s="1"/>
  <c r="X245" i="58"/>
  <c r="AH223" i="58"/>
  <c r="AI154" i="58"/>
  <c r="Z211" i="58"/>
  <c r="Z177" i="58"/>
  <c r="Z200" i="58"/>
  <c r="Z189" i="58"/>
  <c r="AI200" i="58"/>
  <c r="AI211" i="58"/>
  <c r="AI189" i="58"/>
  <c r="AI177" i="58"/>
  <c r="BC73" i="58" l="1" a="1"/>
  <c r="BC73" i="58" s="1"/>
  <c r="BB165" i="58"/>
  <c r="BA223" i="58"/>
  <c r="BC84" i="58" a="1"/>
  <c r="BC84" i="58" s="1"/>
  <c r="BB211" i="58"/>
  <c r="BB177" i="58"/>
  <c r="BB189" i="58"/>
  <c r="BB200" i="58"/>
  <c r="AZ95" i="58" a="1"/>
  <c r="AZ95" i="58" s="1"/>
  <c r="AY154" i="58"/>
  <c r="AY236" i="58" s="1"/>
  <c r="AY245" i="58" s="1"/>
  <c r="AX154" i="58"/>
  <c r="AX236" i="58" s="1"/>
  <c r="AP251" i="58" s="1"/>
  <c r="Z236" i="58"/>
  <c r="Z251" i="58" s="1"/>
  <c r="P113" i="47" s="1"/>
  <c r="Y245" i="58"/>
  <c r="AI236" i="58"/>
  <c r="AI251" i="58" s="1"/>
  <c r="Y113" i="47" s="1"/>
  <c r="AI223" i="58"/>
  <c r="AI261" i="58" s="1"/>
  <c r="Y122" i="47" s="1"/>
  <c r="Z223" i="58"/>
  <c r="Z261" i="58" s="1"/>
  <c r="P122" i="47" s="1"/>
  <c r="AA177" i="58"/>
  <c r="AA200" i="58"/>
  <c r="AA189" i="58"/>
  <c r="AA211" i="58"/>
  <c r="AA154" i="58"/>
  <c r="AB165" i="58"/>
  <c r="AC165" i="58"/>
  <c r="AJ211" i="58"/>
  <c r="AJ189" i="58"/>
  <c r="AJ200" i="58"/>
  <c r="AJ177" i="58"/>
  <c r="AJ154" i="58"/>
  <c r="AH261" i="58"/>
  <c r="X122" i="47" s="1"/>
  <c r="AH245" i="58"/>
  <c r="AL165" i="58"/>
  <c r="BA95" i="58" l="1" a="1"/>
  <c r="BA95" i="58" s="1"/>
  <c r="AZ154" i="58"/>
  <c r="AZ236" i="58" s="1"/>
  <c r="AZ245" i="58" s="1"/>
  <c r="BB223" i="58"/>
  <c r="BD84" i="58" a="1"/>
  <c r="BD84" i="58" s="1"/>
  <c r="BC211" i="58"/>
  <c r="BC177" i="58"/>
  <c r="BC189" i="58"/>
  <c r="BC200" i="58"/>
  <c r="BD73" i="58" a="1"/>
  <c r="BD73" i="58" s="1"/>
  <c r="BC165" i="58"/>
  <c r="AX245" i="58"/>
  <c r="Z245" i="58"/>
  <c r="AI245" i="58"/>
  <c r="AM165" i="58"/>
  <c r="AK154" i="58"/>
  <c r="AJ236" i="58"/>
  <c r="AJ251" i="58" s="1"/>
  <c r="Z113" i="47" s="1"/>
  <c r="AJ223" i="58"/>
  <c r="AK211" i="58"/>
  <c r="AK189" i="58"/>
  <c r="AK177" i="58"/>
  <c r="AK200" i="58"/>
  <c r="AA223" i="58"/>
  <c r="AA236" i="58"/>
  <c r="AA251" i="58" s="1"/>
  <c r="Q113" i="47" s="1"/>
  <c r="AB154" i="58"/>
  <c r="AC154" i="58"/>
  <c r="AB189" i="58"/>
  <c r="AB177" i="58"/>
  <c r="AB200" i="58"/>
  <c r="AB211" i="58"/>
  <c r="BC223" i="58" l="1"/>
  <c r="BE84" i="58" a="1"/>
  <c r="BE84" i="58" s="1"/>
  <c r="BD211" i="58"/>
  <c r="BD177" i="58"/>
  <c r="BD189" i="58"/>
  <c r="BD200" i="58"/>
  <c r="BE73" i="58" a="1"/>
  <c r="BE73" i="58" s="1"/>
  <c r="BD165" i="58"/>
  <c r="BB95" i="58" a="1"/>
  <c r="BB95" i="58" s="1"/>
  <c r="BA154" i="58"/>
  <c r="BA236" i="58" s="1"/>
  <c r="BA245" i="58" s="1"/>
  <c r="AF113" i="47"/>
  <c r="AB236" i="58"/>
  <c r="AB251" i="58" s="1"/>
  <c r="R113" i="47" s="1"/>
  <c r="AK236" i="58"/>
  <c r="AK251" i="58" s="1"/>
  <c r="AA113" i="47" s="1"/>
  <c r="AB223" i="58"/>
  <c r="AC200" i="58"/>
  <c r="AC189" i="58"/>
  <c r="AC177" i="58"/>
  <c r="AC236" i="58" s="1"/>
  <c r="AC251" i="58" s="1"/>
  <c r="S113" i="47" s="1"/>
  <c r="AC211" i="58"/>
  <c r="AA261" i="58"/>
  <c r="Q122" i="47" s="1"/>
  <c r="AA245" i="58"/>
  <c r="AJ261" i="58"/>
  <c r="Z122" i="47" s="1"/>
  <c r="AJ245" i="58"/>
  <c r="AL154" i="58"/>
  <c r="AN165" i="58"/>
  <c r="AK223" i="58"/>
  <c r="AL200" i="58"/>
  <c r="AL177" i="58"/>
  <c r="AL189" i="58"/>
  <c r="AL211" i="58"/>
  <c r="BD223" i="58" l="1"/>
  <c r="BF73" i="58" a="1"/>
  <c r="BF73" i="58" s="1"/>
  <c r="BE165" i="58"/>
  <c r="BC95" i="58" a="1"/>
  <c r="BC95" i="58" s="1"/>
  <c r="BB154" i="58"/>
  <c r="BB236" i="58" s="1"/>
  <c r="BB245" i="58" s="1"/>
  <c r="BF84" i="58" a="1"/>
  <c r="BF84" i="58" s="1"/>
  <c r="BE211" i="58"/>
  <c r="BE177" i="58"/>
  <c r="BE189" i="58"/>
  <c r="BE200" i="58"/>
  <c r="AL236" i="58"/>
  <c r="AL251" i="58" s="1"/>
  <c r="AB113" i="47" s="1"/>
  <c r="AC223" i="58"/>
  <c r="AC261" i="58" s="1"/>
  <c r="S122" i="47" s="1"/>
  <c r="AM189" i="58"/>
  <c r="AM211" i="58"/>
  <c r="AM177" i="58"/>
  <c r="AM200" i="58"/>
  <c r="AO165" i="58"/>
  <c r="AL223" i="58"/>
  <c r="AK261" i="58"/>
  <c r="AA122" i="47" s="1"/>
  <c r="AK245" i="58"/>
  <c r="AM154" i="58"/>
  <c r="AB261" i="58"/>
  <c r="R122" i="47" s="1"/>
  <c r="AB245" i="58"/>
  <c r="BE223" i="58" l="1"/>
  <c r="BG84" i="58" a="1"/>
  <c r="BG84" i="58" s="1"/>
  <c r="BF211" i="58"/>
  <c r="BF177" i="58"/>
  <c r="BF189" i="58"/>
  <c r="BF200" i="58"/>
  <c r="BD95" i="58" a="1"/>
  <c r="BD95" i="58" s="1"/>
  <c r="BC154" i="58"/>
  <c r="BC236" i="58" s="1"/>
  <c r="BC245" i="58" s="1"/>
  <c r="BG73" i="58" a="1"/>
  <c r="BG73" i="58" s="1"/>
  <c r="BF165" i="58"/>
  <c r="AC245" i="58"/>
  <c r="AN154" i="58"/>
  <c r="AL261" i="58"/>
  <c r="AB122" i="47" s="1"/>
  <c r="AL245" i="58"/>
  <c r="AP165" i="58"/>
  <c r="AM236" i="58"/>
  <c r="AM251" i="58" s="1"/>
  <c r="AC113" i="47" s="1"/>
  <c r="AM223" i="58"/>
  <c r="AN189" i="58"/>
  <c r="AN177" i="58"/>
  <c r="AN211" i="58"/>
  <c r="AN200" i="58"/>
  <c r="BH73" i="58" l="1" a="1"/>
  <c r="BH73" i="58" s="1"/>
  <c r="BG165" i="58"/>
  <c r="BE95" i="58" a="1"/>
  <c r="BE95" i="58" s="1"/>
  <c r="BD154" i="58"/>
  <c r="BD236" i="58" s="1"/>
  <c r="BD245" i="58" s="1"/>
  <c r="BF223" i="58"/>
  <c r="BH84" i="58" a="1"/>
  <c r="BH84" i="58" s="1"/>
  <c r="BG189" i="58"/>
  <c r="BG200" i="58"/>
  <c r="BG177" i="58"/>
  <c r="BG211" i="58"/>
  <c r="AN236" i="58"/>
  <c r="AN251" i="58" s="1"/>
  <c r="AD113" i="47" s="1"/>
  <c r="AO211" i="58"/>
  <c r="AO177" i="58"/>
  <c r="AO189" i="58"/>
  <c r="AO200" i="58"/>
  <c r="AN223" i="58"/>
  <c r="AM261" i="58"/>
  <c r="AC122" i="47" s="1"/>
  <c r="AM245" i="58"/>
  <c r="AO154" i="58"/>
  <c r="AQ165" i="58"/>
  <c r="BG223" i="58" l="1"/>
  <c r="BI84" i="58" a="1"/>
  <c r="BI84" i="58" s="1"/>
  <c r="BH211" i="58"/>
  <c r="BH177" i="58"/>
  <c r="BH189" i="58"/>
  <c r="BH200" i="58"/>
  <c r="BF95" i="58" a="1"/>
  <c r="BF95" i="58" s="1"/>
  <c r="BE154" i="58"/>
  <c r="BE236" i="58" s="1"/>
  <c r="BE245" i="58" s="1"/>
  <c r="BI73" i="58" a="1"/>
  <c r="BI73" i="58" s="1"/>
  <c r="BH165" i="58"/>
  <c r="AP154" i="58"/>
  <c r="AN261" i="58"/>
  <c r="AD122" i="47" s="1"/>
  <c r="AN245" i="58"/>
  <c r="AO223" i="58"/>
  <c r="AR165" i="58"/>
  <c r="AO236" i="58"/>
  <c r="AP211" i="58"/>
  <c r="AP177" i="58"/>
  <c r="AP189" i="58"/>
  <c r="AP200" i="58"/>
  <c r="BG95" i="58" l="1" a="1"/>
  <c r="BG95" i="58" s="1"/>
  <c r="BF154" i="58"/>
  <c r="BF236" i="58" s="1"/>
  <c r="BF245" i="58" s="1"/>
  <c r="BJ73" i="58" a="1"/>
  <c r="BJ73" i="58" s="1"/>
  <c r="BI165" i="58"/>
  <c r="BH223" i="58"/>
  <c r="BJ84" i="58" a="1"/>
  <c r="BJ84" i="58" s="1"/>
  <c r="BI177" i="58"/>
  <c r="BI189" i="58"/>
  <c r="BI200" i="58"/>
  <c r="BI211" i="58"/>
  <c r="AP236" i="58"/>
  <c r="AO245" i="58"/>
  <c r="AP223" i="58"/>
  <c r="AS165" i="58"/>
  <c r="AQ154" i="58"/>
  <c r="AQ200" i="58"/>
  <c r="AQ177" i="58"/>
  <c r="AQ211" i="58"/>
  <c r="AQ189" i="58"/>
  <c r="AQ261" i="58" l="1"/>
  <c r="AG122" i="47" s="1"/>
  <c r="BK84" i="58" a="1"/>
  <c r="BK84" i="58" s="1"/>
  <c r="BJ200" i="58"/>
  <c r="BJ177" i="58"/>
  <c r="BJ189" i="58"/>
  <c r="BJ211" i="58"/>
  <c r="BI223" i="58"/>
  <c r="BK73" i="58" a="1"/>
  <c r="BK73" i="58" s="1"/>
  <c r="BJ165" i="58"/>
  <c r="BH95" i="58" a="1"/>
  <c r="BH95" i="58" s="1"/>
  <c r="BG154" i="58"/>
  <c r="BG236" i="58" s="1"/>
  <c r="BG245" i="58" s="1"/>
  <c r="AQ236" i="58"/>
  <c r="AP245" i="58"/>
  <c r="AQ223" i="58"/>
  <c r="AR200" i="58"/>
  <c r="AR177" i="58"/>
  <c r="AR211" i="58"/>
  <c r="AR189" i="58"/>
  <c r="AT165" i="58"/>
  <c r="AR154" i="58"/>
  <c r="BL73" i="58" l="1" a="1"/>
  <c r="BL73" i="58" s="1"/>
  <c r="BK165" i="58"/>
  <c r="BJ223" i="58"/>
  <c r="BI95" i="58" a="1"/>
  <c r="BI95" i="58" s="1"/>
  <c r="BH154" i="58"/>
  <c r="BH236" i="58" s="1"/>
  <c r="BL84" i="58" a="1"/>
  <c r="BL84" i="58" s="1"/>
  <c r="BK211" i="58"/>
  <c r="BK200" i="58"/>
  <c r="BK177" i="58"/>
  <c r="BK189" i="58"/>
  <c r="AQ245" i="58"/>
  <c r="AR223" i="58"/>
  <c r="AR236" i="58"/>
  <c r="AS154" i="58"/>
  <c r="AU165" i="58"/>
  <c r="AS211" i="58"/>
  <c r="AS200" i="58"/>
  <c r="AS177" i="58"/>
  <c r="AS189" i="58"/>
  <c r="BK223" i="58" l="1"/>
  <c r="AQ251" i="58"/>
  <c r="AG113" i="47" s="1"/>
  <c r="BH245" i="58"/>
  <c r="BJ95" i="58" a="1"/>
  <c r="BJ95" i="58" s="1"/>
  <c r="BI154" i="58"/>
  <c r="BI236" i="58" s="1"/>
  <c r="BI245" i="58" s="1"/>
  <c r="BM84" i="58" a="1"/>
  <c r="BM84" i="58" s="1"/>
  <c r="BL211" i="58"/>
  <c r="BL200" i="58"/>
  <c r="BL177" i="58"/>
  <c r="BL189" i="58"/>
  <c r="BM73" i="58" a="1"/>
  <c r="BM73" i="58" s="1"/>
  <c r="BL165" i="58"/>
  <c r="AR245" i="58"/>
  <c r="AS223" i="58"/>
  <c r="AO261" i="58" s="1"/>
  <c r="AE122" i="47" s="1"/>
  <c r="AT177" i="58"/>
  <c r="AT211" i="58"/>
  <c r="AT200" i="58"/>
  <c r="AT189" i="58"/>
  <c r="AW165" i="58"/>
  <c r="AV165" i="58"/>
  <c r="AS236" i="58"/>
  <c r="AO251" i="58" s="1"/>
  <c r="AE113" i="47" s="1"/>
  <c r="AT154" i="58"/>
  <c r="BL223" i="58" l="1"/>
  <c r="BK95" i="58" a="1"/>
  <c r="BK95" i="58" s="1"/>
  <c r="BJ154" i="58"/>
  <c r="BJ236" i="58" s="1"/>
  <c r="BJ245" i="58" s="1"/>
  <c r="BN84" i="58" a="1"/>
  <c r="BN84" i="58" s="1"/>
  <c r="BM211" i="58"/>
  <c r="BM200" i="58"/>
  <c r="BM177" i="58"/>
  <c r="BM189" i="58"/>
  <c r="BN73" i="58" a="1"/>
  <c r="BN73" i="58" s="1"/>
  <c r="BM165" i="58"/>
  <c r="AT223" i="58"/>
  <c r="AU211" i="58"/>
  <c r="AU200" i="58"/>
  <c r="AU189" i="58"/>
  <c r="AU177" i="58"/>
  <c r="AU154" i="58"/>
  <c r="AT236" i="58"/>
  <c r="AS245" i="58"/>
  <c r="BM223" i="58" l="1"/>
  <c r="BO73" i="58" a="1"/>
  <c r="BO73" i="58" s="1"/>
  <c r="BN165" i="58"/>
  <c r="BO84" i="58" a="1"/>
  <c r="BO84" i="58" s="1"/>
  <c r="BN211" i="58"/>
  <c r="BN200" i="58"/>
  <c r="BN177" i="58"/>
  <c r="BN189" i="58"/>
  <c r="BL95" i="58" a="1"/>
  <c r="BL95" i="58" s="1"/>
  <c r="BK154" i="58"/>
  <c r="BK236" i="58" s="1"/>
  <c r="BK245" i="58" s="1"/>
  <c r="AT245" i="58"/>
  <c r="AU223" i="58"/>
  <c r="AV154" i="58"/>
  <c r="AW154" i="58"/>
  <c r="AU236" i="58"/>
  <c r="AV211" i="58"/>
  <c r="AV200" i="58"/>
  <c r="AV189" i="58"/>
  <c r="AV177" i="58"/>
  <c r="BN223" i="58" l="1"/>
  <c r="BM95" i="58" a="1"/>
  <c r="BM95" i="58" s="1"/>
  <c r="BL154" i="58"/>
  <c r="BL236" i="58" s="1"/>
  <c r="BL245" i="58" s="1"/>
  <c r="BP84" i="58" a="1"/>
  <c r="BP84" i="58" s="1"/>
  <c r="BO211" i="58"/>
  <c r="BO200" i="58"/>
  <c r="BO177" i="58"/>
  <c r="BO189" i="58"/>
  <c r="BP73" i="58" a="1"/>
  <c r="BP73" i="58" s="1"/>
  <c r="BO165" i="58"/>
  <c r="AV236" i="58"/>
  <c r="AU245" i="58"/>
  <c r="AV223" i="58"/>
  <c r="AW189" i="58"/>
  <c r="AW211" i="58"/>
  <c r="AW200" i="58"/>
  <c r="AW177" i="58"/>
  <c r="AW236" i="58" s="1"/>
  <c r="BO223" i="58" l="1"/>
  <c r="BQ73" i="58" a="1"/>
  <c r="BQ73" i="58" s="1"/>
  <c r="BP165" i="58"/>
  <c r="BQ84" i="58" a="1"/>
  <c r="BQ84" i="58" s="1"/>
  <c r="BP211" i="58"/>
  <c r="BP200" i="58"/>
  <c r="BP177" i="58"/>
  <c r="BP189" i="58"/>
  <c r="BN95" i="58" a="1"/>
  <c r="BN95" i="58" s="1"/>
  <c r="BM154" i="58"/>
  <c r="BM236" i="58" s="1"/>
  <c r="BM245" i="58" s="1"/>
  <c r="AV245" i="58"/>
  <c r="AW223" i="58"/>
  <c r="AW245" i="58" s="1"/>
  <c r="BR84" i="58" l="1" a="1"/>
  <c r="BR84" i="58" s="1"/>
  <c r="BQ211" i="58"/>
  <c r="BQ200" i="58"/>
  <c r="BQ177" i="58"/>
  <c r="BQ189" i="58"/>
  <c r="BP223" i="58"/>
  <c r="BO95" i="58" a="1"/>
  <c r="BO95" i="58" s="1"/>
  <c r="BN154" i="58"/>
  <c r="BN236" i="58" s="1"/>
  <c r="BN245" i="58" s="1"/>
  <c r="BR73" i="58" a="1"/>
  <c r="BR73" i="58" s="1"/>
  <c r="BR165" i="58" s="1"/>
  <c r="BQ165" i="58"/>
  <c r="AM9" i="29"/>
  <c r="BQ223" i="58" l="1"/>
  <c r="BP95" i="58" a="1"/>
  <c r="BP95" i="58" s="1"/>
  <c r="BO154" i="58"/>
  <c r="BO236" i="58" s="1"/>
  <c r="BO245" i="58" s="1"/>
  <c r="BR211" i="58"/>
  <c r="BR200" i="58"/>
  <c r="BR177" i="58"/>
  <c r="BR189" i="58"/>
  <c r="R15" i="29"/>
  <c r="R14" i="29"/>
  <c r="BR223" i="58" l="1"/>
  <c r="BQ95" i="58" a="1"/>
  <c r="BQ95" i="58" s="1"/>
  <c r="BP154" i="58"/>
  <c r="BP236" i="58" s="1"/>
  <c r="BP245" i="58" s="1"/>
  <c r="N109" i="55"/>
  <c r="O109" i="55"/>
  <c r="G50" i="47"/>
  <c r="Q109" i="55"/>
  <c r="N88" i="55"/>
  <c r="O88" i="55"/>
  <c r="G33" i="47"/>
  <c r="Q88" i="55"/>
  <c r="N135" i="55"/>
  <c r="O135" i="55"/>
  <c r="G61" i="47"/>
  <c r="Q135" i="55"/>
  <c r="N107" i="55"/>
  <c r="O107" i="55"/>
  <c r="G43" i="47"/>
  <c r="Q107" i="55"/>
  <c r="O108" i="55"/>
  <c r="N108" i="55"/>
  <c r="G46" i="47"/>
  <c r="Q108" i="55"/>
  <c r="O102" i="55"/>
  <c r="N102" i="55"/>
  <c r="G20" i="47"/>
  <c r="Q102" i="55"/>
  <c r="O101" i="55"/>
  <c r="N101" i="55"/>
  <c r="G19" i="47"/>
  <c r="Q101" i="55"/>
  <c r="N81" i="55"/>
  <c r="O81" i="55"/>
  <c r="G31" i="47"/>
  <c r="Q81" i="55"/>
  <c r="N110" i="55"/>
  <c r="O110" i="55"/>
  <c r="G45" i="47"/>
  <c r="Q110" i="55"/>
  <c r="O113" i="55"/>
  <c r="N113" i="55"/>
  <c r="G51" i="47"/>
  <c r="Q113" i="55"/>
  <c r="BR95" i="58" l="1" a="1"/>
  <c r="BR95" i="58" s="1"/>
  <c r="BR154" i="58" s="1"/>
  <c r="BR236" i="58" s="1"/>
  <c r="AR251" i="58" s="1"/>
  <c r="AH113" i="47" s="1"/>
  <c r="AJ113" i="47" s="1"/>
  <c r="BQ154" i="58"/>
  <c r="BQ236" i="58" s="1"/>
  <c r="BQ245" i="58" s="1"/>
  <c r="AR261" i="58"/>
  <c r="AH122" i="47" s="1"/>
  <c r="AJ122" i="47" s="1"/>
  <c r="N112" i="55"/>
  <c r="O112" i="55"/>
  <c r="G44" i="47"/>
  <c r="Q112" i="55"/>
  <c r="N95" i="55"/>
  <c r="O95" i="55"/>
  <c r="G11" i="47"/>
  <c r="Q95" i="55"/>
  <c r="H45" i="47"/>
  <c r="R110" i="55"/>
  <c r="H20" i="47"/>
  <c r="R102" i="55"/>
  <c r="H61" i="47"/>
  <c r="R135" i="55"/>
  <c r="N126" i="55"/>
  <c r="O126" i="55"/>
  <c r="G57" i="47"/>
  <c r="Q126" i="55"/>
  <c r="N99" i="55"/>
  <c r="O99" i="55"/>
  <c r="G17" i="47"/>
  <c r="Q99" i="55"/>
  <c r="O93" i="55"/>
  <c r="N93" i="55"/>
  <c r="G10" i="47"/>
  <c r="Q93" i="55"/>
  <c r="O86" i="55"/>
  <c r="N86" i="55"/>
  <c r="G34" i="47"/>
  <c r="Q86" i="55"/>
  <c r="H31" i="47"/>
  <c r="R81" i="55"/>
  <c r="H46" i="47"/>
  <c r="R108" i="55"/>
  <c r="H33" i="47"/>
  <c r="R88" i="55"/>
  <c r="O97" i="55"/>
  <c r="N97" i="55"/>
  <c r="G18" i="47"/>
  <c r="Q97" i="55"/>
  <c r="N106" i="55"/>
  <c r="O106" i="55"/>
  <c r="G48" i="47"/>
  <c r="Q106" i="55"/>
  <c r="O82" i="55"/>
  <c r="N82" i="55"/>
  <c r="G37" i="47"/>
  <c r="Q82" i="55"/>
  <c r="H51" i="47"/>
  <c r="R113" i="55"/>
  <c r="O89" i="55"/>
  <c r="N89" i="55"/>
  <c r="G41" i="47"/>
  <c r="Q89" i="55"/>
  <c r="N98" i="55"/>
  <c r="O98" i="55"/>
  <c r="G13" i="47"/>
  <c r="Q98" i="55"/>
  <c r="H19" i="47"/>
  <c r="R101" i="55"/>
  <c r="H43" i="47"/>
  <c r="R107" i="55"/>
  <c r="H50" i="47"/>
  <c r="R109" i="55"/>
  <c r="O111" i="55"/>
  <c r="N111" i="55"/>
  <c r="G49" i="47"/>
  <c r="Q111" i="55"/>
  <c r="N96" i="55"/>
  <c r="O96" i="55"/>
  <c r="G14" i="47"/>
  <c r="Q96" i="55"/>
  <c r="N105" i="55"/>
  <c r="O105" i="55"/>
  <c r="G42" i="47"/>
  <c r="Q105" i="55"/>
  <c r="N83" i="55"/>
  <c r="O83" i="55"/>
  <c r="G32" i="47"/>
  <c r="Q83" i="55"/>
  <c r="BR245" i="58" l="1"/>
  <c r="N94" i="55"/>
  <c r="O94" i="55"/>
  <c r="G16" i="47"/>
  <c r="Q94" i="55"/>
  <c r="I20" i="47"/>
  <c r="S102" i="55"/>
  <c r="O84" i="55"/>
  <c r="N84" i="55"/>
  <c r="G35" i="47"/>
  <c r="Q84" i="55"/>
  <c r="N92" i="55"/>
  <c r="O92" i="55"/>
  <c r="G15" i="47"/>
  <c r="Q92" i="55"/>
  <c r="H49" i="47"/>
  <c r="R111" i="55"/>
  <c r="H48" i="47"/>
  <c r="R106" i="55"/>
  <c r="I31" i="47"/>
  <c r="S81" i="55"/>
  <c r="N130" i="55"/>
  <c r="O130" i="55"/>
  <c r="G56" i="47"/>
  <c r="Q130" i="55"/>
  <c r="O128" i="55"/>
  <c r="N128" i="55"/>
  <c r="G58" i="47"/>
  <c r="Q128" i="55"/>
  <c r="H42" i="47"/>
  <c r="R105" i="55"/>
  <c r="H17" i="47"/>
  <c r="R99" i="55"/>
  <c r="I45" i="47"/>
  <c r="S110" i="55"/>
  <c r="O90" i="55"/>
  <c r="N90" i="55"/>
  <c r="G40" i="47"/>
  <c r="Q90" i="55"/>
  <c r="H41" i="47"/>
  <c r="R89" i="55"/>
  <c r="O136" i="55"/>
  <c r="N136" i="55"/>
  <c r="G133" i="47"/>
  <c r="Q136" i="55"/>
  <c r="N129" i="55"/>
  <c r="O129" i="55"/>
  <c r="G53" i="47"/>
  <c r="Q129" i="55"/>
  <c r="H11" i="47"/>
  <c r="R95" i="55"/>
  <c r="O131" i="55"/>
  <c r="N131" i="55"/>
  <c r="G60" i="47"/>
  <c r="Q131" i="55"/>
  <c r="N80" i="55"/>
  <c r="O80" i="55"/>
  <c r="G36" i="47"/>
  <c r="Q80" i="55"/>
  <c r="I50" i="47"/>
  <c r="S109" i="55"/>
  <c r="H18" i="47"/>
  <c r="R97" i="55"/>
  <c r="H34" i="47"/>
  <c r="R86" i="55"/>
  <c r="H57" i="47"/>
  <c r="R126" i="55"/>
  <c r="O134" i="55"/>
  <c r="N134" i="55"/>
  <c r="G54" i="47"/>
  <c r="Q134" i="55"/>
  <c r="N87" i="55"/>
  <c r="O87" i="55"/>
  <c r="G38" i="47"/>
  <c r="Q87" i="55"/>
  <c r="S107" i="55"/>
  <c r="I43" i="47"/>
  <c r="I51" i="47"/>
  <c r="S113" i="55"/>
  <c r="N104" i="55"/>
  <c r="O104" i="55"/>
  <c r="G47" i="47"/>
  <c r="Q104" i="55"/>
  <c r="H44" i="47"/>
  <c r="R112" i="55"/>
  <c r="O85" i="55"/>
  <c r="N85" i="55"/>
  <c r="G39" i="47"/>
  <c r="Q85" i="55"/>
  <c r="O127" i="55"/>
  <c r="N127" i="55"/>
  <c r="G52" i="47"/>
  <c r="Q127" i="55"/>
  <c r="H14" i="47"/>
  <c r="R96" i="55"/>
  <c r="I19" i="47"/>
  <c r="S101" i="55"/>
  <c r="H37" i="47"/>
  <c r="R82" i="55"/>
  <c r="I33" i="47"/>
  <c r="S88" i="55"/>
  <c r="N100" i="55"/>
  <c r="O100" i="55"/>
  <c r="G12" i="47"/>
  <c r="Q100" i="55"/>
  <c r="H32" i="47"/>
  <c r="R83" i="55"/>
  <c r="H10" i="47"/>
  <c r="R93" i="55"/>
  <c r="S135" i="55"/>
  <c r="I61" i="47"/>
  <c r="H13" i="47"/>
  <c r="R98" i="55"/>
  <c r="I46" i="47"/>
  <c r="S108" i="55"/>
  <c r="I10" i="47" l="1"/>
  <c r="S93" i="55"/>
  <c r="J19" i="47"/>
  <c r="T101" i="55"/>
  <c r="I44" i="47"/>
  <c r="S112" i="55"/>
  <c r="J50" i="47"/>
  <c r="T109" i="55"/>
  <c r="H53" i="47"/>
  <c r="R129" i="55"/>
  <c r="H56" i="47"/>
  <c r="R130" i="55"/>
  <c r="O117" i="55"/>
  <c r="N117" i="55"/>
  <c r="G27" i="47"/>
  <c r="Q117" i="55"/>
  <c r="O122" i="55"/>
  <c r="N122" i="55"/>
  <c r="G28" i="47"/>
  <c r="Q122" i="55"/>
  <c r="I32" i="47"/>
  <c r="S83" i="55"/>
  <c r="I14" i="47"/>
  <c r="S96" i="55"/>
  <c r="H47" i="47"/>
  <c r="R104" i="55"/>
  <c r="H54" i="47"/>
  <c r="R134" i="55"/>
  <c r="H36" i="47"/>
  <c r="R80" i="55"/>
  <c r="J45" i="47"/>
  <c r="T110" i="55"/>
  <c r="H35" i="47"/>
  <c r="R84" i="55"/>
  <c r="O115" i="55"/>
  <c r="N115" i="55"/>
  <c r="G26" i="47"/>
  <c r="Q115" i="55"/>
  <c r="N132" i="55"/>
  <c r="O132" i="55"/>
  <c r="G55" i="47"/>
  <c r="Q132" i="55"/>
  <c r="N120" i="55"/>
  <c r="O120" i="55"/>
  <c r="G29" i="47"/>
  <c r="Q120" i="55"/>
  <c r="H12" i="47"/>
  <c r="R100" i="55"/>
  <c r="H52" i="47"/>
  <c r="R127" i="55"/>
  <c r="H133" i="47"/>
  <c r="R136" i="55"/>
  <c r="I17" i="47"/>
  <c r="S99" i="55"/>
  <c r="J31" i="47"/>
  <c r="T81" i="55"/>
  <c r="N133" i="55"/>
  <c r="O133" i="55"/>
  <c r="G59" i="47"/>
  <c r="Q133" i="55"/>
  <c r="J46" i="47"/>
  <c r="T108" i="55"/>
  <c r="T113" i="55"/>
  <c r="J51" i="47"/>
  <c r="I57" i="47"/>
  <c r="S126" i="55"/>
  <c r="H60" i="47"/>
  <c r="R131" i="55"/>
  <c r="I42" i="47"/>
  <c r="S105" i="55"/>
  <c r="I48" i="47"/>
  <c r="S106" i="55"/>
  <c r="J20" i="47"/>
  <c r="T102" i="55"/>
  <c r="O121" i="55"/>
  <c r="N121" i="55"/>
  <c r="G24" i="47"/>
  <c r="Q121" i="55"/>
  <c r="I13" i="47"/>
  <c r="S98" i="55"/>
  <c r="T88" i="55"/>
  <c r="J33" i="47"/>
  <c r="H39" i="47"/>
  <c r="R85" i="55"/>
  <c r="I34" i="47"/>
  <c r="S86" i="55"/>
  <c r="I41" i="47"/>
  <c r="S89" i="55"/>
  <c r="H58" i="47"/>
  <c r="R128" i="55"/>
  <c r="I49" i="47"/>
  <c r="S111" i="55"/>
  <c r="H16" i="47"/>
  <c r="R94" i="55"/>
  <c r="O119" i="55"/>
  <c r="N119" i="55"/>
  <c r="G25" i="47"/>
  <c r="Q119" i="55"/>
  <c r="N124" i="55"/>
  <c r="O124" i="55"/>
  <c r="G30" i="47"/>
  <c r="Q124" i="55"/>
  <c r="J43" i="47"/>
  <c r="T107" i="55"/>
  <c r="N116" i="55"/>
  <c r="O116" i="55"/>
  <c r="G21" i="47"/>
  <c r="Q116" i="55"/>
  <c r="N118" i="55"/>
  <c r="O118" i="55"/>
  <c r="G22" i="47"/>
  <c r="Q118" i="55"/>
  <c r="I37" i="47"/>
  <c r="S82" i="55"/>
  <c r="H38" i="47"/>
  <c r="R87" i="55"/>
  <c r="I18" i="47"/>
  <c r="S97" i="55"/>
  <c r="I11" i="47"/>
  <c r="S95" i="55"/>
  <c r="H40" i="47"/>
  <c r="R90" i="55"/>
  <c r="H15" i="47"/>
  <c r="R92" i="55"/>
  <c r="O123" i="55"/>
  <c r="N123" i="55"/>
  <c r="G23" i="47"/>
  <c r="Q123" i="55"/>
  <c r="J61" i="47"/>
  <c r="T135" i="55"/>
  <c r="T95" i="55" l="1"/>
  <c r="J11" i="47"/>
  <c r="H21" i="47"/>
  <c r="R116" i="55"/>
  <c r="I39" i="47"/>
  <c r="S85" i="55"/>
  <c r="J48" i="47"/>
  <c r="T106" i="55"/>
  <c r="H59" i="47"/>
  <c r="R133" i="55"/>
  <c r="I12" i="47"/>
  <c r="S100" i="55"/>
  <c r="J14" i="47"/>
  <c r="T96" i="55"/>
  <c r="I56" i="47"/>
  <c r="S130" i="55"/>
  <c r="U135" i="55"/>
  <c r="K61" i="47"/>
  <c r="J18" i="47"/>
  <c r="T97" i="55"/>
  <c r="I16" i="47"/>
  <c r="S94" i="55"/>
  <c r="J42" i="47"/>
  <c r="T105" i="55"/>
  <c r="H29" i="47"/>
  <c r="R120" i="55"/>
  <c r="I35" i="47"/>
  <c r="S84" i="55"/>
  <c r="J32" i="47"/>
  <c r="T83" i="55"/>
  <c r="I53" i="47"/>
  <c r="S129" i="55"/>
  <c r="K33" i="47"/>
  <c r="U88" i="55"/>
  <c r="H23" i="47"/>
  <c r="R123" i="55"/>
  <c r="I38" i="47"/>
  <c r="S87" i="55"/>
  <c r="K43" i="47"/>
  <c r="U107" i="55"/>
  <c r="J49" i="47"/>
  <c r="T111" i="55"/>
  <c r="J13" i="47"/>
  <c r="T98" i="55"/>
  <c r="I60" i="47"/>
  <c r="S131" i="55"/>
  <c r="K31" i="47"/>
  <c r="U81" i="55"/>
  <c r="K45" i="47"/>
  <c r="U110" i="55"/>
  <c r="H28" i="47"/>
  <c r="R122" i="55"/>
  <c r="K50" i="47"/>
  <c r="U109" i="55"/>
  <c r="T82" i="55"/>
  <c r="J37" i="47"/>
  <c r="H30" i="47"/>
  <c r="R124" i="55"/>
  <c r="I58" i="47"/>
  <c r="S128" i="55"/>
  <c r="H24" i="47"/>
  <c r="R121" i="55"/>
  <c r="J57" i="47"/>
  <c r="T126" i="55"/>
  <c r="J17" i="47"/>
  <c r="T99" i="55"/>
  <c r="H55" i="47"/>
  <c r="R132" i="55"/>
  <c r="I36" i="47"/>
  <c r="S80" i="55"/>
  <c r="J44" i="47"/>
  <c r="T112" i="55"/>
  <c r="I15" i="47"/>
  <c r="S92" i="55"/>
  <c r="H22" i="47"/>
  <c r="R118" i="55"/>
  <c r="T89" i="55"/>
  <c r="J41" i="47"/>
  <c r="I133" i="47"/>
  <c r="S136" i="55"/>
  <c r="I54" i="47"/>
  <c r="S134" i="55"/>
  <c r="H27" i="47"/>
  <c r="R117" i="55"/>
  <c r="K19" i="47"/>
  <c r="U101" i="55"/>
  <c r="K51" i="47"/>
  <c r="U113" i="55"/>
  <c r="I40" i="47"/>
  <c r="S90" i="55"/>
  <c r="H25" i="47"/>
  <c r="R119" i="55"/>
  <c r="J34" i="47"/>
  <c r="T86" i="55"/>
  <c r="K20" i="47"/>
  <c r="U102" i="55"/>
  <c r="K46" i="47"/>
  <c r="U108" i="55"/>
  <c r="I52" i="47"/>
  <c r="S127" i="55"/>
  <c r="H26" i="47"/>
  <c r="R115" i="55"/>
  <c r="I47" i="47"/>
  <c r="S104" i="55"/>
  <c r="T93" i="55"/>
  <c r="J10" i="47"/>
  <c r="L20" i="47" l="1"/>
  <c r="V102" i="55"/>
  <c r="I27" i="47"/>
  <c r="S117" i="55"/>
  <c r="K44" i="47"/>
  <c r="U112" i="55"/>
  <c r="J58" i="47"/>
  <c r="T128" i="55"/>
  <c r="V81" i="55"/>
  <c r="L31" i="47"/>
  <c r="I23" i="47"/>
  <c r="S123" i="55"/>
  <c r="K42" i="47"/>
  <c r="U105" i="55"/>
  <c r="T100" i="55"/>
  <c r="J12" i="47"/>
  <c r="K34" i="47"/>
  <c r="U86" i="55"/>
  <c r="J54" i="47"/>
  <c r="T134" i="55"/>
  <c r="J36" i="47"/>
  <c r="T80" i="55"/>
  <c r="I30" i="47"/>
  <c r="S124" i="55"/>
  <c r="T131" i="55"/>
  <c r="J60" i="47"/>
  <c r="V88" i="55"/>
  <c r="L33" i="47"/>
  <c r="J16" i="47"/>
  <c r="T94" i="55"/>
  <c r="S133" i="55"/>
  <c r="I59" i="47"/>
  <c r="U93" i="55"/>
  <c r="K10" i="47"/>
  <c r="J47" i="47"/>
  <c r="T104" i="55"/>
  <c r="I25" i="47"/>
  <c r="S119" i="55"/>
  <c r="T136" i="55"/>
  <c r="J133" i="47"/>
  <c r="I55" i="47"/>
  <c r="S132" i="55"/>
  <c r="U98" i="55"/>
  <c r="K13" i="47"/>
  <c r="J53" i="47"/>
  <c r="T129" i="55"/>
  <c r="K18" i="47"/>
  <c r="U97" i="55"/>
  <c r="K48" i="47"/>
  <c r="U106" i="55"/>
  <c r="K37" i="47"/>
  <c r="U82" i="55"/>
  <c r="I26" i="47"/>
  <c r="S115" i="55"/>
  <c r="J40" i="47"/>
  <c r="T90" i="55"/>
  <c r="K17" i="47"/>
  <c r="U99" i="55"/>
  <c r="L50" i="47"/>
  <c r="V109" i="55"/>
  <c r="K49" i="47"/>
  <c r="U111" i="55"/>
  <c r="U83" i="55"/>
  <c r="K32" i="47"/>
  <c r="J39" i="47"/>
  <c r="T85" i="55"/>
  <c r="K41" i="47"/>
  <c r="U89" i="55"/>
  <c r="V135" i="55"/>
  <c r="L61" i="47"/>
  <c r="J52" i="47"/>
  <c r="T127" i="55"/>
  <c r="L51" i="47"/>
  <c r="V113" i="55"/>
  <c r="I22" i="47"/>
  <c r="S118" i="55"/>
  <c r="K57" i="47"/>
  <c r="U126" i="55"/>
  <c r="I28" i="47"/>
  <c r="S122" i="55"/>
  <c r="L43" i="47"/>
  <c r="V107" i="55"/>
  <c r="J35" i="47"/>
  <c r="T84" i="55"/>
  <c r="J56" i="47"/>
  <c r="T130" i="55"/>
  <c r="I21" i="47"/>
  <c r="S116" i="55"/>
  <c r="L46" i="47"/>
  <c r="V108" i="55"/>
  <c r="L19" i="47"/>
  <c r="V101" i="55"/>
  <c r="T92" i="55"/>
  <c r="J15" i="47"/>
  <c r="I24" i="47"/>
  <c r="S121" i="55"/>
  <c r="L45" i="47"/>
  <c r="V110" i="55"/>
  <c r="T87" i="55"/>
  <c r="J38" i="47"/>
  <c r="S120" i="55"/>
  <c r="I29" i="47"/>
  <c r="K14" i="47"/>
  <c r="U96" i="55"/>
  <c r="K11" i="47"/>
  <c r="U95" i="55"/>
  <c r="J24" i="47" l="1"/>
  <c r="T121" i="55"/>
  <c r="K35" i="47"/>
  <c r="U84" i="55"/>
  <c r="K52" i="47"/>
  <c r="U127" i="55"/>
  <c r="W109" i="55"/>
  <c r="M50" i="47"/>
  <c r="L18" i="47"/>
  <c r="V97" i="55"/>
  <c r="K47" i="47"/>
  <c r="U104" i="55"/>
  <c r="J30" i="47"/>
  <c r="T124" i="55"/>
  <c r="J23" i="47"/>
  <c r="T123" i="55"/>
  <c r="L11" i="47"/>
  <c r="V95" i="55"/>
  <c r="W107" i="55"/>
  <c r="M43" i="47"/>
  <c r="L17" i="47"/>
  <c r="V99" i="55"/>
  <c r="U129" i="55"/>
  <c r="K53" i="47"/>
  <c r="K36" i="47"/>
  <c r="U80" i="55"/>
  <c r="K15" i="47"/>
  <c r="U92" i="55"/>
  <c r="W135" i="55"/>
  <c r="M61" i="47"/>
  <c r="V93" i="55"/>
  <c r="L10" i="47"/>
  <c r="M31" i="47"/>
  <c r="W81" i="55"/>
  <c r="L14" i="47"/>
  <c r="V96" i="55"/>
  <c r="M19" i="47"/>
  <c r="W101" i="55"/>
  <c r="T122" i="55"/>
  <c r="J28" i="47"/>
  <c r="L41" i="47"/>
  <c r="V89" i="55"/>
  <c r="K40" i="47"/>
  <c r="U90" i="55"/>
  <c r="K54" i="47"/>
  <c r="U134" i="55"/>
  <c r="U128" i="55"/>
  <c r="K58" i="47"/>
  <c r="V98" i="55"/>
  <c r="L13" i="47"/>
  <c r="J59" i="47"/>
  <c r="T133" i="55"/>
  <c r="M46" i="47"/>
  <c r="W108" i="55"/>
  <c r="V126" i="55"/>
  <c r="L57" i="47"/>
  <c r="K39" i="47"/>
  <c r="U85" i="55"/>
  <c r="J26" i="47"/>
  <c r="T115" i="55"/>
  <c r="T132" i="55"/>
  <c r="J55" i="47"/>
  <c r="K16" i="47"/>
  <c r="U94" i="55"/>
  <c r="V86" i="55"/>
  <c r="L34" i="47"/>
  <c r="L44" i="47"/>
  <c r="V112" i="55"/>
  <c r="J29" i="47"/>
  <c r="T120" i="55"/>
  <c r="J21" i="47"/>
  <c r="T116" i="55"/>
  <c r="J22" i="47"/>
  <c r="T118" i="55"/>
  <c r="L37" i="47"/>
  <c r="V82" i="55"/>
  <c r="J27" i="47"/>
  <c r="T117" i="55"/>
  <c r="K38" i="47"/>
  <c r="U87" i="55"/>
  <c r="L32" i="47"/>
  <c r="V83" i="55"/>
  <c r="K133" i="47"/>
  <c r="U136" i="55"/>
  <c r="M33" i="47"/>
  <c r="W88" i="55"/>
  <c r="K12" i="47"/>
  <c r="U100" i="55"/>
  <c r="M45" i="47"/>
  <c r="W110" i="55"/>
  <c r="K56" i="47"/>
  <c r="U130" i="55"/>
  <c r="W113" i="55"/>
  <c r="M51" i="47"/>
  <c r="V111" i="55"/>
  <c r="L49" i="47"/>
  <c r="L48" i="47"/>
  <c r="V106" i="55"/>
  <c r="T119" i="55"/>
  <c r="J25" i="47"/>
  <c r="L42" i="47"/>
  <c r="V105" i="55"/>
  <c r="M20" i="47"/>
  <c r="W102" i="55"/>
  <c r="U131" i="55"/>
  <c r="K60" i="47"/>
  <c r="L133" i="47" l="1"/>
  <c r="V136" i="55"/>
  <c r="K21" i="47"/>
  <c r="U116" i="55"/>
  <c r="U115" i="55"/>
  <c r="K26" i="47"/>
  <c r="W96" i="55"/>
  <c r="M14" i="47"/>
  <c r="L47" i="47"/>
  <c r="V104" i="55"/>
  <c r="M49" i="47"/>
  <c r="W111" i="55"/>
  <c r="L58" i="47"/>
  <c r="V128" i="55"/>
  <c r="V129" i="55"/>
  <c r="L53" i="47"/>
  <c r="M32" i="47"/>
  <c r="W83" i="55"/>
  <c r="K29" i="47"/>
  <c r="U120" i="55"/>
  <c r="L39" i="47"/>
  <c r="V85" i="55"/>
  <c r="L54" i="47"/>
  <c r="V134" i="55"/>
  <c r="N31" i="47"/>
  <c r="X81" i="55"/>
  <c r="W99" i="55"/>
  <c r="M17" i="47"/>
  <c r="M18" i="47"/>
  <c r="W97" i="55"/>
  <c r="L60" i="47"/>
  <c r="V131" i="55"/>
  <c r="N51" i="47"/>
  <c r="X113" i="55"/>
  <c r="X102" i="55"/>
  <c r="N20" i="47"/>
  <c r="L56" i="47"/>
  <c r="V130" i="55"/>
  <c r="V87" i="55"/>
  <c r="L38" i="47"/>
  <c r="M44" i="47"/>
  <c r="W112" i="55"/>
  <c r="V90" i="55"/>
  <c r="L40" i="47"/>
  <c r="W126" i="55"/>
  <c r="M57" i="47"/>
  <c r="W93" i="55"/>
  <c r="M10" i="47"/>
  <c r="N43" i="47"/>
  <c r="X107" i="55"/>
  <c r="N50" i="47"/>
  <c r="X109" i="55"/>
  <c r="M42" i="47"/>
  <c r="W105" i="55"/>
  <c r="N45" i="47"/>
  <c r="X110" i="55"/>
  <c r="K27" i="47"/>
  <c r="U117" i="55"/>
  <c r="N46" i="47"/>
  <c r="X108" i="55"/>
  <c r="M41" i="47"/>
  <c r="W89" i="55"/>
  <c r="M11" i="47"/>
  <c r="W95" i="55"/>
  <c r="L52" i="47"/>
  <c r="V127" i="55"/>
  <c r="M34" i="47"/>
  <c r="W86" i="55"/>
  <c r="N61" i="47"/>
  <c r="X135" i="55"/>
  <c r="V100" i="55"/>
  <c r="L12" i="47"/>
  <c r="M37" i="47"/>
  <c r="W82" i="55"/>
  <c r="L16" i="47"/>
  <c r="V94" i="55"/>
  <c r="K59" i="47"/>
  <c r="U133" i="55"/>
  <c r="L15" i="47"/>
  <c r="V92" i="55"/>
  <c r="K23" i="47"/>
  <c r="U123" i="55"/>
  <c r="V84" i="55"/>
  <c r="L35" i="47"/>
  <c r="K25" i="47"/>
  <c r="U119" i="55"/>
  <c r="K28" i="47"/>
  <c r="U122" i="55"/>
  <c r="M48" i="47"/>
  <c r="W106" i="55"/>
  <c r="N33" i="47"/>
  <c r="X88" i="55"/>
  <c r="K22" i="47"/>
  <c r="U118" i="55"/>
  <c r="X101" i="55"/>
  <c r="N19" i="47"/>
  <c r="V80" i="55"/>
  <c r="L36" i="47"/>
  <c r="K30" i="47"/>
  <c r="U124" i="55"/>
  <c r="U121" i="55"/>
  <c r="K24" i="47"/>
  <c r="K55" i="47"/>
  <c r="U132" i="55"/>
  <c r="M13" i="47"/>
  <c r="W98" i="55"/>
  <c r="O46" i="47" l="1"/>
  <c r="Y108" i="55"/>
  <c r="M54" i="47"/>
  <c r="W134" i="55"/>
  <c r="X111" i="55"/>
  <c r="N49" i="47"/>
  <c r="O19" i="47"/>
  <c r="Y101" i="55"/>
  <c r="M35" i="47"/>
  <c r="W84" i="55"/>
  <c r="M12" i="47"/>
  <c r="W100" i="55"/>
  <c r="N10" i="47"/>
  <c r="X93" i="55"/>
  <c r="O20" i="47"/>
  <c r="Y102" i="55"/>
  <c r="N13" i="47"/>
  <c r="X98" i="55"/>
  <c r="L22" i="47"/>
  <c r="V118" i="55"/>
  <c r="L23" i="47"/>
  <c r="V123" i="55"/>
  <c r="O61" i="47"/>
  <c r="Y135" i="55"/>
  <c r="L27" i="47"/>
  <c r="V117" i="55"/>
  <c r="O51" i="47"/>
  <c r="Y113" i="55"/>
  <c r="W85" i="55"/>
  <c r="M39" i="47"/>
  <c r="M47" i="47"/>
  <c r="W104" i="55"/>
  <c r="N57" i="47"/>
  <c r="X126" i="55"/>
  <c r="L55" i="47"/>
  <c r="V132" i="55"/>
  <c r="O33" i="47"/>
  <c r="Y88" i="55"/>
  <c r="M15" i="47"/>
  <c r="W92" i="55"/>
  <c r="N34" i="47"/>
  <c r="X86" i="55"/>
  <c r="O45" i="47"/>
  <c r="Y110" i="55"/>
  <c r="M60" i="47"/>
  <c r="W131" i="55"/>
  <c r="L29" i="47"/>
  <c r="V120" i="55"/>
  <c r="M40" i="47"/>
  <c r="W90" i="55"/>
  <c r="N14" i="47"/>
  <c r="X96" i="55"/>
  <c r="X106" i="55"/>
  <c r="N48" i="47"/>
  <c r="V133" i="55"/>
  <c r="L59" i="47"/>
  <c r="M52" i="47"/>
  <c r="W127" i="55"/>
  <c r="N42" i="47"/>
  <c r="X105" i="55"/>
  <c r="X112" i="55"/>
  <c r="N44" i="47"/>
  <c r="N18" i="47"/>
  <c r="X97" i="55"/>
  <c r="N32" i="47"/>
  <c r="X83" i="55"/>
  <c r="L24" i="47"/>
  <c r="V121" i="55"/>
  <c r="L26" i="47"/>
  <c r="V115" i="55"/>
  <c r="L30" i="47"/>
  <c r="V124" i="55"/>
  <c r="L28" i="47"/>
  <c r="V122" i="55"/>
  <c r="M16" i="47"/>
  <c r="W94" i="55"/>
  <c r="N11" i="47"/>
  <c r="X95" i="55"/>
  <c r="O50" i="47"/>
  <c r="Y109" i="55"/>
  <c r="L21" i="47"/>
  <c r="V116" i="55"/>
  <c r="M38" i="47"/>
  <c r="W87" i="55"/>
  <c r="N17" i="47"/>
  <c r="X99" i="55"/>
  <c r="W129" i="55"/>
  <c r="M53" i="47"/>
  <c r="L25" i="47"/>
  <c r="V119" i="55"/>
  <c r="N37" i="47"/>
  <c r="X82" i="55"/>
  <c r="N41" i="47"/>
  <c r="X89" i="55"/>
  <c r="O43" i="47"/>
  <c r="Y107" i="55"/>
  <c r="M56" i="47"/>
  <c r="W130" i="55"/>
  <c r="O31" i="47"/>
  <c r="Y81" i="55"/>
  <c r="W128" i="55"/>
  <c r="M58" i="47"/>
  <c r="M133" i="47"/>
  <c r="W136" i="55"/>
  <c r="M36" i="47"/>
  <c r="W80" i="55"/>
  <c r="Z107" i="55" l="1"/>
  <c r="P43" i="47"/>
  <c r="N38" i="47"/>
  <c r="X87" i="55"/>
  <c r="M30" i="47"/>
  <c r="W124" i="55"/>
  <c r="O42" i="47"/>
  <c r="Y105" i="55"/>
  <c r="M29" i="47"/>
  <c r="W120" i="55"/>
  <c r="M55" i="47"/>
  <c r="W132" i="55"/>
  <c r="P61" i="47"/>
  <c r="Z135" i="55"/>
  <c r="N12" i="47"/>
  <c r="X100" i="55"/>
  <c r="X80" i="55"/>
  <c r="N36" i="47"/>
  <c r="O41" i="47"/>
  <c r="Y89" i="55"/>
  <c r="M21" i="47"/>
  <c r="W116" i="55"/>
  <c r="M26" i="47"/>
  <c r="W115" i="55"/>
  <c r="N52" i="47"/>
  <c r="X127" i="55"/>
  <c r="N60" i="47"/>
  <c r="X131" i="55"/>
  <c r="O57" i="47"/>
  <c r="Y126" i="55"/>
  <c r="M23" i="47"/>
  <c r="W123" i="55"/>
  <c r="N35" i="47"/>
  <c r="X84" i="55"/>
  <c r="X136" i="55"/>
  <c r="N133" i="47"/>
  <c r="O37" i="47"/>
  <c r="Y82" i="55"/>
  <c r="P50" i="47"/>
  <c r="Z109" i="55"/>
  <c r="M24" i="47"/>
  <c r="W121" i="55"/>
  <c r="P45" i="47"/>
  <c r="Z110" i="55"/>
  <c r="X104" i="55"/>
  <c r="N47" i="47"/>
  <c r="W118" i="55"/>
  <c r="M22" i="47"/>
  <c r="Z101" i="55"/>
  <c r="P19" i="47"/>
  <c r="M59" i="47"/>
  <c r="W133" i="55"/>
  <c r="M25" i="47"/>
  <c r="W119" i="55"/>
  <c r="Y95" i="55"/>
  <c r="O11" i="47"/>
  <c r="O32" i="47"/>
  <c r="Y83" i="55"/>
  <c r="O34" i="47"/>
  <c r="Y86" i="55"/>
  <c r="O13" i="47"/>
  <c r="Y98" i="55"/>
  <c r="N58" i="47"/>
  <c r="X128" i="55"/>
  <c r="Y106" i="55"/>
  <c r="O48" i="47"/>
  <c r="N39" i="47"/>
  <c r="X85" i="55"/>
  <c r="O49" i="47"/>
  <c r="Y111" i="55"/>
  <c r="P31" i="47"/>
  <c r="Z81" i="55"/>
  <c r="X94" i="55"/>
  <c r="N16" i="47"/>
  <c r="O18" i="47"/>
  <c r="Y97" i="55"/>
  <c r="O14" i="47"/>
  <c r="Y96" i="55"/>
  <c r="N15" i="47"/>
  <c r="X92" i="55"/>
  <c r="P51" i="47"/>
  <c r="Z113" i="55"/>
  <c r="P20" i="47"/>
  <c r="Z102" i="55"/>
  <c r="N54" i="47"/>
  <c r="X134" i="55"/>
  <c r="N53" i="47"/>
  <c r="X129" i="55"/>
  <c r="X130" i="55"/>
  <c r="N56" i="47"/>
  <c r="Y99" i="55"/>
  <c r="O17" i="47"/>
  <c r="M28" i="47"/>
  <c r="W122" i="55"/>
  <c r="N40" i="47"/>
  <c r="X90" i="55"/>
  <c r="P33" i="47"/>
  <c r="Z88" i="55"/>
  <c r="M27" i="47"/>
  <c r="W117" i="55"/>
  <c r="O10" i="47"/>
  <c r="Y93" i="55"/>
  <c r="Z108" i="55"/>
  <c r="P46" i="47"/>
  <c r="Y112" i="55"/>
  <c r="O44" i="47"/>
  <c r="O40" i="47" l="1"/>
  <c r="Y90" i="55"/>
  <c r="Q20" i="47"/>
  <c r="AA102" i="55"/>
  <c r="Q31" i="47"/>
  <c r="AA81" i="55"/>
  <c r="P34" i="47"/>
  <c r="Z86" i="55"/>
  <c r="X115" i="55"/>
  <c r="N26" i="47"/>
  <c r="N55" i="47"/>
  <c r="X132" i="55"/>
  <c r="N22" i="47"/>
  <c r="X118" i="55"/>
  <c r="O133" i="47"/>
  <c r="Y136" i="55"/>
  <c r="N28" i="47"/>
  <c r="X122" i="55"/>
  <c r="Q51" i="47"/>
  <c r="AA113" i="55"/>
  <c r="P49" i="47"/>
  <c r="Z111" i="55"/>
  <c r="Z83" i="55"/>
  <c r="P32" i="47"/>
  <c r="O35" i="47"/>
  <c r="Y84" i="55"/>
  <c r="X116" i="55"/>
  <c r="N21" i="47"/>
  <c r="N29" i="47"/>
  <c r="X120" i="55"/>
  <c r="P44" i="47"/>
  <c r="Z112" i="55"/>
  <c r="O47" i="47"/>
  <c r="Y104" i="55"/>
  <c r="O15" i="47"/>
  <c r="Y92" i="55"/>
  <c r="O39" i="47"/>
  <c r="Y85" i="55"/>
  <c r="Q45" i="47"/>
  <c r="AA110" i="55"/>
  <c r="N23" i="47"/>
  <c r="X123" i="55"/>
  <c r="P41" i="47"/>
  <c r="Z89" i="55"/>
  <c r="P42" i="47"/>
  <c r="Z105" i="55"/>
  <c r="Q46" i="47"/>
  <c r="AA108" i="55"/>
  <c r="P17" i="47"/>
  <c r="Z99" i="55"/>
  <c r="P11" i="47"/>
  <c r="Z95" i="55"/>
  <c r="Z93" i="55"/>
  <c r="P10" i="47"/>
  <c r="Z96" i="55"/>
  <c r="P14" i="47"/>
  <c r="N25" i="47"/>
  <c r="X119" i="55"/>
  <c r="N24" i="47"/>
  <c r="X121" i="55"/>
  <c r="P57" i="47"/>
  <c r="Z126" i="55"/>
  <c r="N30" i="47"/>
  <c r="X124" i="55"/>
  <c r="Y130" i="55"/>
  <c r="O56" i="47"/>
  <c r="P48" i="47"/>
  <c r="Z106" i="55"/>
  <c r="O36" i="47"/>
  <c r="Y80" i="55"/>
  <c r="N27" i="47"/>
  <c r="X117" i="55"/>
  <c r="Y129" i="55"/>
  <c r="O53" i="47"/>
  <c r="P18" i="47"/>
  <c r="Z97" i="55"/>
  <c r="O58" i="47"/>
  <c r="Y128" i="55"/>
  <c r="N59" i="47"/>
  <c r="X133" i="55"/>
  <c r="Q50" i="47"/>
  <c r="AA109" i="55"/>
  <c r="O60" i="47"/>
  <c r="Y131" i="55"/>
  <c r="O12" i="47"/>
  <c r="Y100" i="55"/>
  <c r="O38" i="47"/>
  <c r="Y87" i="55"/>
  <c r="Q33" i="47"/>
  <c r="AA88" i="55"/>
  <c r="O54" i="47"/>
  <c r="Y134" i="55"/>
  <c r="P13" i="47"/>
  <c r="Z98" i="55"/>
  <c r="Z82" i="55"/>
  <c r="P37" i="47"/>
  <c r="O52" i="47"/>
  <c r="Y127" i="55"/>
  <c r="Q61" i="47"/>
  <c r="AA135" i="55"/>
  <c r="O16" i="47"/>
  <c r="Y94" i="55"/>
  <c r="Q19" i="47"/>
  <c r="AA101" i="55"/>
  <c r="Q43" i="47"/>
  <c r="AA107" i="55"/>
  <c r="Z131" i="55" l="1"/>
  <c r="P60" i="47"/>
  <c r="O27" i="47"/>
  <c r="Y117" i="55"/>
  <c r="O24" i="47"/>
  <c r="Y121" i="55"/>
  <c r="R46" i="47"/>
  <c r="AB108" i="55"/>
  <c r="Z92" i="55"/>
  <c r="P15" i="47"/>
  <c r="O55" i="47"/>
  <c r="Y132" i="55"/>
  <c r="Q37" i="47"/>
  <c r="AA82" i="55"/>
  <c r="Q32" i="47"/>
  <c r="AA83" i="55"/>
  <c r="R43" i="47"/>
  <c r="AB107" i="55"/>
  <c r="Q13" i="47"/>
  <c r="AA98" i="55"/>
  <c r="R50" i="47"/>
  <c r="AB109" i="55"/>
  <c r="P36" i="47"/>
  <c r="Z80" i="55"/>
  <c r="Y119" i="55"/>
  <c r="O25" i="47"/>
  <c r="Q42" i="47"/>
  <c r="AA105" i="55"/>
  <c r="P47" i="47"/>
  <c r="Z104" i="55"/>
  <c r="Q49" i="47"/>
  <c r="AA111" i="55"/>
  <c r="O26" i="47"/>
  <c r="Y115" i="55"/>
  <c r="R19" i="47"/>
  <c r="AB101" i="55"/>
  <c r="P54" i="47"/>
  <c r="Z134" i="55"/>
  <c r="O59" i="47"/>
  <c r="Y133" i="55"/>
  <c r="AA106" i="55"/>
  <c r="Q48" i="47"/>
  <c r="Q41" i="47"/>
  <c r="AA89" i="55"/>
  <c r="Q44" i="47"/>
  <c r="AA112" i="55"/>
  <c r="R51" i="47"/>
  <c r="AB113" i="55"/>
  <c r="AA86" i="55"/>
  <c r="Q34" i="47"/>
  <c r="Q14" i="47"/>
  <c r="AA96" i="55"/>
  <c r="P16" i="47"/>
  <c r="Z94" i="55"/>
  <c r="R33" i="47"/>
  <c r="AB88" i="55"/>
  <c r="P58" i="47"/>
  <c r="Z128" i="55"/>
  <c r="O23" i="47"/>
  <c r="Y123" i="55"/>
  <c r="O29" i="47"/>
  <c r="Y120" i="55"/>
  <c r="O28" i="47"/>
  <c r="Y122" i="55"/>
  <c r="R31" i="47"/>
  <c r="AB81" i="55"/>
  <c r="P56" i="47"/>
  <c r="Z130" i="55"/>
  <c r="AA93" i="55"/>
  <c r="Q10" i="47"/>
  <c r="R61" i="47"/>
  <c r="AB135" i="55"/>
  <c r="P38" i="47"/>
  <c r="Z87" i="55"/>
  <c r="Q18" i="47"/>
  <c r="AA97" i="55"/>
  <c r="O30" i="47"/>
  <c r="Y124" i="55"/>
  <c r="Q11" i="47"/>
  <c r="AA95" i="55"/>
  <c r="R45" i="47"/>
  <c r="AB110" i="55"/>
  <c r="P133" i="47"/>
  <c r="Z136" i="55"/>
  <c r="R20" i="47"/>
  <c r="AB102" i="55"/>
  <c r="Y116" i="55"/>
  <c r="O21" i="47"/>
  <c r="P52" i="47"/>
  <c r="Z127" i="55"/>
  <c r="P12" i="47"/>
  <c r="Z100" i="55"/>
  <c r="AA126" i="55"/>
  <c r="Q57" i="47"/>
  <c r="AA99" i="55"/>
  <c r="Q17" i="47"/>
  <c r="P39" i="47"/>
  <c r="Z85" i="55"/>
  <c r="Z84" i="55"/>
  <c r="P35" i="47"/>
  <c r="O22" i="47"/>
  <c r="Y118" i="55"/>
  <c r="P40" i="47"/>
  <c r="Z90" i="55"/>
  <c r="Z129" i="55"/>
  <c r="P53" i="47"/>
  <c r="Q133" i="47" l="1"/>
  <c r="AA136" i="55"/>
  <c r="S61" i="47"/>
  <c r="AC135" i="55"/>
  <c r="P23" i="47"/>
  <c r="Z123" i="55"/>
  <c r="S51" i="47"/>
  <c r="AC113" i="55"/>
  <c r="S19" i="47"/>
  <c r="AC101" i="55"/>
  <c r="Q36" i="47"/>
  <c r="AA80" i="55"/>
  <c r="P55" i="47"/>
  <c r="Z132" i="55"/>
  <c r="AB99" i="55"/>
  <c r="R17" i="47"/>
  <c r="S45" i="47"/>
  <c r="AC110" i="55"/>
  <c r="Q58" i="47"/>
  <c r="AA128" i="55"/>
  <c r="AB112" i="55"/>
  <c r="R44" i="47"/>
  <c r="P26" i="47"/>
  <c r="Z115" i="55"/>
  <c r="S50" i="47"/>
  <c r="AC109" i="55"/>
  <c r="Q53" i="47"/>
  <c r="AA129" i="55"/>
  <c r="R57" i="47"/>
  <c r="AB126" i="55"/>
  <c r="R10" i="47"/>
  <c r="AB93" i="55"/>
  <c r="Q15" i="47"/>
  <c r="AA92" i="55"/>
  <c r="Q40" i="47"/>
  <c r="AA90" i="55"/>
  <c r="AA100" i="55"/>
  <c r="Q12" i="47"/>
  <c r="R11" i="47"/>
  <c r="AB95" i="55"/>
  <c r="Q56" i="47"/>
  <c r="AA130" i="55"/>
  <c r="S33" i="47"/>
  <c r="AC88" i="55"/>
  <c r="R41" i="47"/>
  <c r="AB89" i="55"/>
  <c r="R49" i="47"/>
  <c r="AB111" i="55"/>
  <c r="AB98" i="55"/>
  <c r="R13" i="47"/>
  <c r="S46" i="47"/>
  <c r="AC108" i="55"/>
  <c r="P22" i="47"/>
  <c r="Z118" i="55"/>
  <c r="Q52" i="47"/>
  <c r="AA127" i="55"/>
  <c r="P30" i="47"/>
  <c r="Z124" i="55"/>
  <c r="S31" i="47"/>
  <c r="AC81" i="55"/>
  <c r="Q16" i="47"/>
  <c r="AA94" i="55"/>
  <c r="Q47" i="47"/>
  <c r="AA104" i="55"/>
  <c r="AC107" i="55"/>
  <c r="S43" i="47"/>
  <c r="Z121" i="55"/>
  <c r="P24" i="47"/>
  <c r="R48" i="47"/>
  <c r="AB106" i="55"/>
  <c r="R18" i="47"/>
  <c r="AB97" i="55"/>
  <c r="P28" i="47"/>
  <c r="Z122" i="55"/>
  <c r="R14" i="47"/>
  <c r="AB96" i="55"/>
  <c r="P59" i="47"/>
  <c r="Z133" i="55"/>
  <c r="R42" i="47"/>
  <c r="AB105" i="55"/>
  <c r="R32" i="47"/>
  <c r="AB83" i="55"/>
  <c r="P27" i="47"/>
  <c r="Z117" i="55"/>
  <c r="Q35" i="47"/>
  <c r="AA84" i="55"/>
  <c r="P21" i="47"/>
  <c r="Z116" i="55"/>
  <c r="Q39" i="47"/>
  <c r="AA85" i="55"/>
  <c r="S20" i="47"/>
  <c r="AC102" i="55"/>
  <c r="Q38" i="47"/>
  <c r="AA87" i="55"/>
  <c r="Z120" i="55"/>
  <c r="P29" i="47"/>
  <c r="Q54" i="47"/>
  <c r="AA134" i="55"/>
  <c r="R37" i="47"/>
  <c r="AB82" i="55"/>
  <c r="R34" i="47"/>
  <c r="AB86" i="55"/>
  <c r="P25" i="47"/>
  <c r="Z119" i="55"/>
  <c r="Q60" i="47"/>
  <c r="AA131" i="55"/>
  <c r="Q27" i="47" l="1"/>
  <c r="AA117" i="55"/>
  <c r="AC97" i="55"/>
  <c r="S18" i="47"/>
  <c r="T31" i="47"/>
  <c r="AD81" i="55"/>
  <c r="S49" i="47"/>
  <c r="AC111" i="55"/>
  <c r="R40" i="47"/>
  <c r="AB90" i="55"/>
  <c r="Q26" i="47"/>
  <c r="AA115" i="55"/>
  <c r="R36" i="47"/>
  <c r="AB80" i="55"/>
  <c r="Q29" i="47"/>
  <c r="AA120" i="55"/>
  <c r="R60" i="47"/>
  <c r="AB131" i="55"/>
  <c r="R38" i="47"/>
  <c r="AB87" i="55"/>
  <c r="S32" i="47"/>
  <c r="AC83" i="55"/>
  <c r="S48" i="47"/>
  <c r="AC106" i="55"/>
  <c r="AA124" i="55"/>
  <c r="Q30" i="47"/>
  <c r="S41" i="47"/>
  <c r="AC89" i="55"/>
  <c r="AB92" i="55"/>
  <c r="R15" i="47"/>
  <c r="T19" i="47"/>
  <c r="AD101" i="55"/>
  <c r="S44" i="47"/>
  <c r="AC112" i="55"/>
  <c r="AA119" i="55"/>
  <c r="Q25" i="47"/>
  <c r="T20" i="47"/>
  <c r="AD102" i="55"/>
  <c r="S42" i="47"/>
  <c r="AC105" i="55"/>
  <c r="AB127" i="55"/>
  <c r="R52" i="47"/>
  <c r="T33" i="47"/>
  <c r="AD88" i="55"/>
  <c r="S10" i="47"/>
  <c r="AC93" i="55"/>
  <c r="R58" i="47"/>
  <c r="AB128" i="55"/>
  <c r="T51" i="47"/>
  <c r="AD113" i="55"/>
  <c r="AA121" i="55"/>
  <c r="Q24" i="47"/>
  <c r="S34" i="47"/>
  <c r="AC86" i="55"/>
  <c r="R39" i="47"/>
  <c r="AB85" i="55"/>
  <c r="Q59" i="47"/>
  <c r="AA133" i="55"/>
  <c r="Q22" i="47"/>
  <c r="AA118" i="55"/>
  <c r="R56" i="47"/>
  <c r="AB130" i="55"/>
  <c r="S57" i="47"/>
  <c r="AC126" i="55"/>
  <c r="T45" i="47"/>
  <c r="AD110" i="55"/>
  <c r="Q23" i="47"/>
  <c r="AA123" i="55"/>
  <c r="T43" i="47"/>
  <c r="AD107" i="55"/>
  <c r="S37" i="47"/>
  <c r="AC82" i="55"/>
  <c r="Q21" i="47"/>
  <c r="AA116" i="55"/>
  <c r="AC96" i="55"/>
  <c r="S14" i="47"/>
  <c r="R47" i="47"/>
  <c r="AB104" i="55"/>
  <c r="AD108" i="55"/>
  <c r="T46" i="47"/>
  <c r="AC95" i="55"/>
  <c r="S11" i="47"/>
  <c r="R53" i="47"/>
  <c r="AB129" i="55"/>
  <c r="AD135" i="55"/>
  <c r="T61" i="47"/>
  <c r="S17" i="47"/>
  <c r="AC99" i="55"/>
  <c r="R54" i="47"/>
  <c r="AB134" i="55"/>
  <c r="R35" i="47"/>
  <c r="AB84" i="55"/>
  <c r="Q28" i="47"/>
  <c r="AA122" i="55"/>
  <c r="R16" i="47"/>
  <c r="AB94" i="55"/>
  <c r="T50" i="47"/>
  <c r="AD109" i="55"/>
  <c r="Q55" i="47"/>
  <c r="AA132" i="55"/>
  <c r="R133" i="47"/>
  <c r="AB136" i="55"/>
  <c r="S13" i="47"/>
  <c r="AC98" i="55"/>
  <c r="R12" i="47"/>
  <c r="AB100" i="55"/>
  <c r="S16" i="47" l="1"/>
  <c r="AC94" i="55"/>
  <c r="S53" i="47"/>
  <c r="AC129" i="55"/>
  <c r="AD82" i="55"/>
  <c r="T37" i="47"/>
  <c r="R22" i="47"/>
  <c r="AB118" i="55"/>
  <c r="S58" i="47"/>
  <c r="AC128" i="55"/>
  <c r="T48" i="47"/>
  <c r="AD106" i="55"/>
  <c r="R26" i="47"/>
  <c r="AB115" i="55"/>
  <c r="R25" i="47"/>
  <c r="AB119" i="55"/>
  <c r="S12" i="47"/>
  <c r="AC100" i="55"/>
  <c r="R28" i="47"/>
  <c r="AB122" i="55"/>
  <c r="U43" i="47"/>
  <c r="AE107" i="55"/>
  <c r="R59" i="47"/>
  <c r="AB133" i="55"/>
  <c r="T10" i="47"/>
  <c r="AD93" i="55"/>
  <c r="T44" i="47"/>
  <c r="AD112" i="55"/>
  <c r="T32" i="47"/>
  <c r="AD83" i="55"/>
  <c r="S40" i="47"/>
  <c r="AC90" i="55"/>
  <c r="T11" i="47"/>
  <c r="AD95" i="55"/>
  <c r="T13" i="47"/>
  <c r="AD98" i="55"/>
  <c r="S35" i="47"/>
  <c r="AC84" i="55"/>
  <c r="R23" i="47"/>
  <c r="AB123" i="55"/>
  <c r="S39" i="47"/>
  <c r="AC85" i="55"/>
  <c r="U33" i="47"/>
  <c r="AE88" i="55"/>
  <c r="U19" i="47"/>
  <c r="AE101" i="55"/>
  <c r="S38" i="47"/>
  <c r="AC87" i="55"/>
  <c r="AD111" i="55"/>
  <c r="T49" i="47"/>
  <c r="U46" i="47"/>
  <c r="AE108" i="55"/>
  <c r="S133" i="47"/>
  <c r="AC136" i="55"/>
  <c r="AC134" i="55"/>
  <c r="S54" i="47"/>
  <c r="S47" i="47"/>
  <c r="AC104" i="55"/>
  <c r="U45" i="47"/>
  <c r="AE110" i="55"/>
  <c r="T34" i="47"/>
  <c r="AD86" i="55"/>
  <c r="S60" i="47"/>
  <c r="AC131" i="55"/>
  <c r="U31" i="47"/>
  <c r="AE81" i="55"/>
  <c r="S52" i="47"/>
  <c r="AC127" i="55"/>
  <c r="S15" i="47"/>
  <c r="AC92" i="55"/>
  <c r="R55" i="47"/>
  <c r="AB132" i="55"/>
  <c r="AD99" i="55"/>
  <c r="T17" i="47"/>
  <c r="AD126" i="55"/>
  <c r="T57" i="47"/>
  <c r="T42" i="47"/>
  <c r="AD105" i="55"/>
  <c r="T41" i="47"/>
  <c r="AD89" i="55"/>
  <c r="R29" i="47"/>
  <c r="AB120" i="55"/>
  <c r="T14" i="47"/>
  <c r="AD96" i="55"/>
  <c r="AB121" i="55"/>
  <c r="R24" i="47"/>
  <c r="T18" i="47"/>
  <c r="AD97" i="55"/>
  <c r="U50" i="47"/>
  <c r="AE109" i="55"/>
  <c r="R21" i="47"/>
  <c r="AB116" i="55"/>
  <c r="S56" i="47"/>
  <c r="AC130" i="55"/>
  <c r="U51" i="47"/>
  <c r="AE113" i="55"/>
  <c r="U20" i="47"/>
  <c r="AE102" i="55"/>
  <c r="S36" i="47"/>
  <c r="AC80" i="55"/>
  <c r="R27" i="47"/>
  <c r="AB117" i="55"/>
  <c r="U61" i="47"/>
  <c r="AE135" i="55"/>
  <c r="R30" i="47"/>
  <c r="AB124" i="55"/>
  <c r="AF113" i="55" l="1"/>
  <c r="V51" i="47"/>
  <c r="U14" i="47"/>
  <c r="AE96" i="55"/>
  <c r="S55" i="47"/>
  <c r="AC132" i="55"/>
  <c r="V45" i="47"/>
  <c r="AF110" i="55"/>
  <c r="T38" i="47"/>
  <c r="AD87" i="55"/>
  <c r="U13" i="47"/>
  <c r="AE98" i="55"/>
  <c r="S59" i="47"/>
  <c r="AC133" i="55"/>
  <c r="U48" i="47"/>
  <c r="AE106" i="55"/>
  <c r="S30" i="47"/>
  <c r="AC124" i="55"/>
  <c r="T56" i="47"/>
  <c r="AD130" i="55"/>
  <c r="S29" i="47"/>
  <c r="AC120" i="55"/>
  <c r="T15" i="47"/>
  <c r="AD92" i="55"/>
  <c r="T47" i="47"/>
  <c r="AD104" i="55"/>
  <c r="V19" i="47"/>
  <c r="AF101" i="55"/>
  <c r="U11" i="47"/>
  <c r="AE95" i="55"/>
  <c r="V43" i="47"/>
  <c r="AF107" i="55"/>
  <c r="T58" i="47"/>
  <c r="AD128" i="55"/>
  <c r="V61" i="47"/>
  <c r="AF135" i="55"/>
  <c r="S21" i="47"/>
  <c r="AC116" i="55"/>
  <c r="U41" i="47"/>
  <c r="AE89" i="55"/>
  <c r="T52" i="47"/>
  <c r="AD127" i="55"/>
  <c r="V33" i="47"/>
  <c r="AF88" i="55"/>
  <c r="T40" i="47"/>
  <c r="AD90" i="55"/>
  <c r="S28" i="47"/>
  <c r="AC122" i="55"/>
  <c r="S22" i="47"/>
  <c r="AC118" i="55"/>
  <c r="T54" i="47"/>
  <c r="AD134" i="55"/>
  <c r="S27" i="47"/>
  <c r="AC117" i="55"/>
  <c r="V50" i="47"/>
  <c r="AF109" i="55"/>
  <c r="U42" i="47"/>
  <c r="AE105" i="55"/>
  <c r="V31" i="47"/>
  <c r="AF81" i="55"/>
  <c r="T133" i="47"/>
  <c r="AD136" i="55"/>
  <c r="T39" i="47"/>
  <c r="AD85" i="55"/>
  <c r="U32" i="47"/>
  <c r="AE83" i="55"/>
  <c r="T12" i="47"/>
  <c r="AD100" i="55"/>
  <c r="U37" i="47"/>
  <c r="AE82" i="55"/>
  <c r="AD80" i="55"/>
  <c r="T36" i="47"/>
  <c r="U18" i="47"/>
  <c r="AE97" i="55"/>
  <c r="AD131" i="55"/>
  <c r="T60" i="47"/>
  <c r="V46" i="47"/>
  <c r="AF108" i="55"/>
  <c r="S23" i="47"/>
  <c r="AC123" i="55"/>
  <c r="U44" i="47"/>
  <c r="AE112" i="55"/>
  <c r="AC119" i="55"/>
  <c r="S25" i="47"/>
  <c r="T53" i="47"/>
  <c r="AD129" i="55"/>
  <c r="AE126" i="55"/>
  <c r="U57" i="47"/>
  <c r="V20" i="47"/>
  <c r="AF102" i="55"/>
  <c r="U34" i="47"/>
  <c r="AE86" i="55"/>
  <c r="T35" i="47"/>
  <c r="AD84" i="55"/>
  <c r="AE93" i="55"/>
  <c r="U10" i="47"/>
  <c r="S26" i="47"/>
  <c r="AC115" i="55"/>
  <c r="T16" i="47"/>
  <c r="AD94" i="55"/>
  <c r="S24" i="47"/>
  <c r="AC121" i="55"/>
  <c r="U17" i="47"/>
  <c r="AE99" i="55"/>
  <c r="U49" i="47"/>
  <c r="AE111" i="55"/>
  <c r="W31" i="47" l="1"/>
  <c r="AG81" i="55"/>
  <c r="T28" i="47"/>
  <c r="AD122" i="55"/>
  <c r="W61" i="47"/>
  <c r="AG135" i="55"/>
  <c r="U15" i="47"/>
  <c r="AE92" i="55"/>
  <c r="V13" i="47"/>
  <c r="AF98" i="55"/>
  <c r="V10" i="47"/>
  <c r="AF93" i="55"/>
  <c r="T25" i="47"/>
  <c r="AD119" i="55"/>
  <c r="U36" i="47"/>
  <c r="AE80" i="55"/>
  <c r="V49" i="47"/>
  <c r="AF111" i="55"/>
  <c r="U35" i="47"/>
  <c r="AE84" i="55"/>
  <c r="V44" i="47"/>
  <c r="AF112" i="55"/>
  <c r="V37" i="47"/>
  <c r="AF82" i="55"/>
  <c r="V42" i="47"/>
  <c r="AF105" i="55"/>
  <c r="U40" i="47"/>
  <c r="AE90" i="55"/>
  <c r="U58" i="47"/>
  <c r="AE128" i="55"/>
  <c r="T29" i="47"/>
  <c r="AD120" i="55"/>
  <c r="U38" i="47"/>
  <c r="AE87" i="55"/>
  <c r="V17" i="47"/>
  <c r="AF99" i="55"/>
  <c r="V34" i="47"/>
  <c r="AF86" i="55"/>
  <c r="T23" i="47"/>
  <c r="AD123" i="55"/>
  <c r="U12" i="47"/>
  <c r="AE100" i="55"/>
  <c r="W50" i="47"/>
  <c r="AG109" i="55"/>
  <c r="W33" i="47"/>
  <c r="AG88" i="55"/>
  <c r="W43" i="47"/>
  <c r="AG107" i="55"/>
  <c r="U56" i="47"/>
  <c r="AE130" i="55"/>
  <c r="AG110" i="55"/>
  <c r="W45" i="47"/>
  <c r="T24" i="47"/>
  <c r="AD121" i="55"/>
  <c r="W20" i="47"/>
  <c r="AG102" i="55"/>
  <c r="W46" i="47"/>
  <c r="AG108" i="55"/>
  <c r="AF83" i="55"/>
  <c r="V32" i="47"/>
  <c r="AD117" i="55"/>
  <c r="T27" i="47"/>
  <c r="U52" i="47"/>
  <c r="AE127" i="55"/>
  <c r="V11" i="47"/>
  <c r="AF95" i="55"/>
  <c r="T30" i="47"/>
  <c r="AD124" i="55"/>
  <c r="T55" i="47"/>
  <c r="AD132" i="55"/>
  <c r="U16" i="47"/>
  <c r="AE94" i="55"/>
  <c r="U39" i="47"/>
  <c r="AE85" i="55"/>
  <c r="U54" i="47"/>
  <c r="AE134" i="55"/>
  <c r="V41" i="47"/>
  <c r="AF89" i="55"/>
  <c r="W19" i="47"/>
  <c r="AG101" i="55"/>
  <c r="V48" i="47"/>
  <c r="AF106" i="55"/>
  <c r="V14" i="47"/>
  <c r="AF96" i="55"/>
  <c r="V57" i="47"/>
  <c r="AF126" i="55"/>
  <c r="U60" i="47"/>
  <c r="AE131" i="55"/>
  <c r="AD115" i="55"/>
  <c r="T26" i="47"/>
  <c r="U53" i="47"/>
  <c r="AE129" i="55"/>
  <c r="V18" i="47"/>
  <c r="AF97" i="55"/>
  <c r="U133" i="47"/>
  <c r="AE136" i="55"/>
  <c r="T22" i="47"/>
  <c r="AD118" i="55"/>
  <c r="AD116" i="55"/>
  <c r="T21" i="47"/>
  <c r="U47" i="47"/>
  <c r="AE104" i="55"/>
  <c r="T59" i="47"/>
  <c r="AD133" i="55"/>
  <c r="W51" i="47"/>
  <c r="AG113" i="55"/>
  <c r="V133" i="47" l="1"/>
  <c r="AF136" i="55"/>
  <c r="W14" i="47"/>
  <c r="AG96" i="55"/>
  <c r="AF94" i="55"/>
  <c r="V16" i="47"/>
  <c r="AH107" i="55"/>
  <c r="X43" i="47"/>
  <c r="AG99" i="55"/>
  <c r="W17" i="47"/>
  <c r="W37" i="47"/>
  <c r="AG82" i="55"/>
  <c r="W10" i="47"/>
  <c r="AG93" i="55"/>
  <c r="W32" i="47"/>
  <c r="AG83" i="55"/>
  <c r="X51" i="47"/>
  <c r="AH113" i="55"/>
  <c r="W18" i="47"/>
  <c r="AG97" i="55"/>
  <c r="W48" i="47"/>
  <c r="AG106" i="55"/>
  <c r="U55" i="47"/>
  <c r="AE132" i="55"/>
  <c r="X46" i="47"/>
  <c r="AH108" i="55"/>
  <c r="X33" i="47"/>
  <c r="AH88" i="55"/>
  <c r="V38" i="47"/>
  <c r="AF87" i="55"/>
  <c r="AG112" i="55"/>
  <c r="W44" i="47"/>
  <c r="W13" i="47"/>
  <c r="AG98" i="55"/>
  <c r="U59" i="47"/>
  <c r="AE133" i="55"/>
  <c r="V53" i="47"/>
  <c r="AF129" i="55"/>
  <c r="X19" i="47"/>
  <c r="AH101" i="55"/>
  <c r="U30" i="47"/>
  <c r="AE124" i="55"/>
  <c r="X20" i="47"/>
  <c r="AH102" i="55"/>
  <c r="X50" i="47"/>
  <c r="AH109" i="55"/>
  <c r="AE120" i="55"/>
  <c r="U29" i="47"/>
  <c r="V35" i="47"/>
  <c r="AF84" i="55"/>
  <c r="V15" i="47"/>
  <c r="AF92" i="55"/>
  <c r="V47" i="47"/>
  <c r="AF104" i="55"/>
  <c r="W41" i="47"/>
  <c r="AG89" i="55"/>
  <c r="W11" i="47"/>
  <c r="AG95" i="55"/>
  <c r="U24" i="47"/>
  <c r="AE121" i="55"/>
  <c r="V12" i="47"/>
  <c r="AF100" i="55"/>
  <c r="V58" i="47"/>
  <c r="AF128" i="55"/>
  <c r="W49" i="47"/>
  <c r="AG111" i="55"/>
  <c r="X61" i="47"/>
  <c r="AH135" i="55"/>
  <c r="U26" i="47"/>
  <c r="AE115" i="55"/>
  <c r="V60" i="47"/>
  <c r="AF131" i="55"/>
  <c r="V54" i="47"/>
  <c r="AF134" i="55"/>
  <c r="V52" i="47"/>
  <c r="AF127" i="55"/>
  <c r="U23" i="47"/>
  <c r="AE123" i="55"/>
  <c r="V40" i="47"/>
  <c r="AF90" i="55"/>
  <c r="V36" i="47"/>
  <c r="AF80" i="55"/>
  <c r="U28" i="47"/>
  <c r="AE122" i="55"/>
  <c r="U21" i="47"/>
  <c r="AE116" i="55"/>
  <c r="X45" i="47"/>
  <c r="AH110" i="55"/>
  <c r="U22" i="47"/>
  <c r="AE118" i="55"/>
  <c r="W57" i="47"/>
  <c r="AG126" i="55"/>
  <c r="V39" i="47"/>
  <c r="AF85" i="55"/>
  <c r="V56" i="47"/>
  <c r="AF130" i="55"/>
  <c r="W34" i="47"/>
  <c r="AG86" i="55"/>
  <c r="W42" i="47"/>
  <c r="AG105" i="55"/>
  <c r="U25" i="47"/>
  <c r="AE119" i="55"/>
  <c r="AH81" i="55"/>
  <c r="X31" i="47"/>
  <c r="U27" i="47"/>
  <c r="AE117" i="55"/>
  <c r="W56" i="47" l="1"/>
  <c r="AG130" i="55"/>
  <c r="V28" i="47"/>
  <c r="AF122" i="55"/>
  <c r="W60" i="47"/>
  <c r="AG131" i="55"/>
  <c r="V24" i="47"/>
  <c r="AF121" i="55"/>
  <c r="V59" i="47"/>
  <c r="AF133" i="55"/>
  <c r="AF132" i="55"/>
  <c r="V55" i="47"/>
  <c r="X37" i="47"/>
  <c r="AH82" i="55"/>
  <c r="AF120" i="55"/>
  <c r="V29" i="47"/>
  <c r="V27" i="47"/>
  <c r="AF117" i="55"/>
  <c r="W39" i="47"/>
  <c r="AG85" i="55"/>
  <c r="W36" i="47"/>
  <c r="AG80" i="55"/>
  <c r="AF115" i="55"/>
  <c r="V26" i="47"/>
  <c r="X11" i="47"/>
  <c r="AH95" i="55"/>
  <c r="Y50" i="47"/>
  <c r="AI109" i="55"/>
  <c r="AH98" i="55"/>
  <c r="X13" i="47"/>
  <c r="X48" i="47"/>
  <c r="AH106" i="55"/>
  <c r="X17" i="47"/>
  <c r="AH99" i="55"/>
  <c r="X57" i="47"/>
  <c r="AH126" i="55"/>
  <c r="W40" i="47"/>
  <c r="AG90" i="55"/>
  <c r="Y61" i="47"/>
  <c r="AI135" i="55"/>
  <c r="X41" i="47"/>
  <c r="AH89" i="55"/>
  <c r="Y20" i="47"/>
  <c r="AI102" i="55"/>
  <c r="X18" i="47"/>
  <c r="AH97" i="55"/>
  <c r="Y31" i="47"/>
  <c r="AI81" i="55"/>
  <c r="X44" i="47"/>
  <c r="AH112" i="55"/>
  <c r="AI107" i="55"/>
  <c r="Y43" i="47"/>
  <c r="V25" i="47"/>
  <c r="AF119" i="55"/>
  <c r="V22" i="47"/>
  <c r="AF118" i="55"/>
  <c r="V23" i="47"/>
  <c r="AF123" i="55"/>
  <c r="X49" i="47"/>
  <c r="AH111" i="55"/>
  <c r="W47" i="47"/>
  <c r="AG104" i="55"/>
  <c r="AF124" i="55"/>
  <c r="V30" i="47"/>
  <c r="W38" i="47"/>
  <c r="AG87" i="55"/>
  <c r="Y51" i="47"/>
  <c r="AI113" i="55"/>
  <c r="AG94" i="55"/>
  <c r="W16" i="47"/>
  <c r="X42" i="47"/>
  <c r="AH105" i="55"/>
  <c r="Y45" i="47"/>
  <c r="AI110" i="55"/>
  <c r="W52" i="47"/>
  <c r="AG127" i="55"/>
  <c r="W58" i="47"/>
  <c r="AG128" i="55"/>
  <c r="W15" i="47"/>
  <c r="AG92" i="55"/>
  <c r="Y19" i="47"/>
  <c r="AI101" i="55"/>
  <c r="Y33" i="47"/>
  <c r="AI88" i="55"/>
  <c r="X32" i="47"/>
  <c r="AH83" i="55"/>
  <c r="X14" i="47"/>
  <c r="AH96" i="55"/>
  <c r="X34" i="47"/>
  <c r="AH86" i="55"/>
  <c r="V21" i="47"/>
  <c r="AF116" i="55"/>
  <c r="AG134" i="55"/>
  <c r="W54" i="47"/>
  <c r="W12" i="47"/>
  <c r="AG100" i="55"/>
  <c r="W35" i="47"/>
  <c r="AG84" i="55"/>
  <c r="W53" i="47"/>
  <c r="AG129" i="55"/>
  <c r="Y46" i="47"/>
  <c r="AI108" i="55"/>
  <c r="X10" i="47"/>
  <c r="AH93" i="55"/>
  <c r="W133" i="47"/>
  <c r="AG136" i="55"/>
  <c r="AH100" i="55" l="1"/>
  <c r="X12" i="47"/>
  <c r="AJ88" i="55"/>
  <c r="Z33" i="47"/>
  <c r="Y42" i="47"/>
  <c r="AI105" i="55"/>
  <c r="Y49" i="47"/>
  <c r="AI111" i="55"/>
  <c r="Z31" i="47"/>
  <c r="AJ81" i="55"/>
  <c r="Y57" i="47"/>
  <c r="AI126" i="55"/>
  <c r="W26" i="47"/>
  <c r="AG115" i="55"/>
  <c r="W55" i="47"/>
  <c r="AG132" i="55"/>
  <c r="X133" i="47"/>
  <c r="AH136" i="55"/>
  <c r="Z19" i="47"/>
  <c r="AJ101" i="55"/>
  <c r="W23" i="47"/>
  <c r="AG123" i="55"/>
  <c r="Y18" i="47"/>
  <c r="AI97" i="55"/>
  <c r="Y17" i="47"/>
  <c r="AI99" i="55"/>
  <c r="X36" i="47"/>
  <c r="AH80" i="55"/>
  <c r="AG133" i="55"/>
  <c r="W59" i="47"/>
  <c r="X54" i="47"/>
  <c r="AH134" i="55"/>
  <c r="X16" i="47"/>
  <c r="AH94" i="55"/>
  <c r="AI93" i="55"/>
  <c r="Y10" i="47"/>
  <c r="AG116" i="55"/>
  <c r="W21" i="47"/>
  <c r="X15" i="47"/>
  <c r="AH92" i="55"/>
  <c r="Z51" i="47"/>
  <c r="AJ113" i="55"/>
  <c r="W22" i="47"/>
  <c r="AG118" i="55"/>
  <c r="Z20" i="47"/>
  <c r="AJ102" i="55"/>
  <c r="Y48" i="47"/>
  <c r="AI106" i="55"/>
  <c r="X39" i="47"/>
  <c r="AH85" i="55"/>
  <c r="W24" i="47"/>
  <c r="AG121" i="55"/>
  <c r="Z46" i="47"/>
  <c r="AJ108" i="55"/>
  <c r="Y34" i="47"/>
  <c r="AI86" i="55"/>
  <c r="X58" i="47"/>
  <c r="AH128" i="55"/>
  <c r="AH87" i="55"/>
  <c r="X38" i="47"/>
  <c r="W25" i="47"/>
  <c r="AG119" i="55"/>
  <c r="Y41" i="47"/>
  <c r="AI89" i="55"/>
  <c r="W27" i="47"/>
  <c r="AG117" i="55"/>
  <c r="X60" i="47"/>
  <c r="AH131" i="55"/>
  <c r="AI98" i="55"/>
  <c r="Y13" i="47"/>
  <c r="X53" i="47"/>
  <c r="AH129" i="55"/>
  <c r="Y14" i="47"/>
  <c r="AI96" i="55"/>
  <c r="X52" i="47"/>
  <c r="AH127" i="55"/>
  <c r="Z61" i="47"/>
  <c r="AJ135" i="55"/>
  <c r="AJ109" i="55"/>
  <c r="Z50" i="47"/>
  <c r="W28" i="47"/>
  <c r="AG122" i="55"/>
  <c r="W30" i="47"/>
  <c r="AG124" i="55"/>
  <c r="AJ107" i="55"/>
  <c r="Z43" i="47"/>
  <c r="AG120" i="55"/>
  <c r="W29" i="47"/>
  <c r="X35" i="47"/>
  <c r="AH84" i="55"/>
  <c r="Y32" i="47"/>
  <c r="AI83" i="55"/>
  <c r="Z45" i="47"/>
  <c r="AJ110" i="55"/>
  <c r="X47" i="47"/>
  <c r="AH104" i="55"/>
  <c r="Y44" i="47"/>
  <c r="AI112" i="55"/>
  <c r="X40" i="47"/>
  <c r="AH90" i="55"/>
  <c r="Y11" i="47"/>
  <c r="AI95" i="55"/>
  <c r="Y37" i="47"/>
  <c r="AI82" i="55"/>
  <c r="X56" i="47"/>
  <c r="AH130" i="55"/>
  <c r="Y47" i="47" l="1"/>
  <c r="AI104" i="55"/>
  <c r="X30" i="47"/>
  <c r="AH124" i="55"/>
  <c r="Y53" i="47"/>
  <c r="AI129" i="55"/>
  <c r="Z48" i="47"/>
  <c r="AJ106" i="55"/>
  <c r="Z18" i="47"/>
  <c r="AJ97" i="55"/>
  <c r="Z57" i="47"/>
  <c r="AJ126" i="55"/>
  <c r="Y38" i="47"/>
  <c r="AI87" i="55"/>
  <c r="AJ93" i="55"/>
  <c r="Z10" i="47"/>
  <c r="Y56" i="47"/>
  <c r="AI130" i="55"/>
  <c r="AK110" i="55"/>
  <c r="AA45" i="47"/>
  <c r="X28" i="47"/>
  <c r="AH122" i="55"/>
  <c r="Y58" i="47"/>
  <c r="AI128" i="55"/>
  <c r="AA20" i="47"/>
  <c r="AK102" i="55"/>
  <c r="Y16" i="47"/>
  <c r="AI94" i="55"/>
  <c r="X23" i="47"/>
  <c r="AH123" i="55"/>
  <c r="AK81" i="55"/>
  <c r="AA31" i="47"/>
  <c r="AJ98" i="55"/>
  <c r="Z13" i="47"/>
  <c r="AJ82" i="55"/>
  <c r="Z37" i="47"/>
  <c r="Z32" i="47"/>
  <c r="AJ83" i="55"/>
  <c r="Y60" i="47"/>
  <c r="AI131" i="55"/>
  <c r="Z34" i="47"/>
  <c r="AJ86" i="55"/>
  <c r="X22" i="47"/>
  <c r="AH118" i="55"/>
  <c r="Y54" i="47"/>
  <c r="AI134" i="55"/>
  <c r="AA19" i="47"/>
  <c r="AK101" i="55"/>
  <c r="Z49" i="47"/>
  <c r="AJ111" i="55"/>
  <c r="AA50" i="47"/>
  <c r="AK109" i="55"/>
  <c r="Z11" i="47"/>
  <c r="AJ95" i="55"/>
  <c r="Y35" i="47"/>
  <c r="AI84" i="55"/>
  <c r="AA61" i="47"/>
  <c r="AK135" i="55"/>
  <c r="AH117" i="55"/>
  <c r="X27" i="47"/>
  <c r="AA46" i="47"/>
  <c r="AK108" i="55"/>
  <c r="AA51" i="47"/>
  <c r="AK113" i="55"/>
  <c r="Y133" i="47"/>
  <c r="AI136" i="55"/>
  <c r="Z42" i="47"/>
  <c r="AJ105" i="55"/>
  <c r="X59" i="47"/>
  <c r="AH133" i="55"/>
  <c r="Y40" i="47"/>
  <c r="AI90" i="55"/>
  <c r="Y52" i="47"/>
  <c r="AI127" i="55"/>
  <c r="AJ89" i="55"/>
  <c r="Z41" i="47"/>
  <c r="X24" i="47"/>
  <c r="AH121" i="55"/>
  <c r="Y15" i="47"/>
  <c r="AI92" i="55"/>
  <c r="Y36" i="47"/>
  <c r="AI80" i="55"/>
  <c r="AH132" i="55"/>
  <c r="X55" i="47"/>
  <c r="X29" i="47"/>
  <c r="AH120" i="55"/>
  <c r="AA33" i="47"/>
  <c r="AK88" i="55"/>
  <c r="Z44" i="47"/>
  <c r="AJ112" i="55"/>
  <c r="AJ96" i="55"/>
  <c r="Z14" i="47"/>
  <c r="X25" i="47"/>
  <c r="AH119" i="55"/>
  <c r="Y39" i="47"/>
  <c r="AI85" i="55"/>
  <c r="Z17" i="47"/>
  <c r="AJ99" i="55"/>
  <c r="X26" i="47"/>
  <c r="AH115" i="55"/>
  <c r="AA43" i="47"/>
  <c r="AK107" i="55"/>
  <c r="X21" i="47"/>
  <c r="AH116" i="55"/>
  <c r="Y12" i="47"/>
  <c r="AI100" i="55"/>
  <c r="Z39" i="47" l="1"/>
  <c r="AJ85" i="55"/>
  <c r="Z40" i="47"/>
  <c r="AJ90" i="55"/>
  <c r="AB19" i="47"/>
  <c r="AL101" i="55"/>
  <c r="Z58" i="47"/>
  <c r="AJ128" i="55"/>
  <c r="AA57" i="47"/>
  <c r="AK126" i="55"/>
  <c r="AI132" i="55"/>
  <c r="Y55" i="47"/>
  <c r="Y27" i="47"/>
  <c r="AI117" i="55"/>
  <c r="AA37" i="47"/>
  <c r="AK82" i="55"/>
  <c r="Z12" i="47"/>
  <c r="AJ100" i="55"/>
  <c r="AI119" i="55"/>
  <c r="Y25" i="47"/>
  <c r="AJ80" i="55"/>
  <c r="Z36" i="47"/>
  <c r="Y59" i="47"/>
  <c r="AI133" i="55"/>
  <c r="AB61" i="47"/>
  <c r="AL135" i="55"/>
  <c r="AJ134" i="55"/>
  <c r="Z54" i="47"/>
  <c r="Y28" i="47"/>
  <c r="AI122" i="55"/>
  <c r="AA18" i="47"/>
  <c r="AK97" i="55"/>
  <c r="AK98" i="55"/>
  <c r="AA13" i="47"/>
  <c r="Y21" i="47"/>
  <c r="AI116" i="55"/>
  <c r="Z15" i="47"/>
  <c r="AJ92" i="55"/>
  <c r="AK105" i="55"/>
  <c r="AA42" i="47"/>
  <c r="Z35" i="47"/>
  <c r="AJ84" i="55"/>
  <c r="AI118" i="55"/>
  <c r="Y22" i="47"/>
  <c r="AA48" i="47"/>
  <c r="AK106" i="55"/>
  <c r="AA14" i="47"/>
  <c r="AK96" i="55"/>
  <c r="AB31" i="47"/>
  <c r="AL81" i="55"/>
  <c r="AB45" i="47"/>
  <c r="AL110" i="55"/>
  <c r="AB43" i="47"/>
  <c r="AL107" i="55"/>
  <c r="AA44" i="47"/>
  <c r="AK112" i="55"/>
  <c r="Y24" i="47"/>
  <c r="AI121" i="55"/>
  <c r="Z133" i="47"/>
  <c r="AJ136" i="55"/>
  <c r="AA11" i="47"/>
  <c r="AK95" i="55"/>
  <c r="AA34" i="47"/>
  <c r="AK86" i="55"/>
  <c r="Y23" i="47"/>
  <c r="AI123" i="55"/>
  <c r="Z56" i="47"/>
  <c r="AJ130" i="55"/>
  <c r="Z53" i="47"/>
  <c r="AJ129" i="55"/>
  <c r="Y26" i="47"/>
  <c r="AI115" i="55"/>
  <c r="AB33" i="47"/>
  <c r="AL88" i="55"/>
  <c r="AB51" i="47"/>
  <c r="AL113" i="55"/>
  <c r="AL109" i="55"/>
  <c r="AB50" i="47"/>
  <c r="Z60" i="47"/>
  <c r="AJ131" i="55"/>
  <c r="AJ94" i="55"/>
  <c r="Z16" i="47"/>
  <c r="Y30" i="47"/>
  <c r="AI124" i="55"/>
  <c r="AA41" i="47"/>
  <c r="AK89" i="55"/>
  <c r="AA10" i="47"/>
  <c r="AK93" i="55"/>
  <c r="AA17" i="47"/>
  <c r="AK99" i="55"/>
  <c r="Y29" i="47"/>
  <c r="AI120" i="55"/>
  <c r="Z52" i="47"/>
  <c r="AJ127" i="55"/>
  <c r="AB46" i="47"/>
  <c r="AL108" i="55"/>
  <c r="AA49" i="47"/>
  <c r="AK111" i="55"/>
  <c r="AA32" i="47"/>
  <c r="AK83" i="55"/>
  <c r="AB20" i="47"/>
  <c r="AL102" i="55"/>
  <c r="Z38" i="47"/>
  <c r="AJ87" i="55"/>
  <c r="Z47" i="47"/>
  <c r="AJ104" i="55"/>
  <c r="AC46" i="47" l="1"/>
  <c r="AM108" i="55"/>
  <c r="Z30" i="47"/>
  <c r="AJ124" i="55"/>
  <c r="AJ115" i="55"/>
  <c r="Z26" i="47"/>
  <c r="AA133" i="47"/>
  <c r="AK136" i="55"/>
  <c r="AL96" i="55"/>
  <c r="AB14" i="47"/>
  <c r="Z21" i="47"/>
  <c r="AJ116" i="55"/>
  <c r="Z59" i="47"/>
  <c r="AJ133" i="55"/>
  <c r="Z55" i="47"/>
  <c r="AJ132" i="55"/>
  <c r="AA47" i="47"/>
  <c r="AK104" i="55"/>
  <c r="AK127" i="55"/>
  <c r="AA52" i="47"/>
  <c r="AA53" i="47"/>
  <c r="AK129" i="55"/>
  <c r="Z24" i="47"/>
  <c r="AJ121" i="55"/>
  <c r="AB48" i="47"/>
  <c r="AL106" i="55"/>
  <c r="AB57" i="47"/>
  <c r="AL126" i="55"/>
  <c r="AA16" i="47"/>
  <c r="AK94" i="55"/>
  <c r="AB13" i="47"/>
  <c r="AL98" i="55"/>
  <c r="AA36" i="47"/>
  <c r="AK80" i="55"/>
  <c r="AA38" i="47"/>
  <c r="AK87" i="55"/>
  <c r="Z29" i="47"/>
  <c r="AJ120" i="55"/>
  <c r="AA60" i="47"/>
  <c r="AK131" i="55"/>
  <c r="AA56" i="47"/>
  <c r="AK130" i="55"/>
  <c r="AB44" i="47"/>
  <c r="AL112" i="55"/>
  <c r="AB18" i="47"/>
  <c r="AL97" i="55"/>
  <c r="AA58" i="47"/>
  <c r="AK128" i="55"/>
  <c r="Z22" i="47"/>
  <c r="AJ118" i="55"/>
  <c r="Z25" i="47"/>
  <c r="AJ119" i="55"/>
  <c r="AC20" i="47"/>
  <c r="AM102" i="55"/>
  <c r="AB17" i="47"/>
  <c r="AL99" i="55"/>
  <c r="AJ123" i="55"/>
  <c r="Z23" i="47"/>
  <c r="AC43" i="47"/>
  <c r="AM107" i="55"/>
  <c r="AA35" i="47"/>
  <c r="AK84" i="55"/>
  <c r="Z28" i="47"/>
  <c r="AJ122" i="55"/>
  <c r="AA12" i="47"/>
  <c r="AK100" i="55"/>
  <c r="AC19" i="47"/>
  <c r="AM101" i="55"/>
  <c r="AC50" i="47"/>
  <c r="AM109" i="55"/>
  <c r="AB32" i="47"/>
  <c r="AL83" i="55"/>
  <c r="AB10" i="47"/>
  <c r="AL93" i="55"/>
  <c r="AC51" i="47"/>
  <c r="AM113" i="55"/>
  <c r="AL86" i="55"/>
  <c r="AB34" i="47"/>
  <c r="AC45" i="47"/>
  <c r="AM110" i="55"/>
  <c r="AB37" i="47"/>
  <c r="AL82" i="55"/>
  <c r="AA40" i="47"/>
  <c r="AK90" i="55"/>
  <c r="AB42" i="47"/>
  <c r="AL105" i="55"/>
  <c r="AA54" i="47"/>
  <c r="AK134" i="55"/>
  <c r="AB49" i="47"/>
  <c r="AL111" i="55"/>
  <c r="AB41" i="47"/>
  <c r="AL89" i="55"/>
  <c r="AC33" i="47"/>
  <c r="AM88" i="55"/>
  <c r="AL95" i="55"/>
  <c r="AB11" i="47"/>
  <c r="AM81" i="55"/>
  <c r="AC31" i="47"/>
  <c r="AA15" i="47"/>
  <c r="AK92" i="55"/>
  <c r="AC61" i="47"/>
  <c r="AM135" i="55"/>
  <c r="Z27" i="47"/>
  <c r="AJ117" i="55"/>
  <c r="AA39" i="47"/>
  <c r="AK85" i="55"/>
  <c r="AB40" i="47" l="1"/>
  <c r="AL90" i="55"/>
  <c r="AC32" i="47"/>
  <c r="AM83" i="55"/>
  <c r="AN107" i="55"/>
  <c r="AD43" i="47"/>
  <c r="AB58" i="47"/>
  <c r="AL128" i="55"/>
  <c r="AB38" i="47"/>
  <c r="AL87" i="55"/>
  <c r="AA24" i="47"/>
  <c r="AK121" i="55"/>
  <c r="AA21" i="47"/>
  <c r="AK116" i="55"/>
  <c r="AC11" i="47"/>
  <c r="AM95" i="55"/>
  <c r="AB39" i="47"/>
  <c r="AL85" i="55"/>
  <c r="AD33" i="47"/>
  <c r="AN88" i="55"/>
  <c r="AC37" i="47"/>
  <c r="AM82" i="55"/>
  <c r="AD50" i="47"/>
  <c r="AN109" i="55"/>
  <c r="AC18" i="47"/>
  <c r="AM97" i="55"/>
  <c r="AB36" i="47"/>
  <c r="AL80" i="55"/>
  <c r="AB53" i="47"/>
  <c r="AL129" i="55"/>
  <c r="AA23" i="47"/>
  <c r="AK123" i="55"/>
  <c r="AC14" i="47"/>
  <c r="AM96" i="55"/>
  <c r="AA27" i="47"/>
  <c r="AK117" i="55"/>
  <c r="AC41" i="47"/>
  <c r="AM89" i="55"/>
  <c r="AN110" i="55"/>
  <c r="AD45" i="47"/>
  <c r="AD19" i="47"/>
  <c r="AN101" i="55"/>
  <c r="AC17" i="47"/>
  <c r="AM99" i="55"/>
  <c r="AC44" i="47"/>
  <c r="AM112" i="55"/>
  <c r="AC13" i="47"/>
  <c r="AM98" i="55"/>
  <c r="AB133" i="47"/>
  <c r="AL136" i="55"/>
  <c r="AB52" i="47"/>
  <c r="AL127" i="55"/>
  <c r="AD61" i="47"/>
  <c r="AN135" i="55"/>
  <c r="AC49" i="47"/>
  <c r="AM111" i="55"/>
  <c r="AB12" i="47"/>
  <c r="AL100" i="55"/>
  <c r="AD20" i="47"/>
  <c r="AN102" i="55"/>
  <c r="AB56" i="47"/>
  <c r="AL130" i="55"/>
  <c r="AB16" i="47"/>
  <c r="AL94" i="55"/>
  <c r="AB47" i="47"/>
  <c r="AL104" i="55"/>
  <c r="AC34" i="47"/>
  <c r="AM86" i="55"/>
  <c r="AA26" i="47"/>
  <c r="AK115" i="55"/>
  <c r="AL92" i="55"/>
  <c r="AB15" i="47"/>
  <c r="AB54" i="47"/>
  <c r="AL134" i="55"/>
  <c r="AD51" i="47"/>
  <c r="AN113" i="55"/>
  <c r="AA28" i="47"/>
  <c r="AK122" i="55"/>
  <c r="AK119" i="55"/>
  <c r="AA25" i="47"/>
  <c r="AB60" i="47"/>
  <c r="AL131" i="55"/>
  <c r="AC57" i="47"/>
  <c r="AM126" i="55"/>
  <c r="AA55" i="47"/>
  <c r="AK132" i="55"/>
  <c r="AK124" i="55"/>
  <c r="AA30" i="47"/>
  <c r="AC42" i="47"/>
  <c r="AM105" i="55"/>
  <c r="AC10" i="47"/>
  <c r="AM93" i="55"/>
  <c r="AL84" i="55"/>
  <c r="AB35" i="47"/>
  <c r="AA22" i="47"/>
  <c r="AK118" i="55"/>
  <c r="AA29" i="47"/>
  <c r="AK120" i="55"/>
  <c r="AC48" i="47"/>
  <c r="AM106" i="55"/>
  <c r="AA59" i="47"/>
  <c r="AK133" i="55"/>
  <c r="AD46" i="47"/>
  <c r="AN108" i="55"/>
  <c r="AD31" i="47"/>
  <c r="AN81" i="55"/>
  <c r="AB22" i="47" l="1"/>
  <c r="AL118" i="55"/>
  <c r="AD57" i="47"/>
  <c r="AN126" i="55"/>
  <c r="AE20" i="47"/>
  <c r="AO102" i="55"/>
  <c r="AD13" i="47"/>
  <c r="AN98" i="55"/>
  <c r="AB27" i="47"/>
  <c r="AL117" i="55"/>
  <c r="AE50" i="47"/>
  <c r="AO109" i="55"/>
  <c r="AB24" i="47"/>
  <c r="AL121" i="55"/>
  <c r="AC15" i="47"/>
  <c r="AM92" i="55"/>
  <c r="AO81" i="55"/>
  <c r="AE31" i="47"/>
  <c r="AC60" i="47"/>
  <c r="AM131" i="55"/>
  <c r="AB26" i="47"/>
  <c r="AL115" i="55"/>
  <c r="AC12" i="47"/>
  <c r="AM100" i="55"/>
  <c r="AD44" i="47"/>
  <c r="AN112" i="55"/>
  <c r="AD14" i="47"/>
  <c r="AN96" i="55"/>
  <c r="AD37" i="47"/>
  <c r="AN82" i="55"/>
  <c r="AC38" i="47"/>
  <c r="AM87" i="55"/>
  <c r="AM84" i="55"/>
  <c r="AC35" i="47"/>
  <c r="AE46" i="47"/>
  <c r="AO108" i="55"/>
  <c r="AD10" i="47"/>
  <c r="AN93" i="55"/>
  <c r="AD34" i="47"/>
  <c r="AN86" i="55"/>
  <c r="AD49" i="47"/>
  <c r="AN111" i="55"/>
  <c r="AD17" i="47"/>
  <c r="AN99" i="55"/>
  <c r="AB23" i="47"/>
  <c r="AL123" i="55"/>
  <c r="AE33" i="47"/>
  <c r="AO88" i="55"/>
  <c r="AC58" i="47"/>
  <c r="AM128" i="55"/>
  <c r="AB25" i="47"/>
  <c r="AL119" i="55"/>
  <c r="AB59" i="47"/>
  <c r="AL133" i="55"/>
  <c r="AN105" i="55"/>
  <c r="AD42" i="47"/>
  <c r="AB28" i="47"/>
  <c r="AL122" i="55"/>
  <c r="AC47" i="47"/>
  <c r="AM104" i="55"/>
  <c r="AO135" i="55"/>
  <c r="AE61" i="47"/>
  <c r="AE19" i="47"/>
  <c r="AO101" i="55"/>
  <c r="AC53" i="47"/>
  <c r="AM129" i="55"/>
  <c r="AC39" i="47"/>
  <c r="AM85" i="55"/>
  <c r="AE43" i="47"/>
  <c r="AO107" i="55"/>
  <c r="AD48" i="47"/>
  <c r="AN106" i="55"/>
  <c r="AO113" i="55"/>
  <c r="AE51" i="47"/>
  <c r="AC16" i="47"/>
  <c r="AM94" i="55"/>
  <c r="AC52" i="47"/>
  <c r="AM127" i="55"/>
  <c r="AC36" i="47"/>
  <c r="AM80" i="55"/>
  <c r="AD11" i="47"/>
  <c r="AN95" i="55"/>
  <c r="AD32" i="47"/>
  <c r="AN83" i="55"/>
  <c r="AL124" i="55"/>
  <c r="AB30" i="47"/>
  <c r="AO110" i="55"/>
  <c r="AE45" i="47"/>
  <c r="AL120" i="55"/>
  <c r="AB29" i="47"/>
  <c r="AB55" i="47"/>
  <c r="AL132" i="55"/>
  <c r="AC54" i="47"/>
  <c r="AM134" i="55"/>
  <c r="AM130" i="55"/>
  <c r="AC56" i="47"/>
  <c r="AC133" i="47"/>
  <c r="AM136" i="55"/>
  <c r="AD41" i="47"/>
  <c r="AN89" i="55"/>
  <c r="AD18" i="47"/>
  <c r="AN97" i="55"/>
  <c r="AB21" i="47"/>
  <c r="AL116" i="55"/>
  <c r="AC40" i="47"/>
  <c r="AM90" i="55"/>
  <c r="AO83" i="55" l="1"/>
  <c r="AE32" i="47"/>
  <c r="AE48" i="47"/>
  <c r="AO106" i="55"/>
  <c r="AD47" i="47"/>
  <c r="AN104" i="55"/>
  <c r="AF33" i="47"/>
  <c r="AP88" i="55"/>
  <c r="AF46" i="47"/>
  <c r="AP108" i="55"/>
  <c r="AD12" i="47"/>
  <c r="AN100" i="55"/>
  <c r="AF50" i="47"/>
  <c r="AP109" i="55"/>
  <c r="AD56" i="47"/>
  <c r="AN130" i="55"/>
  <c r="AD40" i="47"/>
  <c r="AN90" i="55"/>
  <c r="AD54" i="47"/>
  <c r="AN134" i="55"/>
  <c r="AE11" i="47"/>
  <c r="AO95" i="55"/>
  <c r="AF43" i="47"/>
  <c r="AP107" i="55"/>
  <c r="AC28" i="47"/>
  <c r="AM122" i="55"/>
  <c r="AC23" i="47"/>
  <c r="AM123" i="55"/>
  <c r="AC26" i="47"/>
  <c r="AM115" i="55"/>
  <c r="AC27" i="47"/>
  <c r="AM117" i="55"/>
  <c r="AD35" i="47"/>
  <c r="AN84" i="55"/>
  <c r="AC21" i="47"/>
  <c r="AM116" i="55"/>
  <c r="AC55" i="47"/>
  <c r="AM132" i="55"/>
  <c r="AD36" i="47"/>
  <c r="AN80" i="55"/>
  <c r="AD39" i="47"/>
  <c r="AN85" i="55"/>
  <c r="AE17" i="47"/>
  <c r="AO99" i="55"/>
  <c r="AD38" i="47"/>
  <c r="AN87" i="55"/>
  <c r="AD60" i="47"/>
  <c r="AN131" i="55"/>
  <c r="AE13" i="47"/>
  <c r="AO98" i="55"/>
  <c r="AE42" i="47"/>
  <c r="AO105" i="55"/>
  <c r="AE18" i="47"/>
  <c r="AO97" i="55"/>
  <c r="AD52" i="47"/>
  <c r="AN127" i="55"/>
  <c r="AD53" i="47"/>
  <c r="AN129" i="55"/>
  <c r="AC59" i="47"/>
  <c r="AM133" i="55"/>
  <c r="AE49" i="47"/>
  <c r="AO111" i="55"/>
  <c r="AE37" i="47"/>
  <c r="AO82" i="55"/>
  <c r="AF20" i="47"/>
  <c r="AP102" i="55"/>
  <c r="AC29" i="47"/>
  <c r="AM120" i="55"/>
  <c r="AF31" i="47"/>
  <c r="AP81" i="55"/>
  <c r="AE41" i="47"/>
  <c r="AO89" i="55"/>
  <c r="AD16" i="47"/>
  <c r="AN94" i="55"/>
  <c r="AP101" i="55"/>
  <c r="AF19" i="47"/>
  <c r="AC25" i="47"/>
  <c r="AM119" i="55"/>
  <c r="AE34" i="47"/>
  <c r="AO86" i="55"/>
  <c r="AE14" i="47"/>
  <c r="AO96" i="55"/>
  <c r="AN92" i="55"/>
  <c r="AD15" i="47"/>
  <c r="AE57" i="47"/>
  <c r="AO126" i="55"/>
  <c r="AP110" i="55"/>
  <c r="AF45" i="47"/>
  <c r="AD133" i="47"/>
  <c r="AN136" i="55"/>
  <c r="AD58" i="47"/>
  <c r="AN128" i="55"/>
  <c r="AE10" i="47"/>
  <c r="AO93" i="55"/>
  <c r="AE44" i="47"/>
  <c r="AO112" i="55"/>
  <c r="AC24" i="47"/>
  <c r="AM121" i="55"/>
  <c r="AC22" i="47"/>
  <c r="AM118" i="55"/>
  <c r="AC30" i="47"/>
  <c r="AM124" i="55"/>
  <c r="AF51" i="47"/>
  <c r="AP113" i="55"/>
  <c r="AF61" i="47"/>
  <c r="AP135" i="55"/>
  <c r="AF44" i="47" l="1"/>
  <c r="AP112" i="55"/>
  <c r="AP89" i="55"/>
  <c r="AF41" i="47"/>
  <c r="AD59" i="47"/>
  <c r="AN133" i="55"/>
  <c r="AE60" i="47"/>
  <c r="AO131" i="55"/>
  <c r="AD21" i="47"/>
  <c r="AN116" i="55"/>
  <c r="AG43" i="47"/>
  <c r="AQ107" i="55"/>
  <c r="AH43" i="47" s="1"/>
  <c r="AJ43" i="47" s="1"/>
  <c r="AE12" i="47"/>
  <c r="AO100" i="55"/>
  <c r="AE15" i="47"/>
  <c r="AO92" i="55"/>
  <c r="AG61" i="47"/>
  <c r="AQ135" i="55"/>
  <c r="AH61" i="47" s="1"/>
  <c r="AJ61" i="47" s="1"/>
  <c r="AF10" i="47"/>
  <c r="AP93" i="55"/>
  <c r="AF14" i="47"/>
  <c r="AP96" i="55"/>
  <c r="AG31" i="47"/>
  <c r="AQ81" i="55"/>
  <c r="AH31" i="47" s="1"/>
  <c r="AJ31" i="47" s="1"/>
  <c r="AE53" i="47"/>
  <c r="AO129" i="55"/>
  <c r="AE38" i="47"/>
  <c r="AO87" i="55"/>
  <c r="AO84" i="55"/>
  <c r="AE35" i="47"/>
  <c r="AF11" i="47"/>
  <c r="AP95" i="55"/>
  <c r="AG46" i="47"/>
  <c r="AQ108" i="55"/>
  <c r="AH46" i="47" s="1"/>
  <c r="AJ46" i="47" s="1"/>
  <c r="AG51" i="47"/>
  <c r="AQ113" i="55"/>
  <c r="AH51" i="47" s="1"/>
  <c r="AJ51" i="47" s="1"/>
  <c r="AE58" i="47"/>
  <c r="AO128" i="55"/>
  <c r="AF34" i="47"/>
  <c r="AP86" i="55"/>
  <c r="AD29" i="47"/>
  <c r="AN120" i="55"/>
  <c r="AE52" i="47"/>
  <c r="AO127" i="55"/>
  <c r="AF17" i="47"/>
  <c r="AP99" i="55"/>
  <c r="AD27" i="47"/>
  <c r="AN117" i="55"/>
  <c r="AE54" i="47"/>
  <c r="AO134" i="55"/>
  <c r="AG33" i="47"/>
  <c r="AQ88" i="55"/>
  <c r="AH33" i="47" s="1"/>
  <c r="AJ33" i="47" s="1"/>
  <c r="AD30" i="47"/>
  <c r="AN124" i="55"/>
  <c r="AE133" i="47"/>
  <c r="AO136" i="55"/>
  <c r="AN119" i="55"/>
  <c r="AD25" i="47"/>
  <c r="AG20" i="47"/>
  <c r="AQ102" i="55"/>
  <c r="AH20" i="47" s="1"/>
  <c r="AJ20" i="47" s="1"/>
  <c r="AF18" i="47"/>
  <c r="AP97" i="55"/>
  <c r="AO85" i="55"/>
  <c r="AE39" i="47"/>
  <c r="AD26" i="47"/>
  <c r="AN115" i="55"/>
  <c r="AO90" i="55"/>
  <c r="AE40" i="47"/>
  <c r="AE47" i="47"/>
  <c r="AO104" i="55"/>
  <c r="AD22" i="47"/>
  <c r="AN118" i="55"/>
  <c r="AF37" i="47"/>
  <c r="AP82" i="55"/>
  <c r="AF42" i="47"/>
  <c r="AP105" i="55"/>
  <c r="AE36" i="47"/>
  <c r="AO80" i="55"/>
  <c r="AD23" i="47"/>
  <c r="AN123" i="55"/>
  <c r="AO130" i="55"/>
  <c r="AE56" i="47"/>
  <c r="AF48" i="47"/>
  <c r="AP106" i="55"/>
  <c r="AG45" i="47"/>
  <c r="AQ110" i="55"/>
  <c r="AH45" i="47" s="1"/>
  <c r="AJ45" i="47" s="1"/>
  <c r="AG19" i="47"/>
  <c r="AQ101" i="55"/>
  <c r="AH19" i="47" s="1"/>
  <c r="AJ19" i="47" s="1"/>
  <c r="AD24" i="47"/>
  <c r="AN121" i="55"/>
  <c r="AF57" i="47"/>
  <c r="AP126" i="55"/>
  <c r="AE16" i="47"/>
  <c r="AO94" i="55"/>
  <c r="AP111" i="55"/>
  <c r="AF49" i="47"/>
  <c r="AF13" i="47"/>
  <c r="AP98" i="55"/>
  <c r="AD55" i="47"/>
  <c r="AN132" i="55"/>
  <c r="AN122" i="55"/>
  <c r="AD28" i="47"/>
  <c r="AG50" i="47"/>
  <c r="AQ109" i="55"/>
  <c r="AH50" i="47" s="1"/>
  <c r="AJ50" i="47" s="1"/>
  <c r="AF32" i="47"/>
  <c r="AP83" i="55"/>
  <c r="AG48" i="47" l="1"/>
  <c r="AQ106" i="55"/>
  <c r="AH48" i="47" s="1"/>
  <c r="AJ48" i="47" s="1"/>
  <c r="AE22" i="47"/>
  <c r="AO118" i="55"/>
  <c r="AE27" i="47"/>
  <c r="AO117" i="55"/>
  <c r="AG49" i="47"/>
  <c r="AQ111" i="55"/>
  <c r="AH49" i="47" s="1"/>
  <c r="AJ49" i="47" s="1"/>
  <c r="AG32" i="47"/>
  <c r="AQ83" i="55"/>
  <c r="AH32" i="47" s="1"/>
  <c r="AJ32" i="47" s="1"/>
  <c r="AF16" i="47"/>
  <c r="AP94" i="55"/>
  <c r="AF47" i="47"/>
  <c r="AP104" i="55"/>
  <c r="AG17" i="47"/>
  <c r="AQ99" i="55"/>
  <c r="AH17" i="47" s="1"/>
  <c r="AJ17" i="47" s="1"/>
  <c r="AG14" i="47"/>
  <c r="AQ96" i="55"/>
  <c r="AH14" i="47" s="1"/>
  <c r="AJ14" i="47" s="1"/>
  <c r="AE21" i="47"/>
  <c r="AO116" i="55"/>
  <c r="AF56" i="47"/>
  <c r="AP130" i="55"/>
  <c r="AO119" i="55"/>
  <c r="AE25" i="47"/>
  <c r="AQ126" i="55"/>
  <c r="AH57" i="47" s="1"/>
  <c r="AJ57" i="47" s="1"/>
  <c r="AG57" i="47"/>
  <c r="AE23" i="47"/>
  <c r="AO123" i="55"/>
  <c r="AF133" i="47"/>
  <c r="AP136" i="55"/>
  <c r="AP127" i="55"/>
  <c r="AF52" i="47"/>
  <c r="AG11" i="47"/>
  <c r="AQ95" i="55"/>
  <c r="AH11" i="47" s="1"/>
  <c r="AJ11" i="47" s="1"/>
  <c r="AG10" i="47"/>
  <c r="AQ93" i="55"/>
  <c r="AH10" i="47" s="1"/>
  <c r="AJ10" i="47" s="1"/>
  <c r="AF60" i="47"/>
  <c r="AP131" i="55"/>
  <c r="AF40" i="47"/>
  <c r="AP90" i="55"/>
  <c r="AE24" i="47"/>
  <c r="AO121" i="55"/>
  <c r="AF36" i="47"/>
  <c r="AP80" i="55"/>
  <c r="AE26" i="47"/>
  <c r="AO115" i="55"/>
  <c r="AE30" i="47"/>
  <c r="AO124" i="55"/>
  <c r="AO120" i="55"/>
  <c r="AE29" i="47"/>
  <c r="AE59" i="47"/>
  <c r="AO133" i="55"/>
  <c r="AO122" i="55"/>
  <c r="AE28" i="47"/>
  <c r="AP84" i="55"/>
  <c r="AF35" i="47"/>
  <c r="AE55" i="47"/>
  <c r="AO132" i="55"/>
  <c r="AQ105" i="55"/>
  <c r="AH42" i="47" s="1"/>
  <c r="AJ42" i="47" s="1"/>
  <c r="AG42" i="47"/>
  <c r="AG34" i="47"/>
  <c r="AQ86" i="55"/>
  <c r="AH34" i="47" s="1"/>
  <c r="AJ34" i="47" s="1"/>
  <c r="AP87" i="55"/>
  <c r="AF38" i="47"/>
  <c r="AF15" i="47"/>
  <c r="AP92" i="55"/>
  <c r="AF39" i="47"/>
  <c r="AP85" i="55"/>
  <c r="AQ89" i="55"/>
  <c r="AH41" i="47" s="1"/>
  <c r="AJ41" i="47" s="1"/>
  <c r="AG41" i="47"/>
  <c r="AG13" i="47"/>
  <c r="AQ98" i="55"/>
  <c r="AH13" i="47" s="1"/>
  <c r="AJ13" i="47" s="1"/>
  <c r="AG37" i="47"/>
  <c r="AQ82" i="55"/>
  <c r="AH37" i="47" s="1"/>
  <c r="AJ37" i="47" s="1"/>
  <c r="AG18" i="47"/>
  <c r="AQ97" i="55"/>
  <c r="AH18" i="47" s="1"/>
  <c r="AJ18" i="47" s="1"/>
  <c r="AF54" i="47"/>
  <c r="AP134" i="55"/>
  <c r="AF58" i="47"/>
  <c r="AP128" i="55"/>
  <c r="AF53" i="47"/>
  <c r="AP129" i="55"/>
  <c r="AF12" i="47"/>
  <c r="AP100" i="55"/>
  <c r="AQ112" i="55"/>
  <c r="AH44" i="47" s="1"/>
  <c r="AJ44" i="47" s="1"/>
  <c r="AG44" i="47"/>
  <c r="AG12" i="47" l="1"/>
  <c r="AQ100" i="55"/>
  <c r="AH12" i="47" s="1"/>
  <c r="AJ12" i="47" s="1"/>
  <c r="AF30" i="47"/>
  <c r="AP124" i="55"/>
  <c r="AG16" i="47"/>
  <c r="AQ94" i="55"/>
  <c r="AH16" i="47" s="1"/>
  <c r="AJ16" i="47" s="1"/>
  <c r="AF25" i="47"/>
  <c r="AP119" i="55"/>
  <c r="AG53" i="47"/>
  <c r="AQ129" i="55"/>
  <c r="AH53" i="47" s="1"/>
  <c r="AJ53" i="47" s="1"/>
  <c r="AF55" i="47"/>
  <c r="AP132" i="55"/>
  <c r="AF26" i="47"/>
  <c r="AP115" i="55"/>
  <c r="AG56" i="47"/>
  <c r="AQ130" i="55"/>
  <c r="AH56" i="47" s="1"/>
  <c r="AJ56" i="47" s="1"/>
  <c r="AG58" i="47"/>
  <c r="AQ128" i="55"/>
  <c r="AH58" i="47" s="1"/>
  <c r="AJ58" i="47" s="1"/>
  <c r="AQ85" i="55"/>
  <c r="AH39" i="47" s="1"/>
  <c r="AJ39" i="47" s="1"/>
  <c r="AG39" i="47"/>
  <c r="AG36" i="47"/>
  <c r="AQ80" i="55"/>
  <c r="AH36" i="47" s="1"/>
  <c r="AJ36" i="47" s="1"/>
  <c r="AF21" i="47"/>
  <c r="AP116" i="55"/>
  <c r="AG35" i="47"/>
  <c r="AQ84" i="55"/>
  <c r="AH35" i="47" s="1"/>
  <c r="AJ35" i="47" s="1"/>
  <c r="AG52" i="47"/>
  <c r="AQ127" i="55"/>
  <c r="AH52" i="47" s="1"/>
  <c r="AJ52" i="47" s="1"/>
  <c r="AG54" i="47"/>
  <c r="AQ134" i="55"/>
  <c r="AH54" i="47" s="1"/>
  <c r="AJ54" i="47" s="1"/>
  <c r="AG15" i="47"/>
  <c r="AQ92" i="55"/>
  <c r="AH15" i="47" s="1"/>
  <c r="AJ15" i="47" s="1"/>
  <c r="AF24" i="47"/>
  <c r="AP121" i="55"/>
  <c r="AG133" i="47"/>
  <c r="AQ136" i="55"/>
  <c r="AH133" i="47" s="1"/>
  <c r="AJ133" i="47" s="1"/>
  <c r="AF27" i="47"/>
  <c r="AP117" i="55"/>
  <c r="AF28" i="47"/>
  <c r="AP122" i="55"/>
  <c r="AF59" i="47"/>
  <c r="AP133" i="55"/>
  <c r="AG40" i="47"/>
  <c r="AQ90" i="55"/>
  <c r="AH40" i="47" s="1"/>
  <c r="AJ40" i="47" s="1"/>
  <c r="AP123" i="55"/>
  <c r="AF23" i="47"/>
  <c r="AF22" i="47"/>
  <c r="AP118" i="55"/>
  <c r="AG38" i="47"/>
  <c r="AQ87" i="55"/>
  <c r="AH38" i="47" s="1"/>
  <c r="AJ38" i="47" s="1"/>
  <c r="AG60" i="47"/>
  <c r="AQ131" i="55"/>
  <c r="AH60" i="47" s="1"/>
  <c r="AJ60" i="47" s="1"/>
  <c r="AG47" i="47"/>
  <c r="AQ104" i="55"/>
  <c r="AH47" i="47" s="1"/>
  <c r="AJ47" i="47" s="1"/>
  <c r="AF29" i="47"/>
  <c r="AP120" i="55"/>
  <c r="AG22" i="47" l="1"/>
  <c r="AQ118" i="55"/>
  <c r="AH22" i="47" s="1"/>
  <c r="AJ22" i="47" s="1"/>
  <c r="AG21" i="47"/>
  <c r="AQ116" i="55"/>
  <c r="AH21" i="47" s="1"/>
  <c r="AJ21" i="47" s="1"/>
  <c r="AG55" i="47"/>
  <c r="AQ132" i="55"/>
  <c r="AH55" i="47" s="1"/>
  <c r="AJ55" i="47" s="1"/>
  <c r="AG24" i="47"/>
  <c r="AQ121" i="55"/>
  <c r="AH24" i="47" s="1"/>
  <c r="AJ24" i="47" s="1"/>
  <c r="AG23" i="47"/>
  <c r="AQ123" i="55"/>
  <c r="AH23" i="47" s="1"/>
  <c r="AJ23" i="47" s="1"/>
  <c r="AG29" i="47"/>
  <c r="AQ120" i="55"/>
  <c r="AH29" i="47" s="1"/>
  <c r="AJ29" i="47" s="1"/>
  <c r="AG25" i="47"/>
  <c r="AQ119" i="55"/>
  <c r="AH25" i="47" s="1"/>
  <c r="AJ25" i="47" s="1"/>
  <c r="AG59" i="47"/>
  <c r="AQ133" i="55"/>
  <c r="AH59" i="47" s="1"/>
  <c r="AJ59" i="47" s="1"/>
  <c r="AG28" i="47"/>
  <c r="AQ122" i="55"/>
  <c r="AH28" i="47" s="1"/>
  <c r="AJ28" i="47" s="1"/>
  <c r="AG30" i="47"/>
  <c r="AQ124" i="55"/>
  <c r="AH30" i="47" s="1"/>
  <c r="AJ30" i="47" s="1"/>
  <c r="AQ117" i="55"/>
  <c r="AH27" i="47" s="1"/>
  <c r="AJ27" i="47" s="1"/>
  <c r="AG27" i="47"/>
  <c r="AQ115" i="55"/>
  <c r="AH26" i="47" s="1"/>
  <c r="AJ26" i="47" s="1"/>
  <c r="AG26" i="47"/>
  <c r="M100" i="60" l="1"/>
  <c r="M107" i="60"/>
  <c r="H82" i="47" l="1"/>
  <c r="N107" i="60"/>
  <c r="N100" i="60"/>
  <c r="H74" i="47"/>
  <c r="I74" i="47" l="1"/>
  <c r="O100" i="60"/>
  <c r="O107" i="60"/>
  <c r="I82" i="47"/>
  <c r="J82" i="47" l="1"/>
  <c r="P107" i="60"/>
  <c r="P100" i="60"/>
  <c r="J74" i="47"/>
  <c r="K74" i="47" l="1"/>
  <c r="Q100" i="60"/>
  <c r="K82" i="47"/>
  <c r="Q107" i="60"/>
  <c r="R107" i="60" l="1"/>
  <c r="L82" i="47"/>
  <c r="L74" i="47"/>
  <c r="R100" i="60"/>
  <c r="M82" i="47" l="1"/>
  <c r="S107" i="60"/>
  <c r="S100" i="60"/>
  <c r="M74" i="47"/>
  <c r="N74" i="47" l="1"/>
  <c r="T100" i="60"/>
  <c r="N82" i="47"/>
  <c r="T107" i="60"/>
  <c r="U100" i="60" l="1"/>
  <c r="O74" i="47"/>
  <c r="O82" i="47"/>
  <c r="U107" i="60"/>
  <c r="P82" i="47" l="1"/>
  <c r="V107" i="60"/>
  <c r="P74" i="47"/>
  <c r="V100" i="60"/>
  <c r="Q74" i="47" l="1"/>
  <c r="W100" i="60"/>
  <c r="Q82" i="47"/>
  <c r="W107" i="60"/>
  <c r="R82" i="47" l="1"/>
  <c r="X107" i="60"/>
  <c r="X100" i="60"/>
  <c r="R74" i="47"/>
  <c r="Y100" i="60" l="1"/>
  <c r="S74" i="47"/>
  <c r="S82" i="47"/>
  <c r="Y107" i="60"/>
  <c r="Z107" i="60" l="1"/>
  <c r="T82" i="47"/>
  <c r="Z100" i="60"/>
  <c r="T74" i="47"/>
  <c r="U74" i="47" l="1"/>
  <c r="AA100" i="60"/>
  <c r="AA107" i="60"/>
  <c r="U82" i="47"/>
  <c r="V82" i="47" l="1"/>
  <c r="AB107" i="60"/>
  <c r="V74" i="47"/>
  <c r="AB100" i="60"/>
  <c r="AC100" i="60" l="1"/>
  <c r="W74" i="47"/>
  <c r="W82" i="47"/>
  <c r="AC107" i="60"/>
  <c r="X82" i="47" l="1"/>
  <c r="AD107" i="60"/>
  <c r="X74" i="47"/>
  <c r="AD100" i="60"/>
  <c r="AE100" i="60" l="1"/>
  <c r="Y74" i="47"/>
  <c r="Y82" i="47"/>
  <c r="AE107" i="60"/>
  <c r="AF107" i="60" l="1"/>
  <c r="Z82" i="47"/>
  <c r="AF100" i="60"/>
  <c r="Z74" i="47"/>
  <c r="AA74" i="47" l="1"/>
  <c r="AG100" i="60"/>
  <c r="AG107" i="60"/>
  <c r="AA82" i="47"/>
  <c r="AH107" i="60" l="1"/>
  <c r="AB82" i="47"/>
  <c r="AB74" i="47"/>
  <c r="AH100" i="60"/>
  <c r="AC74" i="47" l="1"/>
  <c r="AI100" i="60"/>
  <c r="AI107" i="60"/>
  <c r="AC82" i="47"/>
  <c r="AD82" i="47" l="1"/>
  <c r="AJ107" i="60"/>
  <c r="AD74" i="47"/>
  <c r="AJ100" i="60"/>
  <c r="AE74" i="47" l="1"/>
  <c r="AK100" i="60"/>
  <c r="AK107" i="60"/>
  <c r="AE82" i="47"/>
  <c r="AF82" i="47" l="1"/>
  <c r="AL107" i="60"/>
  <c r="AL100" i="60"/>
  <c r="AF74" i="47"/>
  <c r="AG74" i="47" l="1"/>
  <c r="AM100" i="60"/>
  <c r="AH74" i="47" s="1"/>
  <c r="AJ74" i="47" s="1"/>
  <c r="AM107" i="60"/>
  <c r="AH82" i="47" s="1"/>
  <c r="AJ82" i="47" s="1"/>
  <c r="AG82" i="47"/>
  <c r="M103" i="60" l="1"/>
  <c r="N103" i="60" l="1"/>
  <c r="H73" i="47"/>
  <c r="M117" i="60"/>
  <c r="H67" i="47" l="1"/>
  <c r="N117" i="60"/>
  <c r="I73" i="47"/>
  <c r="O103" i="60"/>
  <c r="J73" i="47" l="1"/>
  <c r="P103" i="60"/>
  <c r="I67" i="47"/>
  <c r="O117" i="60"/>
  <c r="P117" i="60" l="1"/>
  <c r="J67" i="47"/>
  <c r="K73" i="47"/>
  <c r="Q103" i="60"/>
  <c r="R103" i="60" l="1"/>
  <c r="L73" i="47"/>
  <c r="Q117" i="60"/>
  <c r="K67" i="47"/>
  <c r="R117" i="60" l="1"/>
  <c r="L67" i="47"/>
  <c r="S103" i="60"/>
  <c r="M73" i="47"/>
  <c r="T103" i="60" l="1"/>
  <c r="N73" i="47"/>
  <c r="S117" i="60"/>
  <c r="M67" i="47"/>
  <c r="T117" i="60" l="1"/>
  <c r="N67" i="47"/>
  <c r="U103" i="60"/>
  <c r="O73" i="47"/>
  <c r="P73" i="47" l="1"/>
  <c r="V103" i="60"/>
  <c r="U117" i="60"/>
  <c r="O67" i="47"/>
  <c r="V117" i="60" l="1"/>
  <c r="P67" i="47"/>
  <c r="Q73" i="47"/>
  <c r="W103" i="60"/>
  <c r="M111" i="60"/>
  <c r="L82" i="60" l="1"/>
  <c r="L74" i="60"/>
  <c r="L77" i="60" s="1"/>
  <c r="L81" i="60"/>
  <c r="M101" i="60"/>
  <c r="L83" i="60"/>
  <c r="H80" i="47"/>
  <c r="N111" i="60"/>
  <c r="R73" i="47"/>
  <c r="X103" i="60"/>
  <c r="M115" i="60"/>
  <c r="M108" i="60"/>
  <c r="W117" i="60"/>
  <c r="Q67" i="47"/>
  <c r="N108" i="60" l="1"/>
  <c r="H76" i="47"/>
  <c r="L89" i="60"/>
  <c r="M81" i="60"/>
  <c r="M83" i="60"/>
  <c r="L91" i="60"/>
  <c r="L85" i="60"/>
  <c r="X117" i="60"/>
  <c r="R67" i="47"/>
  <c r="H63" i="47"/>
  <c r="N115" i="60"/>
  <c r="Y103" i="60"/>
  <c r="S73" i="47"/>
  <c r="L90" i="60"/>
  <c r="M82" i="60"/>
  <c r="M90" i="60" s="1"/>
  <c r="M112" i="60"/>
  <c r="M105" i="60"/>
  <c r="L84" i="60"/>
  <c r="M92" i="60"/>
  <c r="M118" i="60"/>
  <c r="M110" i="60"/>
  <c r="M104" i="60"/>
  <c r="O111" i="60"/>
  <c r="I80" i="47"/>
  <c r="H69" i="47"/>
  <c r="N101" i="60"/>
  <c r="N83" i="60" l="1"/>
  <c r="N116" i="60" s="1"/>
  <c r="I62" i="47" s="1"/>
  <c r="M91" i="60"/>
  <c r="N81" i="60"/>
  <c r="N102" i="60" s="1"/>
  <c r="M89" i="60"/>
  <c r="N104" i="60"/>
  <c r="H72" i="47"/>
  <c r="L92" i="60"/>
  <c r="M84" i="60"/>
  <c r="L93" i="60"/>
  <c r="M85" i="60"/>
  <c r="M109" i="60"/>
  <c r="H75" i="47" s="1"/>
  <c r="N82" i="60"/>
  <c r="N90" i="60" s="1"/>
  <c r="N105" i="60"/>
  <c r="H71" i="47"/>
  <c r="Z103" i="60"/>
  <c r="T73" i="47"/>
  <c r="M116" i="60"/>
  <c r="H62" i="47" s="1"/>
  <c r="I69" i="47"/>
  <c r="O101" i="60"/>
  <c r="N110" i="60"/>
  <c r="H81" i="47"/>
  <c r="O115" i="60"/>
  <c r="I63" i="47"/>
  <c r="J80" i="47"/>
  <c r="P111" i="60"/>
  <c r="N112" i="60"/>
  <c r="H79" i="47"/>
  <c r="M102" i="60"/>
  <c r="H66" i="47"/>
  <c r="N118" i="60"/>
  <c r="Y117" i="60"/>
  <c r="S67" i="47"/>
  <c r="I76" i="47"/>
  <c r="O108" i="60"/>
  <c r="O81" i="60" l="1"/>
  <c r="O89" i="60" s="1"/>
  <c r="N89" i="60"/>
  <c r="O83" i="60"/>
  <c r="O91" i="60" s="1"/>
  <c r="N91" i="60"/>
  <c r="N85" i="60"/>
  <c r="M93" i="60"/>
  <c r="K80" i="47"/>
  <c r="Q111" i="60"/>
  <c r="O105" i="60"/>
  <c r="I71" i="47"/>
  <c r="J63" i="47"/>
  <c r="P115" i="60"/>
  <c r="P101" i="60"/>
  <c r="J69" i="47"/>
  <c r="P108" i="60"/>
  <c r="J76" i="47"/>
  <c r="I68" i="47"/>
  <c r="H68" i="47"/>
  <c r="M74" i="60"/>
  <c r="M77" i="60" s="1"/>
  <c r="O82" i="60"/>
  <c r="O90" i="60" s="1"/>
  <c r="N109" i="60"/>
  <c r="I75" i="47" s="1"/>
  <c r="T67" i="47"/>
  <c r="Z117" i="60"/>
  <c r="U73" i="47"/>
  <c r="AA103" i="60"/>
  <c r="O112" i="60"/>
  <c r="I79" i="47"/>
  <c r="N84" i="60"/>
  <c r="N92" i="60" s="1"/>
  <c r="M113" i="60"/>
  <c r="H78" i="47" s="1"/>
  <c r="I66" i="47"/>
  <c r="O118" i="60"/>
  <c r="O110" i="60"/>
  <c r="I81" i="47"/>
  <c r="M119" i="60"/>
  <c r="H65" i="47" s="1"/>
  <c r="O104" i="60"/>
  <c r="I72" i="47"/>
  <c r="O85" i="60" l="1"/>
  <c r="O93" i="60" s="1"/>
  <c r="N93" i="60"/>
  <c r="N119" i="60"/>
  <c r="I65" i="47" s="1"/>
  <c r="P83" i="60"/>
  <c r="P91" i="60" s="1"/>
  <c r="O116" i="60"/>
  <c r="J62" i="47" s="1"/>
  <c r="P81" i="60"/>
  <c r="P89" i="60" s="1"/>
  <c r="O102" i="60"/>
  <c r="J68" i="47" s="1"/>
  <c r="P118" i="60"/>
  <c r="J66" i="47"/>
  <c r="P82" i="60"/>
  <c r="P90" i="60" s="1"/>
  <c r="O109" i="60"/>
  <c r="J71" i="47"/>
  <c r="P105" i="60"/>
  <c r="Q108" i="60"/>
  <c r="K76" i="47"/>
  <c r="P104" i="60"/>
  <c r="J72" i="47"/>
  <c r="N113" i="60"/>
  <c r="I78" i="47" s="1"/>
  <c r="O84" i="60"/>
  <c r="O92" i="60" s="1"/>
  <c r="Q101" i="60"/>
  <c r="K69" i="47"/>
  <c r="K63" i="47"/>
  <c r="Q115" i="60"/>
  <c r="V73" i="47"/>
  <c r="AB103" i="60"/>
  <c r="J79" i="47"/>
  <c r="P112" i="60"/>
  <c r="P110" i="60"/>
  <c r="J81" i="47"/>
  <c r="AA117" i="60"/>
  <c r="U67" i="47"/>
  <c r="N74" i="60"/>
  <c r="N77" i="60" s="1"/>
  <c r="R111" i="60"/>
  <c r="L80" i="47"/>
  <c r="P85" i="60" l="1"/>
  <c r="P93" i="60" s="1"/>
  <c r="O119" i="60"/>
  <c r="J65" i="47" s="1"/>
  <c r="Q81" i="60"/>
  <c r="Q89" i="60" s="1"/>
  <c r="P102" i="60"/>
  <c r="K68" i="47" s="1"/>
  <c r="Q83" i="60"/>
  <c r="Q91" i="60" s="1"/>
  <c r="P116" i="60"/>
  <c r="K62" i="47" s="1"/>
  <c r="L69" i="47"/>
  <c r="R101" i="60"/>
  <c r="Q105" i="60"/>
  <c r="K71" i="47"/>
  <c r="AC103" i="60"/>
  <c r="W73" i="47"/>
  <c r="P84" i="60"/>
  <c r="P92" i="60" s="1"/>
  <c r="O113" i="60"/>
  <c r="J78" i="47" s="1"/>
  <c r="V67" i="47"/>
  <c r="AB117" i="60"/>
  <c r="K81" i="47"/>
  <c r="Q110" i="60"/>
  <c r="J75" i="47"/>
  <c r="O74" i="60"/>
  <c r="O77" i="60" s="1"/>
  <c r="S111" i="60"/>
  <c r="M80" i="47"/>
  <c r="R115" i="60"/>
  <c r="L63" i="47"/>
  <c r="Q82" i="60"/>
  <c r="Q90" i="60" s="1"/>
  <c r="P109" i="60"/>
  <c r="Q104" i="60"/>
  <c r="K72" i="47"/>
  <c r="K66" i="47"/>
  <c r="Q118" i="60"/>
  <c r="L76" i="47"/>
  <c r="R108" i="60"/>
  <c r="K79" i="47"/>
  <c r="Q112" i="60"/>
  <c r="Q85" i="60" l="1"/>
  <c r="Q93" i="60" s="1"/>
  <c r="P119" i="60"/>
  <c r="K65" i="47" s="1"/>
  <c r="R83" i="60"/>
  <c r="R91" i="60" s="1"/>
  <c r="Q116" i="60"/>
  <c r="L62" i="47" s="1"/>
  <c r="R81" i="60"/>
  <c r="R89" i="60" s="1"/>
  <c r="Q102" i="60"/>
  <c r="L68" i="47" s="1"/>
  <c r="K75" i="47"/>
  <c r="P74" i="60"/>
  <c r="P77" i="60" s="1"/>
  <c r="AC117" i="60"/>
  <c r="W67" i="47"/>
  <c r="M63" i="47"/>
  <c r="S115" i="60"/>
  <c r="R82" i="60"/>
  <c r="R90" i="60" s="1"/>
  <c r="Q109" i="60"/>
  <c r="L79" i="47"/>
  <c r="R112" i="60"/>
  <c r="N80" i="47"/>
  <c r="T111" i="60"/>
  <c r="Q84" i="60"/>
  <c r="Q92" i="60" s="1"/>
  <c r="P113" i="60"/>
  <c r="K78" i="47" s="1"/>
  <c r="M76" i="47"/>
  <c r="S108" i="60"/>
  <c r="AD103" i="60"/>
  <c r="X73" i="47"/>
  <c r="R118" i="60"/>
  <c r="L66" i="47"/>
  <c r="R105" i="60"/>
  <c r="L71" i="47"/>
  <c r="L81" i="47"/>
  <c r="R110" i="60"/>
  <c r="M69" i="47"/>
  <c r="S101" i="60"/>
  <c r="L72" i="47"/>
  <c r="R104" i="60"/>
  <c r="R85" i="60" l="1"/>
  <c r="R93" i="60" s="1"/>
  <c r="Q119" i="60"/>
  <c r="L65" i="47" s="1"/>
  <c r="S81" i="60"/>
  <c r="S89" i="60" s="1"/>
  <c r="R102" i="60"/>
  <c r="M68" i="47" s="1"/>
  <c r="S83" i="60"/>
  <c r="S91" i="60" s="1"/>
  <c r="R116" i="60"/>
  <c r="M62" i="47" s="1"/>
  <c r="S110" i="60"/>
  <c r="M81" i="47"/>
  <c r="O80" i="47"/>
  <c r="U111" i="60"/>
  <c r="S112" i="60"/>
  <c r="M79" i="47"/>
  <c r="S105" i="60"/>
  <c r="M71" i="47"/>
  <c r="L75" i="47"/>
  <c r="Q74" i="60"/>
  <c r="Q77" i="60" s="1"/>
  <c r="M66" i="47"/>
  <c r="S118" i="60"/>
  <c r="S82" i="60"/>
  <c r="S90" i="60" s="1"/>
  <c r="R109" i="60"/>
  <c r="T115" i="60"/>
  <c r="N63" i="47"/>
  <c r="AE103" i="60"/>
  <c r="Y73" i="47"/>
  <c r="M72" i="47"/>
  <c r="S104" i="60"/>
  <c r="N76" i="47"/>
  <c r="T108" i="60"/>
  <c r="X67" i="47"/>
  <c r="AD117" i="60"/>
  <c r="T101" i="60"/>
  <c r="N69" i="47"/>
  <c r="R84" i="60"/>
  <c r="R92" i="60" s="1"/>
  <c r="Q113" i="60"/>
  <c r="L78" i="47" s="1"/>
  <c r="S85" i="60" l="1"/>
  <c r="S93" i="60" s="1"/>
  <c r="R119" i="60"/>
  <c r="M65" i="47" s="1"/>
  <c r="T83" i="60"/>
  <c r="T91" i="60" s="1"/>
  <c r="S116" i="60"/>
  <c r="N62" i="47" s="1"/>
  <c r="T81" i="60"/>
  <c r="T89" i="60" s="1"/>
  <c r="S102" i="60"/>
  <c r="N68" i="47" s="1"/>
  <c r="N66" i="47"/>
  <c r="T118" i="60"/>
  <c r="T104" i="60"/>
  <c r="N72" i="47"/>
  <c r="N71" i="47"/>
  <c r="T105" i="60"/>
  <c r="Y67" i="47"/>
  <c r="AE117" i="60"/>
  <c r="AF103" i="60"/>
  <c r="Z73" i="47"/>
  <c r="T112" i="60"/>
  <c r="N79" i="47"/>
  <c r="P80" i="47"/>
  <c r="V111" i="60"/>
  <c r="U108" i="60"/>
  <c r="O76" i="47"/>
  <c r="S84" i="60"/>
  <c r="S92" i="60" s="1"/>
  <c r="R113" i="60"/>
  <c r="M78" i="47" s="1"/>
  <c r="U115" i="60"/>
  <c r="O63" i="47"/>
  <c r="M75" i="47"/>
  <c r="R74" i="60"/>
  <c r="R77" i="60" s="1"/>
  <c r="U101" i="60"/>
  <c r="O69" i="47"/>
  <c r="T82" i="60"/>
  <c r="T90" i="60" s="1"/>
  <c r="S109" i="60"/>
  <c r="T110" i="60"/>
  <c r="N81" i="47"/>
  <c r="T85" i="60" l="1"/>
  <c r="T93" i="60" s="1"/>
  <c r="S119" i="60"/>
  <c r="N65" i="47" s="1"/>
  <c r="U81" i="60"/>
  <c r="U89" i="60" s="1"/>
  <c r="T102" i="60"/>
  <c r="O68" i="47" s="1"/>
  <c r="U83" i="60"/>
  <c r="U91" i="60" s="1"/>
  <c r="T116" i="60"/>
  <c r="O62" i="47" s="1"/>
  <c r="O71" i="47"/>
  <c r="U105" i="60"/>
  <c r="T84" i="60"/>
  <c r="T92" i="60" s="1"/>
  <c r="S113" i="60"/>
  <c r="N78" i="47" s="1"/>
  <c r="O79" i="47"/>
  <c r="U112" i="60"/>
  <c r="AG103" i="60"/>
  <c r="AA73" i="47"/>
  <c r="P63" i="47"/>
  <c r="V115" i="60"/>
  <c r="V108" i="60"/>
  <c r="P76" i="47"/>
  <c r="O72" i="47"/>
  <c r="U104" i="60"/>
  <c r="AF117" i="60"/>
  <c r="Z67" i="47"/>
  <c r="O81" i="47"/>
  <c r="U110" i="60"/>
  <c r="N75" i="47"/>
  <c r="S74" i="60"/>
  <c r="S77" i="60" s="1"/>
  <c r="W111" i="60"/>
  <c r="Q80" i="47"/>
  <c r="O66" i="47"/>
  <c r="U118" i="60"/>
  <c r="P69" i="47"/>
  <c r="V101" i="60"/>
  <c r="U82" i="60"/>
  <c r="U90" i="60" s="1"/>
  <c r="T109" i="60"/>
  <c r="U85" i="60" l="1"/>
  <c r="U93" i="60" s="1"/>
  <c r="T119" i="60"/>
  <c r="O65" i="47" s="1"/>
  <c r="V83" i="60"/>
  <c r="V91" i="60" s="1"/>
  <c r="U116" i="60"/>
  <c r="P62" i="47" s="1"/>
  <c r="V81" i="60"/>
  <c r="V89" i="60" s="1"/>
  <c r="U102" i="60"/>
  <c r="P68" i="47" s="1"/>
  <c r="Q63" i="47"/>
  <c r="W115" i="60"/>
  <c r="Q76" i="47"/>
  <c r="W108" i="60"/>
  <c r="AH103" i="60"/>
  <c r="AB73" i="47"/>
  <c r="V112" i="60"/>
  <c r="P79" i="47"/>
  <c r="P66" i="47"/>
  <c r="V118" i="60"/>
  <c r="R80" i="47"/>
  <c r="X111" i="60"/>
  <c r="O75" i="47"/>
  <c r="T74" i="60"/>
  <c r="T77" i="60" s="1"/>
  <c r="V82" i="60"/>
  <c r="V90" i="60" s="1"/>
  <c r="U109" i="60"/>
  <c r="AA67" i="47"/>
  <c r="AG117" i="60"/>
  <c r="U84" i="60"/>
  <c r="U92" i="60" s="1"/>
  <c r="T113" i="60"/>
  <c r="O78" i="47" s="1"/>
  <c r="P81" i="47"/>
  <c r="V110" i="60"/>
  <c r="W101" i="60"/>
  <c r="Q69" i="47"/>
  <c r="V104" i="60"/>
  <c r="P72" i="47"/>
  <c r="V105" i="60"/>
  <c r="P71" i="47"/>
  <c r="V85" i="60" l="1"/>
  <c r="V93" i="60" s="1"/>
  <c r="U119" i="60"/>
  <c r="P65" i="47" s="1"/>
  <c r="W81" i="60"/>
  <c r="W89" i="60" s="1"/>
  <c r="V102" i="60"/>
  <c r="Q68" i="47" s="1"/>
  <c r="W83" i="60"/>
  <c r="W91" i="60" s="1"/>
  <c r="V116" i="60"/>
  <c r="Q62" i="47" s="1"/>
  <c r="Y111" i="60"/>
  <c r="S80" i="47"/>
  <c r="R69" i="47"/>
  <c r="X101" i="60"/>
  <c r="Q81" i="47"/>
  <c r="W110" i="60"/>
  <c r="W118" i="60"/>
  <c r="Q66" i="47"/>
  <c r="U113" i="60"/>
  <c r="P78" i="47" s="1"/>
  <c r="V84" i="60"/>
  <c r="V92" i="60" s="1"/>
  <c r="Q79" i="47"/>
  <c r="W112" i="60"/>
  <c r="AB67" i="47"/>
  <c r="AH117" i="60"/>
  <c r="AI103" i="60"/>
  <c r="AC73" i="47"/>
  <c r="P75" i="47"/>
  <c r="U74" i="60"/>
  <c r="U77" i="60" s="1"/>
  <c r="R76" i="47"/>
  <c r="X108" i="60"/>
  <c r="Q71" i="47"/>
  <c r="W105" i="60"/>
  <c r="W82" i="60"/>
  <c r="W90" i="60" s="1"/>
  <c r="V109" i="60"/>
  <c r="R63" i="47"/>
  <c r="X115" i="60"/>
  <c r="Q72" i="47"/>
  <c r="W104" i="60"/>
  <c r="W85" i="60" l="1"/>
  <c r="W93" i="60" s="1"/>
  <c r="V119" i="60"/>
  <c r="Q65" i="47" s="1"/>
  <c r="X83" i="60"/>
  <c r="X91" i="60" s="1"/>
  <c r="W116" i="60"/>
  <c r="R62" i="47" s="1"/>
  <c r="X81" i="60"/>
  <c r="X89" i="60" s="1"/>
  <c r="W102" i="60"/>
  <c r="R68" i="47" s="1"/>
  <c r="X82" i="60"/>
  <c r="X90" i="60" s="1"/>
  <c r="W109" i="60"/>
  <c r="W84" i="60"/>
  <c r="W92" i="60" s="1"/>
  <c r="V113" i="60"/>
  <c r="Q78" i="47" s="1"/>
  <c r="Y108" i="60"/>
  <c r="S76" i="47"/>
  <c r="M114" i="60"/>
  <c r="X118" i="60"/>
  <c r="R66" i="47"/>
  <c r="R81" i="47"/>
  <c r="X110" i="60"/>
  <c r="R72" i="47"/>
  <c r="X104" i="60"/>
  <c r="M106" i="60"/>
  <c r="AD73" i="47"/>
  <c r="AJ103" i="60"/>
  <c r="Y101" i="60"/>
  <c r="S69" i="47"/>
  <c r="R71" i="47"/>
  <c r="X105" i="60"/>
  <c r="Y115" i="60"/>
  <c r="S63" i="47"/>
  <c r="AI117" i="60"/>
  <c r="AC67" i="47"/>
  <c r="Q75" i="47"/>
  <c r="V74" i="60"/>
  <c r="V77" i="60" s="1"/>
  <c r="R79" i="47"/>
  <c r="X112" i="60"/>
  <c r="Z111" i="60"/>
  <c r="T80" i="47"/>
  <c r="X85" i="60" l="1"/>
  <c r="X93" i="60" s="1"/>
  <c r="W119" i="60"/>
  <c r="R65" i="47" s="1"/>
  <c r="Y81" i="60"/>
  <c r="Y89" i="60" s="1"/>
  <c r="X102" i="60"/>
  <c r="S68" i="47" s="1"/>
  <c r="Y83" i="60"/>
  <c r="Y91" i="60" s="1"/>
  <c r="X116" i="60"/>
  <c r="S62" i="47" s="1"/>
  <c r="H64" i="47"/>
  <c r="N114" i="60"/>
  <c r="N106" i="60"/>
  <c r="H77" i="47"/>
  <c r="Z101" i="60"/>
  <c r="T69" i="47"/>
  <c r="Z115" i="60"/>
  <c r="T63" i="47"/>
  <c r="X84" i="60"/>
  <c r="X92" i="60" s="1"/>
  <c r="W113" i="60"/>
  <c r="R78" i="47" s="1"/>
  <c r="S71" i="47"/>
  <c r="Y105" i="60"/>
  <c r="Y104" i="60"/>
  <c r="S72" i="47"/>
  <c r="Z108" i="60"/>
  <c r="T76" i="47"/>
  <c r="AA111" i="60"/>
  <c r="U80" i="47"/>
  <c r="AJ117" i="60"/>
  <c r="AD67" i="47"/>
  <c r="Y110" i="60"/>
  <c r="S81" i="47"/>
  <c r="S79" i="47"/>
  <c r="Y112" i="60"/>
  <c r="AK103" i="60"/>
  <c r="AE73" i="47"/>
  <c r="R75" i="47"/>
  <c r="W74" i="60"/>
  <c r="W77" i="60" s="1"/>
  <c r="Y118" i="60"/>
  <c r="S66" i="47"/>
  <c r="Y82" i="60"/>
  <c r="Y90" i="60" s="1"/>
  <c r="X109" i="60"/>
  <c r="Y85" i="60" l="1"/>
  <c r="Y93" i="60" s="1"/>
  <c r="X119" i="60"/>
  <c r="S65" i="47" s="1"/>
  <c r="Z83" i="60"/>
  <c r="Z91" i="60" s="1"/>
  <c r="Y116" i="60"/>
  <c r="T62" i="47" s="1"/>
  <c r="Z81" i="60"/>
  <c r="Z89" i="60" s="1"/>
  <c r="Y102" i="60"/>
  <c r="T68" i="47" s="1"/>
  <c r="Z110" i="60"/>
  <c r="T81" i="47"/>
  <c r="S75" i="47"/>
  <c r="X74" i="60"/>
  <c r="X77" i="60" s="1"/>
  <c r="Y84" i="60"/>
  <c r="Y92" i="60" s="1"/>
  <c r="X113" i="60"/>
  <c r="S78" i="47" s="1"/>
  <c r="Z82" i="60"/>
  <c r="Z90" i="60" s="1"/>
  <c r="Y109" i="60"/>
  <c r="AK117" i="60"/>
  <c r="AE67" i="47"/>
  <c r="M99" i="60"/>
  <c r="AA115" i="60"/>
  <c r="U63" i="47"/>
  <c r="T66" i="47"/>
  <c r="Z118" i="60"/>
  <c r="AB111" i="60"/>
  <c r="V80" i="47"/>
  <c r="U69" i="47"/>
  <c r="AA101" i="60"/>
  <c r="O106" i="60"/>
  <c r="I77" i="47"/>
  <c r="AA108" i="60"/>
  <c r="U76" i="47"/>
  <c r="AL103" i="60"/>
  <c r="AF73" i="47"/>
  <c r="Z104" i="60"/>
  <c r="T72" i="47"/>
  <c r="I64" i="47"/>
  <c r="O114" i="60"/>
  <c r="Z112" i="60"/>
  <c r="T79" i="47"/>
  <c r="T71" i="47"/>
  <c r="Z105" i="60"/>
  <c r="Z85" i="60" l="1"/>
  <c r="Z93" i="60" s="1"/>
  <c r="Y119" i="60"/>
  <c r="T65" i="47" s="1"/>
  <c r="AA81" i="60"/>
  <c r="AA89" i="60" s="1"/>
  <c r="Z102" i="60"/>
  <c r="U68" i="47" s="1"/>
  <c r="AA83" i="60"/>
  <c r="AA91" i="60" s="1"/>
  <c r="Z116" i="60"/>
  <c r="U62" i="47" s="1"/>
  <c r="AB101" i="60"/>
  <c r="V69" i="47"/>
  <c r="P106" i="60"/>
  <c r="J77" i="47"/>
  <c r="AA112" i="60"/>
  <c r="U79" i="47"/>
  <c r="AA105" i="60"/>
  <c r="U71" i="47"/>
  <c r="AA110" i="60"/>
  <c r="U81" i="47"/>
  <c r="J64" i="47"/>
  <c r="P114" i="60"/>
  <c r="U66" i="47"/>
  <c r="AA118" i="60"/>
  <c r="T75" i="47"/>
  <c r="Y74" i="60"/>
  <c r="Y77" i="60" s="1"/>
  <c r="AA104" i="60"/>
  <c r="U72" i="47"/>
  <c r="AA82" i="60"/>
  <c r="AA90" i="60" s="1"/>
  <c r="Z109" i="60"/>
  <c r="AC111" i="60"/>
  <c r="W80" i="47"/>
  <c r="AF67" i="47"/>
  <c r="AL117" i="60"/>
  <c r="AG73" i="47"/>
  <c r="AM103" i="60"/>
  <c r="AH73" i="47" s="1"/>
  <c r="AJ73" i="47" s="1"/>
  <c r="V63" i="47"/>
  <c r="AB115" i="60"/>
  <c r="Z84" i="60"/>
  <c r="Z92" i="60" s="1"/>
  <c r="Y113" i="60"/>
  <c r="T78" i="47" s="1"/>
  <c r="AB108" i="60"/>
  <c r="V76" i="47"/>
  <c r="H70" i="47"/>
  <c r="N99" i="60"/>
  <c r="AA85" i="60" l="1"/>
  <c r="AA93" i="60" s="1"/>
  <c r="Z119" i="60"/>
  <c r="U65" i="47" s="1"/>
  <c r="AB83" i="60"/>
  <c r="AB91" i="60" s="1"/>
  <c r="AA116" i="60"/>
  <c r="V62" i="47" s="1"/>
  <c r="AB81" i="60"/>
  <c r="AB89" i="60" s="1"/>
  <c r="AA102" i="60"/>
  <c r="V68" i="47" s="1"/>
  <c r="AG67" i="47"/>
  <c r="AM117" i="60"/>
  <c r="AH67" i="47" s="1"/>
  <c r="AJ67" i="47" s="1"/>
  <c r="Q114" i="60"/>
  <c r="K64" i="47"/>
  <c r="K77" i="47"/>
  <c r="Q106" i="60"/>
  <c r="O99" i="60"/>
  <c r="I70" i="47"/>
  <c r="X80" i="47"/>
  <c r="AD111" i="60"/>
  <c r="AB110" i="60"/>
  <c r="V81" i="47"/>
  <c r="U75" i="47"/>
  <c r="Z74" i="60"/>
  <c r="Z77" i="60" s="1"/>
  <c r="W76" i="47"/>
  <c r="AC108" i="60"/>
  <c r="AB82" i="60"/>
  <c r="AB90" i="60" s="1"/>
  <c r="AA109" i="60"/>
  <c r="AB105" i="60"/>
  <c r="V71" i="47"/>
  <c r="AA84" i="60"/>
  <c r="AA92" i="60" s="1"/>
  <c r="Z113" i="60"/>
  <c r="U78" i="47" s="1"/>
  <c r="V72" i="47"/>
  <c r="AB104" i="60"/>
  <c r="AB112" i="60"/>
  <c r="V79" i="47"/>
  <c r="W63" i="47"/>
  <c r="AC115" i="60"/>
  <c r="AB118" i="60"/>
  <c r="V66" i="47"/>
  <c r="W69" i="47"/>
  <c r="AC101" i="60"/>
  <c r="AB85" i="60" l="1"/>
  <c r="AB93" i="60" s="1"/>
  <c r="AA119" i="60"/>
  <c r="V65" i="47" s="1"/>
  <c r="AC81" i="60"/>
  <c r="AC89" i="60" s="1"/>
  <c r="AB102" i="60"/>
  <c r="W68" i="47" s="1"/>
  <c r="AC83" i="60"/>
  <c r="AC91" i="60" s="1"/>
  <c r="AB116" i="60"/>
  <c r="W62" i="47" s="1"/>
  <c r="AC110" i="60"/>
  <c r="W81" i="47"/>
  <c r="AE111" i="60"/>
  <c r="Y80" i="47"/>
  <c r="AD101" i="60"/>
  <c r="X69" i="47"/>
  <c r="AB84" i="60"/>
  <c r="AB92" i="60" s="1"/>
  <c r="AA113" i="60"/>
  <c r="V78" i="47" s="1"/>
  <c r="AC105" i="60"/>
  <c r="W71" i="47"/>
  <c r="P99" i="60"/>
  <c r="J70" i="47"/>
  <c r="V75" i="47"/>
  <c r="AA74" i="60"/>
  <c r="AA77" i="60" s="1"/>
  <c r="L77" i="47"/>
  <c r="R106" i="60"/>
  <c r="AC118" i="60"/>
  <c r="W66" i="47"/>
  <c r="AC82" i="60"/>
  <c r="AC90" i="60" s="1"/>
  <c r="AB109" i="60"/>
  <c r="AD115" i="60"/>
  <c r="X63" i="47"/>
  <c r="X76" i="47"/>
  <c r="AD108" i="60"/>
  <c r="AC112" i="60"/>
  <c r="W79" i="47"/>
  <c r="AC104" i="60"/>
  <c r="W72" i="47"/>
  <c r="L64" i="47"/>
  <c r="R114" i="60"/>
  <c r="AC85" i="60" l="1"/>
  <c r="AC93" i="60" s="1"/>
  <c r="AB119" i="60"/>
  <c r="W65" i="47" s="1"/>
  <c r="AD83" i="60"/>
  <c r="AD91" i="60" s="1"/>
  <c r="AC116" i="60"/>
  <c r="X62" i="47" s="1"/>
  <c r="AD81" i="60"/>
  <c r="AD89" i="60" s="1"/>
  <c r="AC102" i="60"/>
  <c r="X68" i="47" s="1"/>
  <c r="AE108" i="60"/>
  <c r="Y76" i="47"/>
  <c r="AE115" i="60"/>
  <c r="Y63" i="47"/>
  <c r="AD105" i="60"/>
  <c r="X71" i="47"/>
  <c r="Q99" i="60"/>
  <c r="K70" i="47"/>
  <c r="AD82" i="60"/>
  <c r="AD90" i="60" s="1"/>
  <c r="AC109" i="60"/>
  <c r="AC84" i="60"/>
  <c r="AC92" i="60" s="1"/>
  <c r="AB113" i="60"/>
  <c r="W78" i="47" s="1"/>
  <c r="W75" i="47"/>
  <c r="AB74" i="60"/>
  <c r="AB77" i="60" s="1"/>
  <c r="M64" i="47"/>
  <c r="S114" i="60"/>
  <c r="AD118" i="60"/>
  <c r="X66" i="47"/>
  <c r="AE101" i="60"/>
  <c r="Y69" i="47"/>
  <c r="M77" i="47"/>
  <c r="S106" i="60"/>
  <c r="X72" i="47"/>
  <c r="AD104" i="60"/>
  <c r="Z80" i="47"/>
  <c r="AF111" i="60"/>
  <c r="AD112" i="60"/>
  <c r="X79" i="47"/>
  <c r="AD110" i="60"/>
  <c r="X81" i="47"/>
  <c r="AD85" i="60" l="1"/>
  <c r="AD93" i="60" s="1"/>
  <c r="AC119" i="60"/>
  <c r="X65" i="47" s="1"/>
  <c r="AE81" i="60"/>
  <c r="AE89" i="60" s="1"/>
  <c r="AD102" i="60"/>
  <c r="Y68" i="47" s="1"/>
  <c r="AE83" i="60"/>
  <c r="AE91" i="60" s="1"/>
  <c r="AD116" i="60"/>
  <c r="Y62" i="47" s="1"/>
  <c r="AE104" i="60"/>
  <c r="Y72" i="47"/>
  <c r="N77" i="47"/>
  <c r="T106" i="60"/>
  <c r="X75" i="47"/>
  <c r="AC74" i="60"/>
  <c r="AC77" i="60" s="1"/>
  <c r="AF108" i="60"/>
  <c r="Z76" i="47"/>
  <c r="AF101" i="60"/>
  <c r="Z69" i="47"/>
  <c r="R99" i="60"/>
  <c r="L70" i="47"/>
  <c r="AD84" i="60"/>
  <c r="AD92" i="60" s="1"/>
  <c r="AC113" i="60"/>
  <c r="X78" i="47" s="1"/>
  <c r="AE82" i="60"/>
  <c r="AE90" i="60" s="1"/>
  <c r="AD109" i="60"/>
  <c r="Y81" i="47"/>
  <c r="AE110" i="60"/>
  <c r="AE118" i="60"/>
  <c r="Y66" i="47"/>
  <c r="AE105" i="60"/>
  <c r="Y71" i="47"/>
  <c r="T114" i="60"/>
  <c r="N64" i="47"/>
  <c r="AE112" i="60"/>
  <c r="Y79" i="47"/>
  <c r="Z63" i="47"/>
  <c r="AF115" i="60"/>
  <c r="AA80" i="47"/>
  <c r="AG111" i="60"/>
  <c r="AE85" i="60" l="1"/>
  <c r="AE93" i="60" s="1"/>
  <c r="AD119" i="60"/>
  <c r="Y65" i="47" s="1"/>
  <c r="AF83" i="60"/>
  <c r="AF91" i="60" s="1"/>
  <c r="AE116" i="60"/>
  <c r="Z62" i="47" s="1"/>
  <c r="AF81" i="60"/>
  <c r="AF89" i="60" s="1"/>
  <c r="AE102" i="60"/>
  <c r="Z68" i="47" s="1"/>
  <c r="Z79" i="47"/>
  <c r="AF112" i="60"/>
  <c r="U114" i="60"/>
  <c r="O64" i="47"/>
  <c r="AG108" i="60"/>
  <c r="AA76" i="47"/>
  <c r="Z81" i="47"/>
  <c r="AF110" i="60"/>
  <c r="AF104" i="60"/>
  <c r="Z72" i="47"/>
  <c r="M70" i="47"/>
  <c r="S99" i="60"/>
  <c r="AB80" i="47"/>
  <c r="AH111" i="60"/>
  <c r="AA63" i="47"/>
  <c r="AG115" i="60"/>
  <c r="Y75" i="47"/>
  <c r="AD74" i="60"/>
  <c r="AD77" i="60" s="1"/>
  <c r="U106" i="60"/>
  <c r="O77" i="47"/>
  <c r="AE84" i="60"/>
  <c r="AE92" i="60" s="1"/>
  <c r="AD113" i="60"/>
  <c r="Y78" i="47" s="1"/>
  <c r="AF105" i="60"/>
  <c r="Z71" i="47"/>
  <c r="AF118" i="60"/>
  <c r="Z66" i="47"/>
  <c r="AF82" i="60"/>
  <c r="AF90" i="60" s="1"/>
  <c r="AE109" i="60"/>
  <c r="AG101" i="60"/>
  <c r="AA69" i="47"/>
  <c r="AF85" i="60" l="1"/>
  <c r="AF93" i="60" s="1"/>
  <c r="AE119" i="60"/>
  <c r="Z65" i="47" s="1"/>
  <c r="AG81" i="60"/>
  <c r="AG89" i="60" s="1"/>
  <c r="AF102" i="60"/>
  <c r="AA68" i="47" s="1"/>
  <c r="AG83" i="60"/>
  <c r="AG91" i="60" s="1"/>
  <c r="AF116" i="60"/>
  <c r="AA62" i="47" s="1"/>
  <c r="T99" i="60"/>
  <c r="N70" i="47"/>
  <c r="AG105" i="60"/>
  <c r="AA71" i="47"/>
  <c r="AA81" i="47"/>
  <c r="AG110" i="60"/>
  <c r="AA66" i="47"/>
  <c r="AG118" i="60"/>
  <c r="V106" i="60"/>
  <c r="P77" i="47"/>
  <c r="AH101" i="60"/>
  <c r="AB69" i="47"/>
  <c r="AB76" i="47"/>
  <c r="AH108" i="60"/>
  <c r="AF84" i="60"/>
  <c r="AF92" i="60" s="1"/>
  <c r="AE113" i="60"/>
  <c r="Z78" i="47" s="1"/>
  <c r="Z75" i="47"/>
  <c r="AE74" i="60"/>
  <c r="AE77" i="60" s="1"/>
  <c r="AB63" i="47"/>
  <c r="AH115" i="60"/>
  <c r="AG104" i="60"/>
  <c r="AA72" i="47"/>
  <c r="AG82" i="60"/>
  <c r="AG90" i="60" s="1"/>
  <c r="AF109" i="60"/>
  <c r="V114" i="60"/>
  <c r="P64" i="47"/>
  <c r="AI111" i="60"/>
  <c r="AC80" i="47"/>
  <c r="AA79" i="47"/>
  <c r="AG112" i="60"/>
  <c r="AG85" i="60" l="1"/>
  <c r="AG93" i="60" s="1"/>
  <c r="AF119" i="60"/>
  <c r="AA65" i="47" s="1"/>
  <c r="AH83" i="60"/>
  <c r="AH91" i="60" s="1"/>
  <c r="AG116" i="60"/>
  <c r="AB62" i="47" s="1"/>
  <c r="AH81" i="60"/>
  <c r="AH89" i="60" s="1"/>
  <c r="AG102" i="60"/>
  <c r="AB68" i="47" s="1"/>
  <c r="Q77" i="47"/>
  <c r="W106" i="60"/>
  <c r="AH118" i="60"/>
  <c r="AB66" i="47"/>
  <c r="AH82" i="60"/>
  <c r="AH90" i="60" s="1"/>
  <c r="AG109" i="60"/>
  <c r="AI101" i="60"/>
  <c r="AC69" i="47"/>
  <c r="AB81" i="47"/>
  <c r="AH110" i="60"/>
  <c r="AB72" i="47"/>
  <c r="AH104" i="60"/>
  <c r="AH112" i="60"/>
  <c r="AB79" i="47"/>
  <c r="AC63" i="47"/>
  <c r="AI115" i="60"/>
  <c r="AD80" i="47"/>
  <c r="AJ111" i="60"/>
  <c r="AG84" i="60"/>
  <c r="AG92" i="60" s="1"/>
  <c r="AF113" i="60"/>
  <c r="AA78" i="47" s="1"/>
  <c r="AH105" i="60"/>
  <c r="AB71" i="47"/>
  <c r="Q64" i="47"/>
  <c r="W114" i="60"/>
  <c r="AC76" i="47"/>
  <c r="AI108" i="60"/>
  <c r="AA75" i="47"/>
  <c r="AF74" i="60"/>
  <c r="AF77" i="60" s="1"/>
  <c r="U99" i="60"/>
  <c r="O70" i="47"/>
  <c r="AH85" i="60" l="1"/>
  <c r="AH93" i="60" s="1"/>
  <c r="AG119" i="60"/>
  <c r="AB65" i="47" s="1"/>
  <c r="AI81" i="60"/>
  <c r="AI89" i="60" s="1"/>
  <c r="AH102" i="60"/>
  <c r="AC68" i="47" s="1"/>
  <c r="AI83" i="60"/>
  <c r="AI91" i="60" s="1"/>
  <c r="AH116" i="60"/>
  <c r="AC62" i="47" s="1"/>
  <c r="AJ101" i="60"/>
  <c r="AD69" i="47"/>
  <c r="AC81" i="47"/>
  <c r="AI110" i="60"/>
  <c r="AB75" i="47"/>
  <c r="AG74" i="60"/>
  <c r="AG77" i="60" s="1"/>
  <c r="AI112" i="60"/>
  <c r="AC79" i="47"/>
  <c r="AI105" i="60"/>
  <c r="AC71" i="47"/>
  <c r="AH84" i="60"/>
  <c r="AH92" i="60" s="1"/>
  <c r="AG113" i="60"/>
  <c r="AB78" i="47" s="1"/>
  <c r="AI82" i="60"/>
  <c r="AI90" i="60" s="1"/>
  <c r="AH109" i="60"/>
  <c r="R64" i="47"/>
  <c r="X114" i="60"/>
  <c r="AK111" i="60"/>
  <c r="AE80" i="47"/>
  <c r="AC66" i="47"/>
  <c r="AI118" i="60"/>
  <c r="AI104" i="60"/>
  <c r="AC72" i="47"/>
  <c r="P70" i="47"/>
  <c r="V99" i="60"/>
  <c r="AD63" i="47"/>
  <c r="AJ115" i="60"/>
  <c r="AJ108" i="60"/>
  <c r="AD76" i="47"/>
  <c r="R77" i="47"/>
  <c r="X106" i="60"/>
  <c r="AI85" i="60" l="1"/>
  <c r="AI93" i="60" s="1"/>
  <c r="AH119" i="60"/>
  <c r="AC65" i="47" s="1"/>
  <c r="AJ83" i="60"/>
  <c r="AJ91" i="60" s="1"/>
  <c r="AI116" i="60"/>
  <c r="AD62" i="47" s="1"/>
  <c r="AJ81" i="60"/>
  <c r="AJ89" i="60" s="1"/>
  <c r="AI102" i="60"/>
  <c r="AD68" i="47" s="1"/>
  <c r="AJ105" i="60"/>
  <c r="AD71" i="47"/>
  <c r="AD79" i="47"/>
  <c r="AJ112" i="60"/>
  <c r="W99" i="60"/>
  <c r="Q70" i="47"/>
  <c r="AI84" i="60"/>
  <c r="AI92" i="60" s="1"/>
  <c r="AH113" i="60"/>
  <c r="AC78" i="47" s="1"/>
  <c r="AD72" i="47"/>
  <c r="AJ104" i="60"/>
  <c r="AF80" i="47"/>
  <c r="AL111" i="60"/>
  <c r="Y114" i="60"/>
  <c r="S64" i="47"/>
  <c r="AD81" i="47"/>
  <c r="AJ110" i="60"/>
  <c r="S77" i="47"/>
  <c r="Y106" i="60"/>
  <c r="AJ118" i="60"/>
  <c r="AD66" i="47"/>
  <c r="AE76" i="47"/>
  <c r="AK108" i="60"/>
  <c r="AK115" i="60"/>
  <c r="AE63" i="47"/>
  <c r="AC75" i="47"/>
  <c r="AH74" i="60"/>
  <c r="AH77" i="60" s="1"/>
  <c r="AJ82" i="60"/>
  <c r="AJ90" i="60" s="1"/>
  <c r="AI109" i="60"/>
  <c r="AK101" i="60"/>
  <c r="AE69" i="47"/>
  <c r="AJ85" i="60" l="1"/>
  <c r="AJ93" i="60" s="1"/>
  <c r="AI119" i="60"/>
  <c r="AD65" i="47" s="1"/>
  <c r="AK81" i="60"/>
  <c r="AK89" i="60" s="1"/>
  <c r="AJ102" i="60"/>
  <c r="AE68" i="47" s="1"/>
  <c r="AK83" i="60"/>
  <c r="AK91" i="60" s="1"/>
  <c r="AJ116" i="60"/>
  <c r="AE62" i="47" s="1"/>
  <c r="AE71" i="47"/>
  <c r="AK105" i="60"/>
  <c r="AJ84" i="60"/>
  <c r="AJ92" i="60" s="1"/>
  <c r="AI113" i="60"/>
  <c r="AD78" i="47" s="1"/>
  <c r="Z114" i="60"/>
  <c r="T64" i="47"/>
  <c r="AE72" i="47"/>
  <c r="AK104" i="60"/>
  <c r="X99" i="60"/>
  <c r="R70" i="47"/>
  <c r="AL115" i="60"/>
  <c r="AF63" i="47"/>
  <c r="AL101" i="60"/>
  <c r="AF69" i="47"/>
  <c r="AE79" i="47"/>
  <c r="AK112" i="60"/>
  <c r="AG80" i="47"/>
  <c r="AM111" i="60"/>
  <c r="AH80" i="47" s="1"/>
  <c r="AJ80" i="47" s="1"/>
  <c r="AL108" i="60"/>
  <c r="AF76" i="47"/>
  <c r="AK118" i="60"/>
  <c r="AE66" i="47"/>
  <c r="Z106" i="60"/>
  <c r="T77" i="47"/>
  <c r="AK82" i="60"/>
  <c r="AK90" i="60" s="1"/>
  <c r="AJ109" i="60"/>
  <c r="AD75" i="47"/>
  <c r="AI74" i="60"/>
  <c r="AI77" i="60" s="1"/>
  <c r="AE81" i="47"/>
  <c r="AK110" i="60"/>
  <c r="AK85" i="60" l="1"/>
  <c r="AK93" i="60" s="1"/>
  <c r="AJ119" i="60"/>
  <c r="AE65" i="47" s="1"/>
  <c r="AL83" i="60"/>
  <c r="AL91" i="60" s="1"/>
  <c r="AK116" i="60"/>
  <c r="AF62" i="47" s="1"/>
  <c r="AK102" i="60"/>
  <c r="AF68" i="47" s="1"/>
  <c r="AL81" i="60"/>
  <c r="AL89" i="60" s="1"/>
  <c r="AF66" i="47"/>
  <c r="AL118" i="60"/>
  <c r="AL104" i="60"/>
  <c r="AF72" i="47"/>
  <c r="AF81" i="47"/>
  <c r="AL110" i="60"/>
  <c r="AA114" i="60"/>
  <c r="U64" i="47"/>
  <c r="AA106" i="60"/>
  <c r="U77" i="47"/>
  <c r="AG76" i="47"/>
  <c r="AM108" i="60"/>
  <c r="AH76" i="47" s="1"/>
  <c r="AJ76" i="47" s="1"/>
  <c r="AK84" i="60"/>
  <c r="AK92" i="60" s="1"/>
  <c r="AJ113" i="60"/>
  <c r="AE78" i="47" s="1"/>
  <c r="AM115" i="60"/>
  <c r="AH63" i="47" s="1"/>
  <c r="AJ63" i="47" s="1"/>
  <c r="AG63" i="47"/>
  <c r="AE75" i="47"/>
  <c r="AJ74" i="60"/>
  <c r="AJ77" i="60" s="1"/>
  <c r="AF71" i="47"/>
  <c r="AL105" i="60"/>
  <c r="S70" i="47"/>
  <c r="Y99" i="60"/>
  <c r="AF79" i="47"/>
  <c r="AL112" i="60"/>
  <c r="AL82" i="60"/>
  <c r="AL90" i="60" s="1"/>
  <c r="AK109" i="60"/>
  <c r="AG69" i="47"/>
  <c r="AM101" i="60"/>
  <c r="AH69" i="47" s="1"/>
  <c r="AJ69" i="47" s="1"/>
  <c r="AL85" i="60" l="1"/>
  <c r="AL93" i="60" s="1"/>
  <c r="AK119" i="60"/>
  <c r="AF65" i="47" s="1"/>
  <c r="AM81" i="60"/>
  <c r="AL102" i="60"/>
  <c r="AG68" i="47" s="1"/>
  <c r="AM83" i="60"/>
  <c r="AL116" i="60"/>
  <c r="AG62" i="47" s="1"/>
  <c r="AB106" i="60"/>
  <c r="V77" i="47"/>
  <c r="V64" i="47"/>
  <c r="AB114" i="60"/>
  <c r="AG71" i="47"/>
  <c r="AM105" i="60"/>
  <c r="AH71" i="47" s="1"/>
  <c r="AJ71" i="47" s="1"/>
  <c r="AG81" i="47"/>
  <c r="AM110" i="60"/>
  <c r="AH81" i="47" s="1"/>
  <c r="AJ81" i="47" s="1"/>
  <c r="AM112" i="60"/>
  <c r="AH79" i="47" s="1"/>
  <c r="AJ79" i="47" s="1"/>
  <c r="AG79" i="47"/>
  <c r="AM104" i="60"/>
  <c r="AH72" i="47" s="1"/>
  <c r="AJ72" i="47" s="1"/>
  <c r="AG72" i="47"/>
  <c r="AG66" i="47"/>
  <c r="AM118" i="60"/>
  <c r="AH66" i="47" s="1"/>
  <c r="AJ66" i="47" s="1"/>
  <c r="Z99" i="60"/>
  <c r="T70" i="47"/>
  <c r="AF75" i="47"/>
  <c r="AK74" i="60"/>
  <c r="AK77" i="60" s="1"/>
  <c r="AM82" i="60"/>
  <c r="AL109" i="60"/>
  <c r="AL84" i="60"/>
  <c r="AL92" i="60" s="1"/>
  <c r="AK113" i="60"/>
  <c r="AF78" i="47" s="1"/>
  <c r="AM116" i="60" l="1"/>
  <c r="AH62" i="47" s="1"/>
  <c r="AJ62" i="47" s="1"/>
  <c r="AM91" i="60"/>
  <c r="AM102" i="60"/>
  <c r="AH68" i="47" s="1"/>
  <c r="AJ68" i="47" s="1"/>
  <c r="AM89" i="60"/>
  <c r="AM109" i="60"/>
  <c r="AH75" i="47" s="1"/>
  <c r="AJ75" i="47" s="1"/>
  <c r="AM90" i="60"/>
  <c r="AM85" i="60"/>
  <c r="AL119" i="60"/>
  <c r="AG65" i="47" s="1"/>
  <c r="AM84" i="60"/>
  <c r="AL113" i="60"/>
  <c r="AG78" i="47" s="1"/>
  <c r="AC114" i="60"/>
  <c r="W64" i="47"/>
  <c r="AG75" i="47"/>
  <c r="AL74" i="60"/>
  <c r="AL77" i="60" s="1"/>
  <c r="U70" i="47"/>
  <c r="AA99" i="60"/>
  <c r="W77" i="47"/>
  <c r="AC106" i="60"/>
  <c r="AM74" i="60" l="1"/>
  <c r="AM77" i="60" s="1"/>
  <c r="AM113" i="60"/>
  <c r="AH78" i="47" s="1"/>
  <c r="AJ78" i="47" s="1"/>
  <c r="AM92" i="60"/>
  <c r="AM119" i="60"/>
  <c r="AH65" i="47" s="1"/>
  <c r="AJ65" i="47" s="1"/>
  <c r="AM93" i="60"/>
  <c r="AD106" i="60"/>
  <c r="X77" i="47"/>
  <c r="AB99" i="60"/>
  <c r="V70" i="47"/>
  <c r="X64" i="47"/>
  <c r="AD114" i="60"/>
  <c r="AE114" i="60" l="1"/>
  <c r="Y64" i="47"/>
  <c r="W70" i="47"/>
  <c r="AC99" i="60"/>
  <c r="AE106" i="60"/>
  <c r="Y77" i="47"/>
  <c r="X70" i="47" l="1"/>
  <c r="AD99" i="60"/>
  <c r="AF106" i="60"/>
  <c r="Z77" i="47"/>
  <c r="AF114" i="60"/>
  <c r="Z64" i="47"/>
  <c r="AG114" i="60" l="1"/>
  <c r="AA64" i="47"/>
  <c r="AG106" i="60"/>
  <c r="AA77" i="47"/>
  <c r="AE99" i="60"/>
  <c r="Y70" i="47"/>
  <c r="Z70" i="47" l="1"/>
  <c r="AF99" i="60"/>
  <c r="AH106" i="60"/>
  <c r="AB77" i="47"/>
  <c r="AB64" i="47"/>
  <c r="AH114" i="60"/>
  <c r="AI106" i="60" l="1"/>
  <c r="AC77" i="47"/>
  <c r="AI114" i="60"/>
  <c r="AC64" i="47"/>
  <c r="AG99" i="60"/>
  <c r="AA70" i="47"/>
  <c r="AH99" i="60" l="1"/>
  <c r="AB70" i="47"/>
  <c r="AJ114" i="60"/>
  <c r="AD64" i="47"/>
  <c r="AJ106" i="60"/>
  <c r="AD77" i="47"/>
  <c r="AE77" i="47" l="1"/>
  <c r="AK106" i="60"/>
  <c r="AK114" i="60"/>
  <c r="AE64" i="47"/>
  <c r="AI99" i="60"/>
  <c r="AC70" i="47"/>
  <c r="AJ99" i="60" l="1"/>
  <c r="AD70" i="47"/>
  <c r="AL106" i="60"/>
  <c r="AF77" i="47"/>
  <c r="AL114" i="60"/>
  <c r="AF64" i="47"/>
  <c r="AM114" i="60" l="1"/>
  <c r="AH64" i="47" s="1"/>
  <c r="AJ64" i="47" s="1"/>
  <c r="AG64" i="47"/>
  <c r="AM106" i="60"/>
  <c r="AH77" i="47" s="1"/>
  <c r="AJ77" i="47" s="1"/>
  <c r="AG77" i="47"/>
  <c r="AE70" i="47"/>
  <c r="AK99" i="60"/>
  <c r="AL99" i="60" l="1"/>
  <c r="AF70" i="47"/>
  <c r="AG70" i="47" l="1"/>
  <c r="AM99" i="60"/>
  <c r="AH70" i="47" s="1"/>
  <c r="AJ70" i="47" s="1"/>
  <c r="O38" i="55" l="1"/>
  <c r="K37" i="55"/>
  <c r="P37" i="55"/>
  <c r="K39" i="55"/>
  <c r="P39" i="55"/>
  <c r="P38" i="55"/>
  <c r="K40" i="55" l="1"/>
  <c r="G132" i="47"/>
  <c r="Q38" i="55"/>
  <c r="K38" i="55"/>
  <c r="G131" i="47"/>
  <c r="Q39" i="55"/>
  <c r="P40" i="55"/>
  <c r="G129" i="47"/>
  <c r="Q37" i="55"/>
  <c r="H129" i="47" l="1"/>
  <c r="R37" i="55"/>
  <c r="H131" i="47"/>
  <c r="R39" i="55"/>
  <c r="M38" i="55"/>
  <c r="L38" i="55"/>
  <c r="G128" i="47"/>
  <c r="Q40" i="55"/>
  <c r="L39" i="55"/>
  <c r="H132" i="47"/>
  <c r="R38" i="55"/>
  <c r="M39" i="55" l="1"/>
  <c r="H128" i="47"/>
  <c r="R40" i="55"/>
  <c r="S39" i="55"/>
  <c r="I131" i="47"/>
  <c r="I129" i="47"/>
  <c r="S37" i="55"/>
  <c r="S38" i="55"/>
  <c r="I132" i="47"/>
  <c r="T38" i="55" l="1"/>
  <c r="J132" i="47"/>
  <c r="T37" i="55"/>
  <c r="J129" i="47"/>
  <c r="T39" i="55"/>
  <c r="J131" i="47"/>
  <c r="S40" i="55"/>
  <c r="I128" i="47"/>
  <c r="O39" i="55"/>
  <c r="N39" i="55"/>
  <c r="K129" i="47" l="1"/>
  <c r="U37" i="55"/>
  <c r="T40" i="55"/>
  <c r="J128" i="47"/>
  <c r="K131" i="47"/>
  <c r="U39" i="55"/>
  <c r="K132" i="47"/>
  <c r="U38" i="55"/>
  <c r="L129" i="47" l="1"/>
  <c r="V37" i="55"/>
  <c r="L132" i="47"/>
  <c r="V38" i="55"/>
  <c r="V39" i="55"/>
  <c r="L131" i="47"/>
  <c r="U40" i="55"/>
  <c r="K128" i="47"/>
  <c r="V40" i="55" l="1"/>
  <c r="L128" i="47"/>
  <c r="W37" i="55"/>
  <c r="M129" i="47"/>
  <c r="M131" i="47"/>
  <c r="W39" i="55"/>
  <c r="W38" i="55"/>
  <c r="M132" i="47"/>
  <c r="X38" i="55" l="1"/>
  <c r="N132" i="47"/>
  <c r="X39" i="55"/>
  <c r="N131" i="47"/>
  <c r="X37" i="55"/>
  <c r="N129" i="47"/>
  <c r="M128" i="47"/>
  <c r="W40" i="55"/>
  <c r="Y37" i="55" l="1"/>
  <c r="O129" i="47"/>
  <c r="Y39" i="55"/>
  <c r="O131" i="47"/>
  <c r="X40" i="55"/>
  <c r="N128" i="47"/>
  <c r="O132" i="47"/>
  <c r="Y38" i="55"/>
  <c r="Z39" i="55" l="1"/>
  <c r="P131" i="47"/>
  <c r="Z38" i="55"/>
  <c r="P132" i="47"/>
  <c r="O128" i="47"/>
  <c r="Y40" i="55"/>
  <c r="P129" i="47"/>
  <c r="Z37" i="55"/>
  <c r="AA37" i="55" l="1"/>
  <c r="Q129" i="47"/>
  <c r="Q132" i="47"/>
  <c r="AA38" i="55"/>
  <c r="Z40" i="55"/>
  <c r="P128" i="47"/>
  <c r="AA39" i="55"/>
  <c r="Q131" i="47"/>
  <c r="AB38" i="55" l="1"/>
  <c r="R132" i="47"/>
  <c r="R131" i="47"/>
  <c r="AB39" i="55"/>
  <c r="AA40" i="55"/>
  <c r="Q128" i="47"/>
  <c r="R129" i="47"/>
  <c r="AB37" i="55"/>
  <c r="AC37" i="55" l="1"/>
  <c r="S129" i="47"/>
  <c r="AC39" i="55"/>
  <c r="S131" i="47"/>
  <c r="AB40" i="55"/>
  <c r="R128" i="47"/>
  <c r="AC38" i="55"/>
  <c r="S132" i="47"/>
  <c r="S128" i="47" l="1"/>
  <c r="AC40" i="55"/>
  <c r="AD38" i="55"/>
  <c r="T132" i="47"/>
  <c r="T131" i="47"/>
  <c r="AD39" i="55"/>
  <c r="T129" i="47"/>
  <c r="AD37" i="55"/>
  <c r="AE39" i="55" l="1"/>
  <c r="U131" i="47"/>
  <c r="AE38" i="55"/>
  <c r="U132" i="47"/>
  <c r="AE37" i="55"/>
  <c r="U129" i="47"/>
  <c r="AD40" i="55"/>
  <c r="T128" i="47"/>
  <c r="AE40" i="55" l="1"/>
  <c r="U128" i="47"/>
  <c r="V129" i="47"/>
  <c r="AF37" i="55"/>
  <c r="AF38" i="55"/>
  <c r="V132" i="47"/>
  <c r="AF39" i="55"/>
  <c r="V131" i="47"/>
  <c r="AG37" i="55" l="1"/>
  <c r="W129" i="47"/>
  <c r="AG39" i="55"/>
  <c r="W131" i="47"/>
  <c r="W132" i="47"/>
  <c r="AG38" i="55"/>
  <c r="AF40" i="55"/>
  <c r="V128" i="47"/>
  <c r="AH38" i="55" l="1"/>
  <c r="X132" i="47"/>
  <c r="X129" i="47"/>
  <c r="AH37" i="55"/>
  <c r="AG40" i="55"/>
  <c r="W128" i="47"/>
  <c r="X131" i="47"/>
  <c r="AH39" i="55"/>
  <c r="AI37" i="55" l="1"/>
  <c r="Y129" i="47"/>
  <c r="Y131" i="47"/>
  <c r="AI39" i="55"/>
  <c r="X128" i="47"/>
  <c r="AH40" i="55"/>
  <c r="AI38" i="55"/>
  <c r="Y132" i="47"/>
  <c r="AJ38" i="55" l="1"/>
  <c r="Z132" i="47"/>
  <c r="Z131" i="47"/>
  <c r="AJ39" i="55"/>
  <c r="AI40" i="55"/>
  <c r="Y128" i="47"/>
  <c r="AJ37" i="55"/>
  <c r="Z129" i="47"/>
  <c r="Z128" i="47" l="1"/>
  <c r="AJ40" i="55"/>
  <c r="AA131" i="47"/>
  <c r="AK39" i="55"/>
  <c r="AK37" i="55"/>
  <c r="AA129" i="47"/>
  <c r="AK38" i="55"/>
  <c r="AA132" i="47"/>
  <c r="AL38" i="55" l="1"/>
  <c r="AB132" i="47"/>
  <c r="AL37" i="55"/>
  <c r="AB129" i="47"/>
  <c r="AB131" i="47"/>
  <c r="AL39" i="55"/>
  <c r="AK40" i="55"/>
  <c r="AA128" i="47"/>
  <c r="AL40" i="55" l="1"/>
  <c r="AB128" i="47"/>
  <c r="AM39" i="55"/>
  <c r="AC131" i="47"/>
  <c r="AC129" i="47"/>
  <c r="AM37" i="55"/>
  <c r="AM38" i="55"/>
  <c r="AC132" i="47"/>
  <c r="AN38" i="55" l="1"/>
  <c r="AD132" i="47"/>
  <c r="AD131" i="47"/>
  <c r="AN39" i="55"/>
  <c r="AC128" i="47"/>
  <c r="AM40" i="55"/>
  <c r="AD129" i="47"/>
  <c r="AN37" i="55"/>
  <c r="AE131" i="47" l="1"/>
  <c r="AO39" i="55"/>
  <c r="AN40" i="55"/>
  <c r="AD128" i="47"/>
  <c r="AE129" i="47"/>
  <c r="AO37" i="55"/>
  <c r="AO38" i="55"/>
  <c r="AE132" i="47"/>
  <c r="AF132" i="47" l="1"/>
  <c r="AP38" i="55"/>
  <c r="AF129" i="47"/>
  <c r="AP37" i="55"/>
  <c r="AO40" i="55"/>
  <c r="AE128" i="47"/>
  <c r="AF131" i="47"/>
  <c r="AP39" i="55"/>
  <c r="AF128" i="47" l="1"/>
  <c r="AP40" i="55"/>
  <c r="AQ37" i="55"/>
  <c r="AH129" i="47" s="1"/>
  <c r="AJ129" i="47" s="1"/>
  <c r="AG129" i="47"/>
  <c r="AQ39" i="55"/>
  <c r="AH131" i="47" s="1"/>
  <c r="AJ131" i="47" s="1"/>
  <c r="AG131" i="47"/>
  <c r="AQ38" i="55"/>
  <c r="AH132" i="47" s="1"/>
  <c r="AJ132" i="47" s="1"/>
  <c r="AG132" i="47"/>
  <c r="AQ40" i="55" l="1"/>
  <c r="AH128" i="47" s="1"/>
  <c r="AJ128" i="47" s="1"/>
  <c r="AG128" i="47"/>
  <c r="E38" i="29" l="1"/>
  <c r="J38" i="29" s="1"/>
  <c r="K38" i="29" s="1"/>
  <c r="E41" i="29"/>
  <c r="J41" i="29" s="1"/>
  <c r="L38" i="29" l="1"/>
  <c r="G108" i="47"/>
  <c r="M41" i="29"/>
  <c r="K41" i="29"/>
  <c r="J22" i="29"/>
  <c r="K22" i="29" s="1"/>
  <c r="J28" i="29"/>
  <c r="G85" i="47" s="1"/>
  <c r="J21" i="29"/>
  <c r="K21" i="29" s="1"/>
  <c r="J27" i="29"/>
  <c r="G84" i="47" s="1"/>
  <c r="L56" i="29" l="1" a="1"/>
  <c r="L56" i="29" s="1"/>
  <c r="K56" i="29" a="1"/>
  <c r="K56" i="29" s="1"/>
  <c r="M38" i="29"/>
  <c r="N38" i="29" s="1"/>
  <c r="M52" i="29" s="1" a="1"/>
  <c r="M52" i="29" s="1"/>
  <c r="J52" i="29"/>
  <c r="G83" i="47" s="1"/>
  <c r="L22" i="29"/>
  <c r="M22" i="29" s="1"/>
  <c r="K28" i="29"/>
  <c r="N41" i="29"/>
  <c r="M56" i="29" s="1" a="1"/>
  <c r="M56" i="29" s="1"/>
  <c r="J23" i="29"/>
  <c r="K23" i="29" s="1"/>
  <c r="J29" i="29"/>
  <c r="L21" i="29"/>
  <c r="M21" i="29" s="1"/>
  <c r="K27" i="29"/>
  <c r="L52" i="29" l="1" a="1"/>
  <c r="L52" i="29" s="1"/>
  <c r="K52" i="29" a="1"/>
  <c r="K52" i="29" s="1"/>
  <c r="N21" i="29"/>
  <c r="M27" i="29"/>
  <c r="L23" i="29"/>
  <c r="K29" i="29"/>
  <c r="P41" i="29"/>
  <c r="O38" i="29"/>
  <c r="N22" i="29"/>
  <c r="M28" i="29"/>
  <c r="K54" i="29" l="1" a="1"/>
  <c r="K54" i="29" s="1"/>
  <c r="L54" i="29" a="1"/>
  <c r="L54" i="29" s="1"/>
  <c r="K53" i="29" a="1"/>
  <c r="K53" i="29" s="1"/>
  <c r="L53" i="29" a="1"/>
  <c r="L53" i="29" s="1"/>
  <c r="P38" i="29"/>
  <c r="W52" i="29" s="1" a="1"/>
  <c r="W52" i="29" s="1"/>
  <c r="N52" i="29" a="1"/>
  <c r="N52" i="29" s="1"/>
  <c r="O52" i="29" s="1" a="1"/>
  <c r="O52" i="29" s="1"/>
  <c r="P52" i="29" s="1" a="1"/>
  <c r="P52" i="29" s="1"/>
  <c r="Q52" i="29" s="1" a="1"/>
  <c r="Q52" i="29" s="1"/>
  <c r="R52" i="29" s="1" a="1"/>
  <c r="R52" i="29" s="1"/>
  <c r="S52" i="29" s="1" a="1"/>
  <c r="S52" i="29" s="1"/>
  <c r="T52" i="29" s="1" a="1"/>
  <c r="T52" i="29" s="1"/>
  <c r="U52" i="29" s="1" a="1"/>
  <c r="U52" i="29" s="1"/>
  <c r="V52" i="29" s="1" a="1"/>
  <c r="V52" i="29" s="1"/>
  <c r="W56" i="29" a="1"/>
  <c r="W56" i="29" s="1"/>
  <c r="O56" i="29" a="1"/>
  <c r="O56" i="29" s="1"/>
  <c r="P56" i="29" s="1" a="1"/>
  <c r="P56" i="29" s="1"/>
  <c r="Q56" i="29" s="1" a="1"/>
  <c r="Q56" i="29" s="1"/>
  <c r="R56" i="29" s="1" a="1"/>
  <c r="R56" i="29" s="1"/>
  <c r="S56" i="29" s="1" a="1"/>
  <c r="S56" i="29" s="1"/>
  <c r="T56" i="29" s="1" a="1"/>
  <c r="T56" i="29" s="1"/>
  <c r="U56" i="29" s="1" a="1"/>
  <c r="U56" i="29" s="1"/>
  <c r="V56" i="29" s="1" a="1"/>
  <c r="V56" i="29" s="1"/>
  <c r="M23" i="29"/>
  <c r="L29" i="29"/>
  <c r="J55" i="29" s="1"/>
  <c r="G86" i="47" s="1"/>
  <c r="O22" i="29"/>
  <c r="O28" i="29" s="1"/>
  <c r="N54" i="29" s="1" a="1"/>
  <c r="N54" i="29" s="1"/>
  <c r="P22" i="29"/>
  <c r="N28" i="29"/>
  <c r="M54" i="29" s="1" a="1"/>
  <c r="M54" i="29" s="1"/>
  <c r="O21" i="29"/>
  <c r="O27" i="29" s="1"/>
  <c r="N53" i="29" s="1" a="1"/>
  <c r="N53" i="29" s="1"/>
  <c r="P21" i="29"/>
  <c r="N27" i="29"/>
  <c r="M53" i="29" s="1" a="1"/>
  <c r="M53" i="29" s="1"/>
  <c r="Q41" i="29"/>
  <c r="Q38" i="29" l="1"/>
  <c r="X52" i="29" a="1"/>
  <c r="X52" i="29" s="1"/>
  <c r="Y52" i="29" s="1" a="1"/>
  <c r="Y52" i="29" s="1"/>
  <c r="Z52" i="29" s="1" a="1"/>
  <c r="Z52" i="29" s="1"/>
  <c r="AA52" i="29" s="1" a="1"/>
  <c r="AA52" i="29" s="1"/>
  <c r="AB52" i="29" s="1" a="1"/>
  <c r="AB52" i="29" s="1"/>
  <c r="AC52" i="29" s="1" a="1"/>
  <c r="AC52" i="29" s="1"/>
  <c r="AD52" i="29" s="1" a="1"/>
  <c r="AD52" i="29" s="1"/>
  <c r="AE52" i="29" s="1" a="1"/>
  <c r="AE52" i="29" s="1"/>
  <c r="AF52" i="29" s="1" a="1"/>
  <c r="AF52" i="29" s="1"/>
  <c r="AG52" i="29" a="1"/>
  <c r="AG52" i="29" s="1"/>
  <c r="X56" i="29" a="1"/>
  <c r="X56" i="29" s="1"/>
  <c r="Y56" i="29" s="1" a="1"/>
  <c r="Y56" i="29" s="1"/>
  <c r="Z56" i="29" s="1" a="1"/>
  <c r="Z56" i="29" s="1"/>
  <c r="AA56" i="29" s="1" a="1"/>
  <c r="AA56" i="29" s="1"/>
  <c r="AB56" i="29" s="1" a="1"/>
  <c r="AB56" i="29" s="1"/>
  <c r="AC56" i="29" s="1" a="1"/>
  <c r="AC56" i="29" s="1"/>
  <c r="AD56" i="29" s="1" a="1"/>
  <c r="AD56" i="29" s="1"/>
  <c r="AE56" i="29" s="1" a="1"/>
  <c r="AE56" i="29" s="1"/>
  <c r="AF56" i="29" s="1" a="1"/>
  <c r="AF56" i="29" s="1"/>
  <c r="AG56" i="29" a="1"/>
  <c r="AG56" i="29" s="1"/>
  <c r="N23" i="29"/>
  <c r="M29" i="29"/>
  <c r="R38" i="29"/>
  <c r="R41" i="29"/>
  <c r="Q22" i="29"/>
  <c r="P28" i="29"/>
  <c r="W54" i="29" s="1" a="1"/>
  <c r="W54" i="29" s="1"/>
  <c r="Q21" i="29"/>
  <c r="P27" i="29"/>
  <c r="W53" i="29" s="1" a="1"/>
  <c r="W53" i="29" s="1"/>
  <c r="O53" i="29" l="1" a="1"/>
  <c r="O53" i="29" s="1"/>
  <c r="P53" i="29" s="1" a="1"/>
  <c r="P53" i="29" s="1"/>
  <c r="Q53" i="29" s="1" a="1"/>
  <c r="Q53" i="29" s="1"/>
  <c r="R53" i="29" s="1" a="1"/>
  <c r="R53" i="29" s="1"/>
  <c r="S53" i="29" s="1" a="1"/>
  <c r="S53" i="29" s="1"/>
  <c r="T53" i="29" s="1" a="1"/>
  <c r="T53" i="29" s="1"/>
  <c r="U53" i="29" s="1" a="1"/>
  <c r="U53" i="29" s="1"/>
  <c r="V53" i="29" s="1" a="1"/>
  <c r="V53" i="29" s="1"/>
  <c r="L55" i="29" a="1"/>
  <c r="L55" i="29" s="1"/>
  <c r="K55" i="29" a="1"/>
  <c r="K55" i="29" s="1"/>
  <c r="O54" i="29" a="1"/>
  <c r="O54" i="29" s="1"/>
  <c r="P54" i="29" s="1" a="1"/>
  <c r="P54" i="29" s="1"/>
  <c r="Q54" i="29" s="1" a="1"/>
  <c r="Q54" i="29" s="1"/>
  <c r="R54" i="29" s="1" a="1"/>
  <c r="R54" i="29" s="1"/>
  <c r="S54" i="29" s="1" a="1"/>
  <c r="S54" i="29" s="1"/>
  <c r="T54" i="29" s="1" a="1"/>
  <c r="T54" i="29" s="1"/>
  <c r="U54" i="29" s="1" a="1"/>
  <c r="U54" i="29" s="1"/>
  <c r="V54" i="29" s="1" a="1"/>
  <c r="V54" i="29" s="1"/>
  <c r="AH56" i="29" a="1"/>
  <c r="AH56" i="29" s="1"/>
  <c r="AI56" i="29" s="1" a="1"/>
  <c r="AI56" i="29" s="1"/>
  <c r="AJ56" i="29" s="1" a="1"/>
  <c r="AJ56" i="29" s="1"/>
  <c r="AK56" i="29" s="1" a="1"/>
  <c r="AK56" i="29" s="1"/>
  <c r="AL56" i="29" s="1" a="1"/>
  <c r="AL56" i="29" s="1"/>
  <c r="S41" i="29"/>
  <c r="AM56" i="29" a="1"/>
  <c r="AM56" i="29" s="1"/>
  <c r="AM52" i="29" a="1"/>
  <c r="AM52" i="29" s="1"/>
  <c r="S38" i="29"/>
  <c r="AH52" i="29" a="1"/>
  <c r="AH52" i="29" s="1"/>
  <c r="AI52" i="29" s="1" a="1"/>
  <c r="AI52" i="29" s="1"/>
  <c r="AJ52" i="29" s="1" a="1"/>
  <c r="AJ52" i="29" s="1"/>
  <c r="AK52" i="29" s="1" a="1"/>
  <c r="AK52" i="29" s="1"/>
  <c r="AL52" i="29" s="1" a="1"/>
  <c r="AL52" i="29" s="1"/>
  <c r="R22" i="29"/>
  <c r="Q28" i="29"/>
  <c r="O23" i="29"/>
  <c r="O29" i="29" s="1"/>
  <c r="N55" i="29" s="1" a="1"/>
  <c r="N55" i="29" s="1"/>
  <c r="P23" i="29"/>
  <c r="N29" i="29"/>
  <c r="M55" i="29" s="1" a="1"/>
  <c r="M55" i="29" s="1"/>
  <c r="R21" i="29"/>
  <c r="Q27" i="29"/>
  <c r="AG54" i="29" l="1" a="1"/>
  <c r="AG54" i="29" s="1"/>
  <c r="X54" i="29" a="1"/>
  <c r="X54" i="29" s="1"/>
  <c r="Y54" i="29" s="1" a="1"/>
  <c r="Y54" i="29" s="1"/>
  <c r="Z54" i="29" s="1" a="1"/>
  <c r="Z54" i="29" s="1"/>
  <c r="AA54" i="29" s="1" a="1"/>
  <c r="AA54" i="29" s="1"/>
  <c r="AB54" i="29" s="1" a="1"/>
  <c r="AB54" i="29" s="1"/>
  <c r="AC54" i="29" s="1" a="1"/>
  <c r="AC54" i="29" s="1"/>
  <c r="AD54" i="29" s="1" a="1"/>
  <c r="AD54" i="29" s="1"/>
  <c r="AE54" i="29" s="1" a="1"/>
  <c r="AE54" i="29" s="1"/>
  <c r="AF54" i="29" s="1" a="1"/>
  <c r="AF54" i="29" s="1"/>
  <c r="AG53" i="29" a="1"/>
  <c r="AG53" i="29" s="1"/>
  <c r="X53" i="29" a="1"/>
  <c r="X53" i="29" s="1"/>
  <c r="Y53" i="29" s="1" a="1"/>
  <c r="Y53" i="29" s="1"/>
  <c r="Z53" i="29" s="1" a="1"/>
  <c r="Z53" i="29" s="1"/>
  <c r="AA53" i="29" s="1" a="1"/>
  <c r="AA53" i="29" s="1"/>
  <c r="AB53" i="29" s="1" a="1"/>
  <c r="AB53" i="29" s="1"/>
  <c r="AC53" i="29" s="1" a="1"/>
  <c r="AC53" i="29" s="1"/>
  <c r="AD53" i="29" s="1" a="1"/>
  <c r="AD53" i="29" s="1"/>
  <c r="AE53" i="29" s="1" a="1"/>
  <c r="AE53" i="29" s="1"/>
  <c r="AF53" i="29" s="1" a="1"/>
  <c r="AF53" i="29" s="1"/>
  <c r="T38" i="29"/>
  <c r="AO52" i="29" s="1" a="1"/>
  <c r="AO52" i="29" s="1"/>
  <c r="AN52" i="29" a="1"/>
  <c r="AN52" i="29" s="1"/>
  <c r="T41" i="29"/>
  <c r="AO56" i="29" s="1" a="1"/>
  <c r="AO56" i="29" s="1"/>
  <c r="AN56" i="29" a="1"/>
  <c r="AN56" i="29" s="1"/>
  <c r="R27" i="29"/>
  <c r="AM53" i="29" s="1" a="1"/>
  <c r="AM53" i="29" s="1"/>
  <c r="S21" i="29"/>
  <c r="R28" i="29"/>
  <c r="AM54" i="29" s="1" a="1"/>
  <c r="AM54" i="29" s="1"/>
  <c r="S22" i="29"/>
  <c r="Q23" i="29"/>
  <c r="P29" i="29"/>
  <c r="W55" i="29" s="1" a="1"/>
  <c r="W55" i="29" s="1"/>
  <c r="O55" i="29" l="1" a="1"/>
  <c r="O55" i="29" s="1"/>
  <c r="P55" i="29" s="1" a="1"/>
  <c r="P55" i="29" s="1"/>
  <c r="Q55" i="29" s="1" a="1"/>
  <c r="Q55" i="29" s="1"/>
  <c r="R55" i="29" s="1" a="1"/>
  <c r="R55" i="29" s="1"/>
  <c r="S55" i="29" s="1" a="1"/>
  <c r="S55" i="29" s="1"/>
  <c r="T55" i="29" s="1" a="1"/>
  <c r="T55" i="29" s="1"/>
  <c r="U55" i="29" s="1" a="1"/>
  <c r="U55" i="29" s="1"/>
  <c r="V55" i="29" s="1" a="1"/>
  <c r="V55" i="29" s="1"/>
  <c r="T21" i="29"/>
  <c r="T27" i="29" s="1"/>
  <c r="AO53" i="29" s="1" a="1"/>
  <c r="AO53" i="29" s="1"/>
  <c r="S27" i="29"/>
  <c r="AN53" i="29" s="1" a="1"/>
  <c r="AN53" i="29" s="1"/>
  <c r="AH53" i="29" a="1"/>
  <c r="AH53" i="29" s="1"/>
  <c r="AI53" i="29" s="1" a="1"/>
  <c r="AI53" i="29" s="1"/>
  <c r="AJ53" i="29" s="1" a="1"/>
  <c r="AJ53" i="29" s="1"/>
  <c r="AK53" i="29" s="1" a="1"/>
  <c r="AK53" i="29" s="1"/>
  <c r="AL53" i="29" s="1" a="1"/>
  <c r="AL53" i="29" s="1"/>
  <c r="T22" i="29"/>
  <c r="T28" i="29" s="1"/>
  <c r="AO54" i="29" s="1" a="1"/>
  <c r="AO54" i="29" s="1"/>
  <c r="S28" i="29"/>
  <c r="AN54" i="29" s="1" a="1"/>
  <c r="AN54" i="29" s="1"/>
  <c r="AH54" i="29" a="1"/>
  <c r="AH54" i="29" s="1"/>
  <c r="AI54" i="29" s="1" a="1"/>
  <c r="AI54" i="29" s="1"/>
  <c r="AJ54" i="29" s="1" a="1"/>
  <c r="AJ54" i="29" s="1"/>
  <c r="AK54" i="29" s="1" a="1"/>
  <c r="AK54" i="29" s="1"/>
  <c r="AL54" i="29" s="1" a="1"/>
  <c r="AL54" i="29" s="1"/>
  <c r="R23" i="29"/>
  <c r="Q29" i="29"/>
  <c r="K186" i="56"/>
  <c r="AG55" i="29" l="1" a="1"/>
  <c r="AG55" i="29" s="1"/>
  <c r="X55" i="29" a="1"/>
  <c r="X55" i="29" s="1"/>
  <c r="Y55" i="29" s="1" a="1"/>
  <c r="Y55" i="29" s="1"/>
  <c r="Z55" i="29" s="1" a="1"/>
  <c r="Z55" i="29" s="1"/>
  <c r="AA55" i="29" s="1" a="1"/>
  <c r="AA55" i="29" s="1"/>
  <c r="AB55" i="29" s="1" a="1"/>
  <c r="AB55" i="29" s="1"/>
  <c r="AC55" i="29" s="1" a="1"/>
  <c r="AC55" i="29" s="1"/>
  <c r="AD55" i="29" s="1" a="1"/>
  <c r="AD55" i="29" s="1"/>
  <c r="AE55" i="29" s="1" a="1"/>
  <c r="AE55" i="29" s="1"/>
  <c r="AF55" i="29" s="1" a="1"/>
  <c r="AF55" i="29" s="1"/>
  <c r="R29" i="29"/>
  <c r="AM55" i="29" s="1" a="1"/>
  <c r="AM55" i="29" s="1"/>
  <c r="S23" i="29"/>
  <c r="K187" i="56"/>
  <c r="T23" i="29" l="1"/>
  <c r="T29" i="29" s="1"/>
  <c r="AO55" i="29" s="1" a="1"/>
  <c r="AO55" i="29" s="1"/>
  <c r="S29" i="29"/>
  <c r="AN55" i="29" s="1" a="1"/>
  <c r="AN55" i="29" s="1"/>
  <c r="AH55" i="29" a="1"/>
  <c r="AH55" i="29" s="1"/>
  <c r="AI55" i="29" s="1" a="1"/>
  <c r="AI55" i="29" s="1"/>
  <c r="AJ55" i="29" s="1" a="1"/>
  <c r="AJ55" i="29" s="1"/>
  <c r="AK55" i="29" s="1" a="1"/>
  <c r="AK55" i="29" s="1"/>
  <c r="AL55" i="29" s="1" a="1"/>
  <c r="AL55" i="29" s="1"/>
  <c r="N188" i="56"/>
  <c r="G60" i="56"/>
  <c r="H60" i="56" s="1"/>
  <c r="I60" i="56" s="1"/>
  <c r="J60" i="56" s="1"/>
  <c r="K60" i="56" s="1"/>
  <c r="L60" i="56" s="1"/>
  <c r="M60" i="56" s="1"/>
  <c r="N60" i="56" s="1"/>
  <c r="K188" i="56"/>
  <c r="G88" i="56"/>
  <c r="Q88" i="56" s="1"/>
  <c r="AA88" i="56" s="1"/>
  <c r="O188" i="56" l="1"/>
  <c r="L88" i="56"/>
  <c r="V88" i="56" s="1"/>
  <c r="AF88" i="56" s="1"/>
  <c r="R123" i="56" a="1"/>
  <c r="R123" i="56" s="1"/>
  <c r="L188" i="56"/>
  <c r="M88" i="56"/>
  <c r="W88" i="56" s="1"/>
  <c r="AG88" i="56" s="1"/>
  <c r="P123" i="56" a="1"/>
  <c r="P123" i="56" s="1"/>
  <c r="M149" i="56" s="1"/>
  <c r="H88" i="56"/>
  <c r="R88" i="56" s="1"/>
  <c r="AB88" i="56" s="1"/>
  <c r="P188" i="56"/>
  <c r="F88" i="56"/>
  <c r="P88" i="56" s="1"/>
  <c r="Z88" i="56" s="1"/>
  <c r="G48" i="56"/>
  <c r="Z48" i="56"/>
  <c r="R48" i="56"/>
  <c r="S123" i="56" a="1"/>
  <c r="S123" i="56" s="1"/>
  <c r="N149" i="56" s="1"/>
  <c r="X188" i="56" s="1"/>
  <c r="I88" i="56"/>
  <c r="S88" i="56" s="1"/>
  <c r="AC88" i="56" s="1"/>
  <c r="Q48" i="56" l="1"/>
  <c r="S48" i="56" s="1"/>
  <c r="H48" i="56"/>
  <c r="I48" i="56" s="1"/>
  <c r="J48" i="56" s="1"/>
  <c r="K48" i="56" s="1"/>
  <c r="L48" i="56" s="1"/>
  <c r="M48" i="56" s="1"/>
  <c r="N48" i="56" s="1"/>
  <c r="M188" i="56"/>
  <c r="M123" i="56" a="1"/>
  <c r="M123" i="56" s="1"/>
  <c r="J149" i="56" s="1"/>
  <c r="R188" i="56" s="1"/>
  <c r="Q188" i="56"/>
  <c r="T48" i="56"/>
  <c r="AB48" i="56"/>
  <c r="AD48" i="56" s="1"/>
  <c r="J88" i="56"/>
  <c r="T88" i="56" s="1"/>
  <c r="AD88" i="56" s="1"/>
  <c r="AD123" i="56" a="1"/>
  <c r="AD123" i="56" s="1"/>
  <c r="Y149" i="56" s="1"/>
  <c r="AI188" i="56" s="1"/>
  <c r="T123" i="56" a="1"/>
  <c r="T123" i="56" s="1"/>
  <c r="V188" i="56"/>
  <c r="K99" i="47"/>
  <c r="U188" i="56"/>
  <c r="J99" i="47"/>
  <c r="G99" i="47" l="1"/>
  <c r="N123" i="56" a="1"/>
  <c r="N123" i="56" s="1"/>
  <c r="K149" i="56" s="1"/>
  <c r="H99" i="47" s="1"/>
  <c r="AA48" i="56"/>
  <c r="Q123" i="56" a="1"/>
  <c r="Q123" i="56" s="1"/>
  <c r="O123" i="56" a="1"/>
  <c r="O123" i="56" s="1"/>
  <c r="L149" i="56" s="1"/>
  <c r="AE48" i="56"/>
  <c r="AH48" i="56" s="1"/>
  <c r="AG48" i="56"/>
  <c r="AC48" i="56"/>
  <c r="AF48" i="56" s="1"/>
  <c r="V48" i="56"/>
  <c r="U48" i="56"/>
  <c r="X48" i="56" s="1"/>
  <c r="W48" i="56"/>
  <c r="AG188" i="56"/>
  <c r="T99" i="47"/>
  <c r="K88" i="56"/>
  <c r="U88" i="56" s="1"/>
  <c r="AE88" i="56" s="1"/>
  <c r="AE123" i="56" a="1"/>
  <c r="AE123" i="56" s="1"/>
  <c r="AN123" i="56" a="1"/>
  <c r="AN123" i="56" s="1"/>
  <c r="AK149" i="56" s="1"/>
  <c r="U123" i="56" a="1"/>
  <c r="U123" i="56" s="1"/>
  <c r="O149" i="56"/>
  <c r="Y188" i="56" s="1"/>
  <c r="S188" i="56" l="1"/>
  <c r="T188" i="56"/>
  <c r="I99" i="47"/>
  <c r="AS188" i="56"/>
  <c r="AD99" i="47"/>
  <c r="W188" i="56"/>
  <c r="L99" i="47"/>
  <c r="AO123" i="56" a="1"/>
  <c r="AO123" i="56" s="1"/>
  <c r="AP123" i="56" s="1" a="1"/>
  <c r="AP123" i="56" s="1"/>
  <c r="AQ123" i="56" s="1" a="1"/>
  <c r="AQ123" i="56" s="1"/>
  <c r="AR123" i="56" s="1" a="1"/>
  <c r="AR123" i="56" s="1"/>
  <c r="AS123" i="56" s="1" a="1"/>
  <c r="AS123" i="56" s="1"/>
  <c r="AX123" i="56" a="1"/>
  <c r="AX123" i="56" s="1"/>
  <c r="N88" i="56"/>
  <c r="X88" i="56" s="1"/>
  <c r="AH88" i="56" s="1"/>
  <c r="V123" i="56" a="1"/>
  <c r="V123" i="56" s="1"/>
  <c r="P149" i="56"/>
  <c r="AF123" i="56" a="1"/>
  <c r="AF123" i="56" s="1"/>
  <c r="Z149" i="56"/>
  <c r="AB149" i="56" l="1"/>
  <c r="AA149" i="56"/>
  <c r="R149" i="56"/>
  <c r="Q149" i="56"/>
  <c r="AG123" i="56" a="1"/>
  <c r="AG123" i="56" s="1"/>
  <c r="AC149" i="56"/>
  <c r="M99" i="47"/>
  <c r="Z188" i="56"/>
  <c r="W123" i="56" a="1"/>
  <c r="W123" i="56" s="1"/>
  <c r="S149" i="56"/>
  <c r="AY123" i="56" a="1"/>
  <c r="AY123" i="56" s="1"/>
  <c r="AM149" i="56"/>
  <c r="AT123" i="56" a="1"/>
  <c r="AT123" i="56" s="1"/>
  <c r="AU123" i="56" s="1" a="1"/>
  <c r="AU123" i="56" s="1"/>
  <c r="AV123" i="56" s="1" a="1"/>
  <c r="AV123" i="56" s="1"/>
  <c r="AW123" i="56" s="1" a="1"/>
  <c r="AW123" i="56" s="1"/>
  <c r="AL149" i="56"/>
  <c r="AJ188" i="56"/>
  <c r="U99" i="47"/>
  <c r="AU188" i="56" l="1"/>
  <c r="AF99" i="47"/>
  <c r="AA188" i="56"/>
  <c r="N99" i="47"/>
  <c r="AZ123" i="56" a="1"/>
  <c r="AZ123" i="56" s="1"/>
  <c r="AO149" i="56" s="1"/>
  <c r="AN149" i="56"/>
  <c r="X123" i="56" a="1"/>
  <c r="X123" i="56" s="1"/>
  <c r="AA123" i="56" s="1" a="1"/>
  <c r="AA123" i="56" s="1"/>
  <c r="T149" i="56"/>
  <c r="AE99" i="47"/>
  <c r="AT188" i="56"/>
  <c r="AK188" i="56"/>
  <c r="V99" i="47"/>
  <c r="AH123" i="56" a="1"/>
  <c r="AH123" i="56" s="1"/>
  <c r="AD149" i="56"/>
  <c r="AB188" i="56" l="1"/>
  <c r="O99" i="47"/>
  <c r="Y123" i="56" a="1"/>
  <c r="Y123" i="56" s="1"/>
  <c r="AB123" i="56" s="1" a="1"/>
  <c r="AB123" i="56" s="1"/>
  <c r="U149" i="56"/>
  <c r="AG99" i="47"/>
  <c r="AV188" i="56"/>
  <c r="AH99" i="47"/>
  <c r="AJ99" i="47" s="1"/>
  <c r="AW188" i="56"/>
  <c r="W99" i="47"/>
  <c r="AL188" i="56"/>
  <c r="AI123" i="56" a="1"/>
  <c r="AI123" i="56" s="1"/>
  <c r="AE149" i="56"/>
  <c r="AM188" i="56" l="1"/>
  <c r="X99" i="47"/>
  <c r="P99" i="47"/>
  <c r="AC188" i="56"/>
  <c r="AJ123" i="56" a="1"/>
  <c r="AJ123" i="56" s="1"/>
  <c r="AF149" i="56"/>
  <c r="Z123" i="56" a="1"/>
  <c r="Z123" i="56" s="1"/>
  <c r="V149" i="56"/>
  <c r="Q99" i="47" l="1"/>
  <c r="AD188" i="56"/>
  <c r="AC123" i="56" a="1"/>
  <c r="AC123" i="56" s="1"/>
  <c r="X149" i="56" s="1"/>
  <c r="AH188" i="56" s="1"/>
  <c r="W149" i="56"/>
  <c r="Y99" i="47"/>
  <c r="AN188" i="56"/>
  <c r="AK123" i="56" a="1"/>
  <c r="AK123" i="56" s="1"/>
  <c r="AG149" i="56"/>
  <c r="AO188" i="56" l="1"/>
  <c r="Z99" i="47"/>
  <c r="AL123" i="56" a="1"/>
  <c r="AL123" i="56" s="1"/>
  <c r="AH149" i="56"/>
  <c r="AE188" i="56"/>
  <c r="R99" i="47"/>
  <c r="S99" i="47"/>
  <c r="AF188" i="56"/>
  <c r="AP188" i="56" l="1"/>
  <c r="AA99" i="47"/>
  <c r="AM123" i="56" a="1"/>
  <c r="AM123" i="56" s="1"/>
  <c r="AJ149" i="56" s="1"/>
  <c r="AI149" i="56"/>
  <c r="AB99" i="47" l="1"/>
  <c r="AQ188" i="56"/>
  <c r="AC99" i="47"/>
  <c r="AR188" i="56"/>
  <c r="F40" i="56" l="1"/>
  <c r="P40" i="56" s="1"/>
  <c r="Z40" i="56" s="1"/>
  <c r="Z47" i="56" s="1"/>
  <c r="Z87" i="56" s="1"/>
  <c r="F87" i="56"/>
  <c r="F39" i="56"/>
  <c r="P39" i="56" s="1"/>
  <c r="P46" i="56" l="1"/>
  <c r="P77" i="56" s="1"/>
  <c r="Z39" i="56"/>
  <c r="Z46" i="56" s="1"/>
  <c r="Z77" i="56" s="1"/>
  <c r="P47" i="56"/>
  <c r="P87" i="56" s="1"/>
  <c r="AA39" i="56" l="1"/>
  <c r="AA46" i="56" s="1"/>
  <c r="AA77" i="56" s="1"/>
  <c r="Q40" i="56"/>
  <c r="AA40" i="56" s="1"/>
  <c r="AA47" i="56" s="1"/>
  <c r="AA87" i="56" s="1"/>
  <c r="P93" i="56"/>
  <c r="Z93" i="56" s="1"/>
  <c r="R40" i="56" l="1"/>
  <c r="R46" i="56"/>
  <c r="R77" i="56" s="1"/>
  <c r="AB39" i="56"/>
  <c r="V40" i="56" l="1"/>
  <c r="V47" i="56" s="1"/>
  <c r="V87" i="56" s="1"/>
  <c r="V46" i="56"/>
  <c r="V77" i="56" s="1"/>
  <c r="T40" i="56"/>
  <c r="T47" i="56" s="1"/>
  <c r="T87" i="56" s="1"/>
  <c r="T46" i="56"/>
  <c r="T77" i="56" s="1"/>
  <c r="AB46" i="56"/>
  <c r="AB77" i="56" s="1"/>
  <c r="AB40" i="56"/>
  <c r="AB47" i="56" s="1"/>
  <c r="AB87" i="56" s="1"/>
  <c r="R47" i="56"/>
  <c r="R87" i="56" s="1"/>
  <c r="H40" i="56"/>
  <c r="H47" i="56" s="1"/>
  <c r="H46" i="56"/>
  <c r="S46" i="56"/>
  <c r="S77" i="56" s="1"/>
  <c r="AC39" i="56"/>
  <c r="AD39" i="56" s="1"/>
  <c r="AE39" i="56" s="1"/>
  <c r="AF39" i="56" s="1"/>
  <c r="AG39" i="56" s="1"/>
  <c r="AH39" i="56" s="1"/>
  <c r="S40" i="56"/>
  <c r="R93" i="56"/>
  <c r="AB93" i="56" s="1"/>
  <c r="L39" i="56" l="1"/>
  <c r="L46" i="56" s="1"/>
  <c r="R177" i="56" a="1"/>
  <c r="R177" i="56" s="1"/>
  <c r="G40" i="56"/>
  <c r="G47" i="56" s="1"/>
  <c r="G46" i="56"/>
  <c r="W46" i="56"/>
  <c r="W77" i="56" s="1"/>
  <c r="W40" i="56"/>
  <c r="W47" i="56" s="1"/>
  <c r="W87" i="56" s="1"/>
  <c r="AD40" i="56"/>
  <c r="AD47" i="56" s="1"/>
  <c r="AD87" i="56" s="1"/>
  <c r="AD46" i="56"/>
  <c r="AD77" i="56" s="1"/>
  <c r="M39" i="56"/>
  <c r="K39" i="56"/>
  <c r="U40" i="56"/>
  <c r="U47" i="56" s="1"/>
  <c r="U87" i="56" s="1"/>
  <c r="U46" i="56"/>
  <c r="U77" i="56" s="1"/>
  <c r="AC40" i="56"/>
  <c r="AC47" i="56" s="1"/>
  <c r="AC87" i="56" s="1"/>
  <c r="S47" i="56"/>
  <c r="S87" i="56" s="1"/>
  <c r="AC46" i="56"/>
  <c r="AC77" i="56" s="1"/>
  <c r="X46" i="56"/>
  <c r="X77" i="56" s="1"/>
  <c r="X40" i="56"/>
  <c r="X47" i="56" s="1"/>
  <c r="X87" i="56" s="1"/>
  <c r="V93" i="56"/>
  <c r="J40" i="56"/>
  <c r="J47" i="56" s="1"/>
  <c r="J46" i="56"/>
  <c r="I46" i="56"/>
  <c r="I40" i="56"/>
  <c r="I47" i="56" s="1"/>
  <c r="S93" i="56"/>
  <c r="AC93" i="56" s="1"/>
  <c r="T93" i="56"/>
  <c r="H87" i="56"/>
  <c r="H103" i="56"/>
  <c r="L40" i="56" l="1"/>
  <c r="L47" i="56" s="1"/>
  <c r="L87" i="56" s="1"/>
  <c r="N177" i="56" a="1"/>
  <c r="N177" i="56" s="1"/>
  <c r="P177" i="56" a="1"/>
  <c r="P177" i="56" s="1"/>
  <c r="Q177" i="56" s="1" a="1"/>
  <c r="Q177" i="56" s="1"/>
  <c r="L177" i="56" a="1"/>
  <c r="L177" i="56" s="1"/>
  <c r="M177" i="56" s="1" a="1"/>
  <c r="M177" i="56" s="1"/>
  <c r="AF40" i="56"/>
  <c r="AF47" i="56" s="1"/>
  <c r="AF87" i="56" s="1"/>
  <c r="AF46" i="56"/>
  <c r="AF77" i="56" s="1"/>
  <c r="AE46" i="56"/>
  <c r="AE77" i="56" s="1"/>
  <c r="N39" i="56"/>
  <c r="N40" i="56" s="1"/>
  <c r="N47" i="56" s="1"/>
  <c r="AE40" i="56"/>
  <c r="AE47" i="56" s="1"/>
  <c r="AE87" i="56" s="1"/>
  <c r="AG40" i="56"/>
  <c r="AG47" i="56" s="1"/>
  <c r="AG87" i="56" s="1"/>
  <c r="AG46" i="56"/>
  <c r="AG77" i="56" s="1"/>
  <c r="AD93" i="56"/>
  <c r="K46" i="56"/>
  <c r="K40" i="56"/>
  <c r="K47" i="56" s="1"/>
  <c r="S177" i="56" a="1"/>
  <c r="S177" i="56" s="1"/>
  <c r="T177" i="56" s="1" a="1"/>
  <c r="T177" i="56" s="1"/>
  <c r="U177" i="56" s="1" a="1"/>
  <c r="U177" i="56" s="1"/>
  <c r="G93" i="56"/>
  <c r="Q46" i="56"/>
  <c r="Q77" i="56" s="1"/>
  <c r="X93" i="56"/>
  <c r="AU177" i="56" a="1"/>
  <c r="AU177" i="56" s="1"/>
  <c r="I87" i="56"/>
  <c r="I103" i="56"/>
  <c r="M46" i="56"/>
  <c r="M40" i="56"/>
  <c r="M47" i="56" s="1"/>
  <c r="X177" i="56" a="1"/>
  <c r="X177" i="56" s="1"/>
  <c r="V177" i="56" a="1"/>
  <c r="V177" i="56" s="1"/>
  <c r="W177" i="56" s="1" a="1"/>
  <c r="W177" i="56" s="1"/>
  <c r="Z177" i="56" s="1" a="1"/>
  <c r="Z177" i="56" s="1"/>
  <c r="AA177" i="56" s="1" a="1"/>
  <c r="AA177" i="56" s="1"/>
  <c r="AB177" i="56" s="1" a="1"/>
  <c r="AB177" i="56" s="1"/>
  <c r="AC177" i="56" s="1" a="1"/>
  <c r="AC177" i="56" s="1"/>
  <c r="AD177" i="56" s="1" a="1"/>
  <c r="AD177" i="56" s="1"/>
  <c r="AE177" i="56" s="1" a="1"/>
  <c r="AE177" i="56" s="1"/>
  <c r="W93" i="56"/>
  <c r="AG177" i="56" a="1"/>
  <c r="AG177" i="56" s="1"/>
  <c r="AI177" i="56" a="1"/>
  <c r="AI177" i="56" s="1"/>
  <c r="J87" i="56"/>
  <c r="J103" i="56"/>
  <c r="R122" i="56" s="1" a="1"/>
  <c r="R122" i="56" s="1"/>
  <c r="U93" i="56"/>
  <c r="G103" i="56"/>
  <c r="G87" i="56"/>
  <c r="Q47" i="56"/>
  <c r="Q87" i="56" s="1"/>
  <c r="L103" i="56" l="1"/>
  <c r="AV177" i="56" a="1"/>
  <c r="AV177" i="56" s="1"/>
  <c r="N46" i="56"/>
  <c r="AW177" i="56" s="1" a="1"/>
  <c r="AW177" i="56" s="1"/>
  <c r="P122" i="56" a="1"/>
  <c r="P122" i="56" s="1"/>
  <c r="M148" i="56" s="1"/>
  <c r="U187" i="56" s="1"/>
  <c r="O177" i="56" a="1"/>
  <c r="O177" i="56" s="1"/>
  <c r="P187" i="56"/>
  <c r="AH177" i="56" a="1"/>
  <c r="AH177" i="56" s="1"/>
  <c r="AF177" i="56" a="1"/>
  <c r="AF177" i="56" s="1"/>
  <c r="AH46" i="56"/>
  <c r="AH77" i="56" s="1"/>
  <c r="AH40" i="56"/>
  <c r="AH47" i="56" s="1"/>
  <c r="AH87" i="56" s="1"/>
  <c r="Q93" i="56"/>
  <c r="AA93" i="56" s="1"/>
  <c r="AE93" i="56"/>
  <c r="G77" i="56"/>
  <c r="H93" i="56"/>
  <c r="K87" i="56"/>
  <c r="K103" i="56"/>
  <c r="S122" i="56" s="1" a="1"/>
  <c r="S122" i="56" s="1"/>
  <c r="N148" i="56" s="1"/>
  <c r="N103" i="56"/>
  <c r="AX122" i="56" s="1" a="1"/>
  <c r="AX122" i="56" s="1"/>
  <c r="N87" i="56"/>
  <c r="Y177" i="56" a="1"/>
  <c r="Y177" i="56" s="1"/>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AS177" i="56" a="1"/>
  <c r="AS177" i="56" s="1"/>
  <c r="AT177" i="56" s="1" a="1"/>
  <c r="AT177" i="56" s="1"/>
  <c r="AF93" i="56"/>
  <c r="AD122" i="56" a="1"/>
  <c r="AD122" i="56" s="1"/>
  <c r="Y148" i="56" s="1"/>
  <c r="M103" i="56"/>
  <c r="M87" i="56"/>
  <c r="AG93" i="56"/>
  <c r="J98" i="47" l="1"/>
  <c r="V187" i="56"/>
  <c r="K98" i="47"/>
  <c r="X187" i="56"/>
  <c r="T122" i="56" a="1"/>
  <c r="T122" i="56" s="1"/>
  <c r="O148" i="56" s="1"/>
  <c r="L98" i="47" s="1"/>
  <c r="O187" i="56"/>
  <c r="N187" i="56"/>
  <c r="L187" i="56"/>
  <c r="M112" i="56" a="1"/>
  <c r="M112" i="56" s="1"/>
  <c r="J138" i="56" s="1"/>
  <c r="G88" i="47" s="1"/>
  <c r="AM148" i="56"/>
  <c r="AY122" i="56" a="1"/>
  <c r="AY122" i="56" s="1"/>
  <c r="AN122" i="56" a="1"/>
  <c r="AN122" i="56" s="1"/>
  <c r="AK148" i="56" s="1"/>
  <c r="AE122" i="56" a="1"/>
  <c r="AE122" i="56" s="1"/>
  <c r="Z148" i="56" s="1"/>
  <c r="AH93" i="56"/>
  <c r="T98" i="47"/>
  <c r="AI187" i="56"/>
  <c r="AG187" i="56"/>
  <c r="H77" i="56"/>
  <c r="I93" i="56"/>
  <c r="U122" i="56" l="1" a="1"/>
  <c r="U122" i="56" s="1"/>
  <c r="P148" i="56" s="1"/>
  <c r="W187" i="56"/>
  <c r="Y187" i="56"/>
  <c r="AO122" i="56" a="1"/>
  <c r="AO122" i="56" s="1"/>
  <c r="AP122" i="56" s="1" a="1"/>
  <c r="AP122" i="56" s="1"/>
  <c r="AQ122" i="56" s="1" a="1"/>
  <c r="AQ122" i="56" s="1"/>
  <c r="AR122" i="56" s="1" a="1"/>
  <c r="AR122" i="56" s="1"/>
  <c r="AS122" i="56" s="1" a="1"/>
  <c r="AS122" i="56" s="1"/>
  <c r="AL148" i="56" s="1"/>
  <c r="M187" i="56"/>
  <c r="AF122" i="56" a="1"/>
  <c r="AF122" i="56" s="1"/>
  <c r="AB148" i="56" s="1"/>
  <c r="Q187" i="56"/>
  <c r="M122" i="56" a="1"/>
  <c r="M122" i="56" s="1"/>
  <c r="N112" i="56" a="1"/>
  <c r="N112" i="56" s="1"/>
  <c r="AD98" i="47"/>
  <c r="AS187" i="56"/>
  <c r="AN148" i="56"/>
  <c r="AZ122" i="56" a="1"/>
  <c r="AZ122" i="56" s="1"/>
  <c r="AO148" i="56" s="1"/>
  <c r="I77" i="56"/>
  <c r="J93" i="56"/>
  <c r="L93" i="56"/>
  <c r="AU187" i="56"/>
  <c r="AF98" i="47"/>
  <c r="AJ187" i="56"/>
  <c r="U98" i="47"/>
  <c r="V122" i="56" l="1" a="1"/>
  <c r="V122" i="56" s="1"/>
  <c r="R148" i="56" s="1"/>
  <c r="R112" i="56" a="1"/>
  <c r="R112" i="56" s="1"/>
  <c r="P112" i="56" a="1"/>
  <c r="P112" i="56" s="1"/>
  <c r="M138" i="56" s="1"/>
  <c r="J88" i="47" s="1"/>
  <c r="AT122" i="56" a="1"/>
  <c r="AT122" i="56" s="1"/>
  <c r="AU122" i="56" s="1" a="1"/>
  <c r="AU122" i="56" s="1"/>
  <c r="AV122" i="56" s="1" a="1"/>
  <c r="AV122" i="56" s="1"/>
  <c r="AW122" i="56" s="1" a="1"/>
  <c r="AW122" i="56" s="1"/>
  <c r="AC148" i="56"/>
  <c r="AK187" i="56" s="1"/>
  <c r="K138" i="56"/>
  <c r="H88" i="47" s="1"/>
  <c r="O112" i="56" a="1"/>
  <c r="O112" i="56" s="1"/>
  <c r="L138" i="56" s="1"/>
  <c r="I88" i="47" s="1"/>
  <c r="Q112" i="56" a="1"/>
  <c r="Q112" i="56" s="1"/>
  <c r="J148" i="56"/>
  <c r="N122" i="56" a="1"/>
  <c r="N122" i="56" s="1"/>
  <c r="AG122" i="56" a="1"/>
  <c r="AG122" i="56" s="1"/>
  <c r="AD148" i="56" s="1"/>
  <c r="AA148" i="56"/>
  <c r="AG98" i="47"/>
  <c r="AV187" i="56"/>
  <c r="M98" i="47"/>
  <c r="Z187" i="56"/>
  <c r="AW187" i="56"/>
  <c r="AH98" i="47"/>
  <c r="L77" i="56"/>
  <c r="AD112" i="56" a="1"/>
  <c r="AD112" i="56" s="1"/>
  <c r="Y138" i="56" s="1"/>
  <c r="T88" i="47" s="1"/>
  <c r="J77" i="56"/>
  <c r="M93" i="56"/>
  <c r="M77" i="56" s="1"/>
  <c r="K93" i="56"/>
  <c r="S112" i="56" s="1" a="1"/>
  <c r="S112" i="56" s="1"/>
  <c r="N138" i="56" s="1"/>
  <c r="K88" i="47" s="1"/>
  <c r="AT187" i="56"/>
  <c r="AE98" i="47"/>
  <c r="V98" i="47" l="1"/>
  <c r="W122" i="56" a="1"/>
  <c r="W122" i="56" s="1"/>
  <c r="T148" i="56" s="1"/>
  <c r="S148" i="56"/>
  <c r="AA187" i="56" s="1"/>
  <c r="Q148" i="56"/>
  <c r="T112" i="56" a="1"/>
  <c r="T112" i="56" s="1"/>
  <c r="O138" i="56" s="1"/>
  <c r="L88" i="47" s="1"/>
  <c r="AH122" i="56" a="1"/>
  <c r="AH122" i="56" s="1"/>
  <c r="AE148" i="56" s="1"/>
  <c r="K148" i="56"/>
  <c r="Q122" i="56" a="1"/>
  <c r="Q122" i="56" s="1"/>
  <c r="O122" i="56" a="1"/>
  <c r="O122" i="56" s="1"/>
  <c r="L148" i="56" s="1"/>
  <c r="R187" i="56"/>
  <c r="G98" i="47"/>
  <c r="AJ98" i="47" s="1"/>
  <c r="AL187" i="56"/>
  <c r="W98" i="47"/>
  <c r="AE112" i="56" a="1"/>
  <c r="AE112" i="56" s="1"/>
  <c r="Z138" i="56" s="1"/>
  <c r="U88" i="47" s="1"/>
  <c r="AN112" i="56" a="1"/>
  <c r="AN112" i="56" s="1"/>
  <c r="K77" i="56"/>
  <c r="N93" i="56"/>
  <c r="X122" i="56" l="1" a="1"/>
  <c r="X122" i="56" s="1"/>
  <c r="U148" i="56" s="1"/>
  <c r="AI122" i="56" a="1"/>
  <c r="AI122" i="56" s="1"/>
  <c r="AF148" i="56" s="1"/>
  <c r="N98" i="47"/>
  <c r="U112" i="56" a="1"/>
  <c r="U112" i="56" s="1"/>
  <c r="P138" i="56" s="1"/>
  <c r="M88" i="47" s="1"/>
  <c r="N77" i="56"/>
  <c r="AX112" i="56" a="1"/>
  <c r="AX112" i="56" s="1"/>
  <c r="T187" i="56"/>
  <c r="I98" i="47"/>
  <c r="H98" i="47"/>
  <c r="S187" i="56"/>
  <c r="AK138" i="56"/>
  <c r="AD88" i="47" s="1"/>
  <c r="AO112" i="56" a="1"/>
  <c r="AO112" i="56" s="1"/>
  <c r="AP112" i="56" s="1" a="1"/>
  <c r="AP112" i="56" s="1"/>
  <c r="AQ112" i="56" s="1" a="1"/>
  <c r="AQ112" i="56" s="1"/>
  <c r="AR112" i="56" s="1" a="1"/>
  <c r="AR112" i="56" s="1"/>
  <c r="AS112" i="56" s="1" a="1"/>
  <c r="AS112" i="56" s="1"/>
  <c r="AM187" i="56"/>
  <c r="X98" i="47"/>
  <c r="AF112" i="56" a="1"/>
  <c r="AF112" i="56" s="1"/>
  <c r="AB187" i="56"/>
  <c r="O98" i="47"/>
  <c r="AJ122" i="56" l="1" a="1"/>
  <c r="AJ122" i="56" s="1"/>
  <c r="AK122" i="56" s="1" a="1"/>
  <c r="AK122" i="56" s="1"/>
  <c r="AA122" i="56" a="1"/>
  <c r="AA122" i="56" s="1"/>
  <c r="Y122" i="56" a="1"/>
  <c r="Y122" i="56" s="1"/>
  <c r="V112" i="56" a="1"/>
  <c r="V112" i="56" s="1"/>
  <c r="Q138" i="56" s="1"/>
  <c r="AM138" i="56"/>
  <c r="AF88" i="47" s="1"/>
  <c r="AY112" i="56" a="1"/>
  <c r="AY112" i="56" s="1"/>
  <c r="AN187" i="56"/>
  <c r="Y98" i="47"/>
  <c r="AL138" i="56"/>
  <c r="AE88" i="47" s="1"/>
  <c r="AT112" i="56" a="1"/>
  <c r="AT112" i="56" s="1"/>
  <c r="AU112" i="56" s="1" a="1"/>
  <c r="AU112" i="56" s="1"/>
  <c r="AV112" i="56" s="1" a="1"/>
  <c r="AV112" i="56" s="1"/>
  <c r="AW112" i="56" s="1" a="1"/>
  <c r="AW112" i="56" s="1"/>
  <c r="P98" i="47"/>
  <c r="AC187" i="56"/>
  <c r="AA138" i="56"/>
  <c r="AB138" i="56"/>
  <c r="AC138" i="56"/>
  <c r="V88" i="47" s="1"/>
  <c r="AG112" i="56" a="1"/>
  <c r="AG112" i="56" s="1"/>
  <c r="V148" i="56"/>
  <c r="Z122" i="56" a="1"/>
  <c r="Z122" i="56" s="1"/>
  <c r="AB122" i="56" a="1"/>
  <c r="AB122" i="56" s="1"/>
  <c r="AG148" i="56" l="1"/>
  <c r="AO187" i="56" s="1"/>
  <c r="R138" i="56"/>
  <c r="W112" i="56" a="1"/>
  <c r="W112" i="56" s="1"/>
  <c r="X112" i="56" s="1" a="1"/>
  <c r="X112" i="56" s="1"/>
  <c r="S138" i="56"/>
  <c r="N88" i="47" s="1"/>
  <c r="AZ112" i="56" a="1"/>
  <c r="AZ112" i="56" s="1"/>
  <c r="AO138" i="56" s="1"/>
  <c r="AH88" i="47" s="1"/>
  <c r="AJ88" i="47" s="1"/>
  <c r="AN138" i="56"/>
  <c r="AG88" i="47" s="1"/>
  <c r="AD138" i="56"/>
  <c r="W88" i="47" s="1"/>
  <c r="AH112" i="56" a="1"/>
  <c r="AH112" i="56" s="1"/>
  <c r="AD187" i="56"/>
  <c r="Q98" i="47"/>
  <c r="W148" i="56"/>
  <c r="AC122" i="56" a="1"/>
  <c r="AC122" i="56" s="1"/>
  <c r="X148" i="56" s="1"/>
  <c r="AH148" i="56"/>
  <c r="AL122" i="56" a="1"/>
  <c r="AL122" i="56" s="1"/>
  <c r="T138" i="56" l="1"/>
  <c r="O88" i="47" s="1"/>
  <c r="Z98" i="47"/>
  <c r="AI148" i="56"/>
  <c r="AM122" i="56" a="1"/>
  <c r="AM122" i="56" s="1"/>
  <c r="AJ148" i="56" s="1"/>
  <c r="AA98" i="47"/>
  <c r="AP187" i="56"/>
  <c r="U138" i="56"/>
  <c r="P88" i="47" s="1"/>
  <c r="AA112" i="56" a="1"/>
  <c r="AA112" i="56" s="1"/>
  <c r="Y112" i="56" a="1"/>
  <c r="Y112" i="56" s="1"/>
  <c r="R98" i="47"/>
  <c r="AE187" i="56"/>
  <c r="AH187" i="56"/>
  <c r="S98" i="47"/>
  <c r="AF187" i="56"/>
  <c r="AE138" i="56"/>
  <c r="X88" i="47" s="1"/>
  <c r="AI112" i="56" a="1"/>
  <c r="AI112" i="56" s="1"/>
  <c r="V138" i="56" l="1"/>
  <c r="Q88" i="47" s="1"/>
  <c r="Z112" i="56" a="1"/>
  <c r="Z112" i="56" s="1"/>
  <c r="AB112" i="56" a="1"/>
  <c r="AB112" i="56" s="1"/>
  <c r="AF138" i="56"/>
  <c r="Y88" i="47" s="1"/>
  <c r="AJ112" i="56" a="1"/>
  <c r="AJ112" i="56" s="1"/>
  <c r="AC98" i="47"/>
  <c r="AR187" i="56"/>
  <c r="AQ187" i="56"/>
  <c r="AB98" i="47"/>
  <c r="AG138" i="56" l="1"/>
  <c r="Z88" i="47" s="1"/>
  <c r="AK112" i="56" a="1"/>
  <c r="AK112" i="56" s="1"/>
  <c r="W138" i="56"/>
  <c r="R88" i="47" s="1"/>
  <c r="AC112" i="56" a="1"/>
  <c r="AC112" i="56" s="1"/>
  <c r="X138" i="56" s="1"/>
  <c r="S88" i="47" s="1"/>
  <c r="AH138" i="56" l="1"/>
  <c r="AA88" i="47" s="1"/>
  <c r="AL112" i="56" a="1"/>
  <c r="AL112" i="56" s="1"/>
  <c r="AI138" i="56" l="1"/>
  <c r="AB88" i="47" s="1"/>
  <c r="AM112" i="56" a="1"/>
  <c r="AM112" i="56" s="1"/>
  <c r="AJ138" i="56" s="1"/>
  <c r="AC88" i="47" s="1"/>
  <c r="F86" i="56"/>
  <c r="AT78" i="56" s="1"/>
  <c r="AT80" i="56" s="1"/>
  <c r="AT81" i="56" s="1"/>
  <c r="F36" i="56"/>
  <c r="P36" i="56" s="1"/>
  <c r="Z36" i="56" s="1"/>
  <c r="F30" i="56"/>
  <c r="F35" i="56"/>
  <c r="G35" i="56" s="1"/>
  <c r="F32" i="56"/>
  <c r="J32" i="56" s="1"/>
  <c r="F31" i="56"/>
  <c r="G31" i="56" s="1"/>
  <c r="F34" i="56"/>
  <c r="G34" i="56" s="1"/>
  <c r="F29" i="56"/>
  <c r="G29" i="56" s="1"/>
  <c r="F33" i="56"/>
  <c r="G33" i="56" s="1"/>
  <c r="F28" i="56"/>
  <c r="P28" i="56" s="1"/>
  <c r="Q28" i="56" s="1"/>
  <c r="F89" i="56" l="1"/>
  <c r="P35" i="56"/>
  <c r="Q35" i="56" s="1"/>
  <c r="R35" i="56" s="1"/>
  <c r="V35" i="56" s="1"/>
  <c r="P29" i="56"/>
  <c r="Q29" i="56" s="1"/>
  <c r="R29" i="56" s="1"/>
  <c r="T29" i="56" s="1"/>
  <c r="X29" i="56" s="1"/>
  <c r="P34" i="56"/>
  <c r="Q34" i="56" s="1"/>
  <c r="G28" i="56"/>
  <c r="G51" i="56" s="1"/>
  <c r="P31" i="56"/>
  <c r="Q31" i="56" s="1"/>
  <c r="S29" i="56"/>
  <c r="W29" i="56" s="1"/>
  <c r="P33" i="56"/>
  <c r="Q33" i="56" s="1"/>
  <c r="R33" i="56" s="1"/>
  <c r="V33" i="56" s="1"/>
  <c r="U29" i="56"/>
  <c r="AA28" i="56"/>
  <c r="R28" i="56"/>
  <c r="G55" i="56"/>
  <c r="G57" i="56"/>
  <c r="H34" i="56"/>
  <c r="H35" i="56"/>
  <c r="G58" i="56"/>
  <c r="Z28" i="56"/>
  <c r="P32" i="56"/>
  <c r="G30" i="56"/>
  <c r="P30" i="56"/>
  <c r="G56" i="56"/>
  <c r="H33" i="56"/>
  <c r="H29" i="56"/>
  <c r="G52" i="56"/>
  <c r="H31" i="56"/>
  <c r="G54" i="56"/>
  <c r="AA29" i="56" l="1"/>
  <c r="AB29" i="56"/>
  <c r="V29" i="56"/>
  <c r="Z29" i="56"/>
  <c r="AB35" i="56"/>
  <c r="AA35" i="56"/>
  <c r="S35" i="56"/>
  <c r="AC35" i="56" s="1"/>
  <c r="T35" i="56"/>
  <c r="X35" i="56" s="1"/>
  <c r="Z35" i="56"/>
  <c r="Z34" i="56"/>
  <c r="H28" i="56"/>
  <c r="I28" i="56" s="1"/>
  <c r="T33" i="56"/>
  <c r="X33" i="56" s="1"/>
  <c r="AB33" i="56"/>
  <c r="Z33" i="56"/>
  <c r="S33" i="56"/>
  <c r="W33" i="56" s="1"/>
  <c r="Z31" i="56"/>
  <c r="AA33" i="56"/>
  <c r="AA31" i="56"/>
  <c r="AC29" i="56"/>
  <c r="R31" i="56"/>
  <c r="AB31" i="56" s="1"/>
  <c r="I33" i="56"/>
  <c r="I56" i="56" s="1"/>
  <c r="U35" i="56"/>
  <c r="AA34" i="56"/>
  <c r="R34" i="56"/>
  <c r="G99" i="56"/>
  <c r="G53" i="56"/>
  <c r="H30" i="56"/>
  <c r="Z32" i="56"/>
  <c r="Q32" i="56"/>
  <c r="S32" i="56" s="1"/>
  <c r="T32" i="56" s="1"/>
  <c r="U32" i="56" s="1"/>
  <c r="V32" i="56" s="1"/>
  <c r="W32" i="56" s="1"/>
  <c r="X32" i="56" s="1"/>
  <c r="I34" i="56"/>
  <c r="I57" i="56" s="1"/>
  <c r="I55" i="56"/>
  <c r="Z30" i="56"/>
  <c r="Q30" i="56"/>
  <c r="I35" i="56"/>
  <c r="I58" i="56" s="1"/>
  <c r="G100" i="56"/>
  <c r="AB28" i="56"/>
  <c r="S28" i="56"/>
  <c r="V28" i="56"/>
  <c r="T28" i="56"/>
  <c r="G101" i="56"/>
  <c r="G97" i="56"/>
  <c r="G95" i="56"/>
  <c r="I31" i="56"/>
  <c r="I54" i="56" s="1"/>
  <c r="G94" i="56"/>
  <c r="I29" i="56"/>
  <c r="I52" i="56" s="1"/>
  <c r="G36" i="56"/>
  <c r="G59" i="56" s="1"/>
  <c r="W35" i="56"/>
  <c r="G98" i="56"/>
  <c r="AD29" i="56" l="1"/>
  <c r="AE29" i="56" s="1"/>
  <c r="AD35" i="56"/>
  <c r="AE35" i="56" s="1"/>
  <c r="AF35" i="56" s="1"/>
  <c r="AG35" i="56" s="1"/>
  <c r="AH35" i="56" s="1"/>
  <c r="N35" i="56" s="1"/>
  <c r="J29" i="56"/>
  <c r="J35" i="56"/>
  <c r="K35" i="56"/>
  <c r="AC33" i="56"/>
  <c r="H36" i="56"/>
  <c r="U33" i="56"/>
  <c r="T31" i="56"/>
  <c r="V31" i="56"/>
  <c r="S31" i="56"/>
  <c r="AC31" i="56" s="1"/>
  <c r="AD31" i="56" s="1"/>
  <c r="AE31" i="56" s="1"/>
  <c r="AF31" i="56" s="1"/>
  <c r="AG31" i="56" s="1"/>
  <c r="AH31" i="56" s="1"/>
  <c r="G84" i="56"/>
  <c r="G83" i="56"/>
  <c r="AA30" i="56"/>
  <c r="R30" i="56"/>
  <c r="Q36" i="56"/>
  <c r="G79" i="56"/>
  <c r="AA32" i="56"/>
  <c r="S34" i="56"/>
  <c r="V34" i="56"/>
  <c r="AB34" i="56"/>
  <c r="T34" i="56"/>
  <c r="AC28" i="56"/>
  <c r="AD28" i="56" s="1"/>
  <c r="AE28" i="56" s="1"/>
  <c r="AF28" i="56" s="1"/>
  <c r="AG28" i="56" s="1"/>
  <c r="AH28" i="56" s="1"/>
  <c r="W28" i="56"/>
  <c r="G81" i="56"/>
  <c r="I30" i="56"/>
  <c r="I53" i="56" s="1"/>
  <c r="I51" i="56"/>
  <c r="X28" i="56"/>
  <c r="U28" i="56"/>
  <c r="G78" i="56"/>
  <c r="G96" i="56"/>
  <c r="G85" i="56"/>
  <c r="M35" i="56"/>
  <c r="G82" i="56"/>
  <c r="G102" i="56"/>
  <c r="G86" i="56"/>
  <c r="J28" i="56" l="1"/>
  <c r="L35" i="56"/>
  <c r="L58" i="56" s="1"/>
  <c r="AD33" i="56"/>
  <c r="J31" i="56"/>
  <c r="AF29" i="56"/>
  <c r="K29" i="56"/>
  <c r="L31" i="56"/>
  <c r="L54" i="56" s="1"/>
  <c r="X31" i="56"/>
  <c r="W31" i="56"/>
  <c r="U31" i="56"/>
  <c r="I36" i="56"/>
  <c r="I59" i="56" s="1"/>
  <c r="I102" i="56" s="1"/>
  <c r="N31" i="56"/>
  <c r="K28" i="56"/>
  <c r="M31" i="56"/>
  <c r="M28" i="56"/>
  <c r="L28" i="56"/>
  <c r="L51" i="56" s="1"/>
  <c r="K31" i="56"/>
  <c r="X34" i="56"/>
  <c r="U34" i="56"/>
  <c r="AB32" i="56"/>
  <c r="AB30" i="56"/>
  <c r="S30" i="56"/>
  <c r="V30" i="56"/>
  <c r="T30" i="56"/>
  <c r="R36" i="56"/>
  <c r="G80" i="56"/>
  <c r="G89" i="56" s="1"/>
  <c r="AC34" i="56"/>
  <c r="W34" i="56"/>
  <c r="AA36" i="56"/>
  <c r="AD34" i="56" l="1"/>
  <c r="AG29" i="56"/>
  <c r="L29" i="56"/>
  <c r="L52" i="56" s="1"/>
  <c r="AE33" i="56"/>
  <c r="J33" i="56"/>
  <c r="I86" i="56"/>
  <c r="N28" i="56"/>
  <c r="AC32" i="56"/>
  <c r="X30" i="56"/>
  <c r="U30" i="56"/>
  <c r="T36" i="56"/>
  <c r="V36" i="56"/>
  <c r="W30" i="56"/>
  <c r="AC30" i="56"/>
  <c r="AD30" i="56" s="1"/>
  <c r="AE30" i="56" s="1"/>
  <c r="AF30" i="56" s="1"/>
  <c r="AG30" i="56" s="1"/>
  <c r="AH30" i="56" s="1"/>
  <c r="S36" i="56"/>
  <c r="J30" i="56"/>
  <c r="AB36" i="56"/>
  <c r="AE34" i="56" l="1"/>
  <c r="J34" i="56"/>
  <c r="J36" i="56" s="1"/>
  <c r="AD32" i="56"/>
  <c r="AE32" i="56" s="1"/>
  <c r="AF32" i="56" s="1"/>
  <c r="AG32" i="56" s="1"/>
  <c r="AH32" i="56" s="1"/>
  <c r="N32" i="56" s="1"/>
  <c r="AF33" i="56"/>
  <c r="K33" i="56"/>
  <c r="AH29" i="56"/>
  <c r="N29" i="56" s="1"/>
  <c r="M29" i="56"/>
  <c r="AD36" i="56"/>
  <c r="M30" i="56"/>
  <c r="W36" i="56"/>
  <c r="K32" i="56"/>
  <c r="K30" i="56"/>
  <c r="U36" i="56"/>
  <c r="X36" i="56"/>
  <c r="M32" i="56"/>
  <c r="L30" i="56"/>
  <c r="L53" i="56" s="1"/>
  <c r="AC36" i="56"/>
  <c r="AG33" i="56" l="1"/>
  <c r="L33" i="56"/>
  <c r="L56" i="56" s="1"/>
  <c r="L32" i="56"/>
  <c r="L55" i="56" s="1"/>
  <c r="AF34" i="56"/>
  <c r="K34" i="56"/>
  <c r="K36" i="56" s="1"/>
  <c r="N30" i="56"/>
  <c r="AE36" i="56"/>
  <c r="AG34" i="56" l="1"/>
  <c r="L34" i="56"/>
  <c r="AF36" i="56"/>
  <c r="AH33" i="56"/>
  <c r="N33" i="56" s="1"/>
  <c r="M33" i="56"/>
  <c r="L57" i="56" l="1"/>
  <c r="L36" i="56"/>
  <c r="L59" i="56" s="1"/>
  <c r="AH34" i="56"/>
  <c r="M34" i="56"/>
  <c r="M36" i="56" s="1"/>
  <c r="AG36" i="56"/>
  <c r="N179" i="56" a="1"/>
  <c r="N179" i="56" s="1"/>
  <c r="L179" i="56" a="1"/>
  <c r="L179" i="56" s="1"/>
  <c r="N181" i="56" a="1"/>
  <c r="N181" i="56" s="1"/>
  <c r="L181" i="56" a="1"/>
  <c r="L181" i="56" s="1"/>
  <c r="L182" i="56" a="1"/>
  <c r="L182" i="56" s="1"/>
  <c r="M182" i="56" s="1" a="1"/>
  <c r="M182" i="56" s="1"/>
  <c r="P182" i="56" a="1"/>
  <c r="P182" i="56" s="1"/>
  <c r="L183" i="56" a="1"/>
  <c r="L183" i="56" s="1"/>
  <c r="N183" i="56" a="1"/>
  <c r="N183" i="56" s="1"/>
  <c r="P183" i="56" a="1"/>
  <c r="P183" i="56" s="1"/>
  <c r="N184" i="56" a="1"/>
  <c r="N184" i="56" s="1"/>
  <c r="L184" i="56" a="1"/>
  <c r="L184" i="56" s="1"/>
  <c r="M184" i="56" s="1" a="1"/>
  <c r="M184" i="56" s="1"/>
  <c r="P184" i="56" a="1"/>
  <c r="P184" i="56" s="1"/>
  <c r="P185" i="56" a="1"/>
  <c r="P185" i="56" s="1"/>
  <c r="L185" i="56" a="1"/>
  <c r="L185" i="56" s="1"/>
  <c r="N180" i="56" a="1"/>
  <c r="N180" i="56" s="1"/>
  <c r="P180" i="56" a="1"/>
  <c r="P180" i="56" s="1"/>
  <c r="H51" i="56"/>
  <c r="L86" i="56" l="1"/>
  <c r="L102" i="56"/>
  <c r="N34" i="56"/>
  <c r="N36" i="56" s="1"/>
  <c r="AH36" i="56"/>
  <c r="R178" i="56" a="1"/>
  <c r="R178" i="56" s="1"/>
  <c r="S178" i="56" s="1" a="1"/>
  <c r="S178" i="56" s="1"/>
  <c r="T178" i="56" s="1" a="1"/>
  <c r="T178" i="56" s="1"/>
  <c r="J59" i="56"/>
  <c r="J102" i="56" s="1"/>
  <c r="H94" i="56"/>
  <c r="J57" i="56"/>
  <c r="H57" i="56"/>
  <c r="R184" i="56" s="1" a="1"/>
  <c r="R184" i="56" s="1"/>
  <c r="S184" i="56" s="1" a="1"/>
  <c r="S184" i="56" s="1"/>
  <c r="T184" i="56" s="1" a="1"/>
  <c r="T184" i="56" s="1"/>
  <c r="J51" i="56"/>
  <c r="U178" i="56" s="1" a="1"/>
  <c r="U178" i="56" s="1"/>
  <c r="J54" i="56"/>
  <c r="J58" i="56"/>
  <c r="H55" i="56"/>
  <c r="R182" i="56" s="1" a="1"/>
  <c r="R182" i="56" s="1"/>
  <c r="S182" i="56" s="1" a="1"/>
  <c r="S182" i="56" s="1"/>
  <c r="T182" i="56" s="1" a="1"/>
  <c r="T182" i="56" s="1"/>
  <c r="P55" i="56"/>
  <c r="P53" i="56"/>
  <c r="P57" i="56"/>
  <c r="P51" i="56"/>
  <c r="P54" i="56"/>
  <c r="P58" i="56"/>
  <c r="Z60" i="56"/>
  <c r="P52" i="56"/>
  <c r="P56" i="56"/>
  <c r="P59" i="56"/>
  <c r="J56" i="56"/>
  <c r="Q60" i="56"/>
  <c r="R60" i="56" s="1"/>
  <c r="R52" i="56" s="1"/>
  <c r="J53" i="56"/>
  <c r="H56" i="56"/>
  <c r="R183" i="56" s="1" a="1"/>
  <c r="R183" i="56" s="1"/>
  <c r="S183" i="56" s="1" a="1"/>
  <c r="S183" i="56" s="1"/>
  <c r="T183" i="56" s="1" a="1"/>
  <c r="T183" i="56" s="1"/>
  <c r="H54" i="56"/>
  <c r="R181" i="56" s="1" a="1"/>
  <c r="R181" i="56" s="1"/>
  <c r="S181" i="56" s="1" a="1"/>
  <c r="S181" i="56" s="1"/>
  <c r="T181" i="56" s="1" a="1"/>
  <c r="T181" i="56" s="1"/>
  <c r="H59" i="56"/>
  <c r="H52" i="56"/>
  <c r="R179" i="56" s="1" a="1"/>
  <c r="R179" i="56" s="1"/>
  <c r="S179" i="56" s="1" a="1"/>
  <c r="S179" i="56" s="1"/>
  <c r="T179" i="56" s="1" a="1"/>
  <c r="T179" i="56" s="1"/>
  <c r="J52" i="56"/>
  <c r="J55" i="56"/>
  <c r="L178" i="56" a="1"/>
  <c r="L178" i="56" s="1"/>
  <c r="M178" i="56" s="1" a="1"/>
  <c r="M178" i="56" s="1"/>
  <c r="N178" i="56" a="1"/>
  <c r="N178" i="56" s="1"/>
  <c r="P178" i="56" a="1"/>
  <c r="P178" i="56" s="1"/>
  <c r="Q178" i="56" s="1" a="1"/>
  <c r="Q178" i="56" s="1"/>
  <c r="H53" i="56"/>
  <c r="R180" i="56" s="1" a="1"/>
  <c r="R180" i="56" s="1"/>
  <c r="S180" i="56" s="1" a="1"/>
  <c r="S180" i="56" s="1"/>
  <c r="T180" i="56" s="1" a="1"/>
  <c r="T180" i="56" s="1"/>
  <c r="H58" i="56"/>
  <c r="R185" i="56" s="1" a="1"/>
  <c r="R185" i="56" s="1"/>
  <c r="S185" i="56" s="1" a="1"/>
  <c r="S185" i="56" s="1"/>
  <c r="T185" i="56" s="1" a="1"/>
  <c r="T185" i="56" s="1"/>
  <c r="O183" i="56" a="1"/>
  <c r="O183" i="56" s="1"/>
  <c r="M183" i="56" a="1"/>
  <c r="M183" i="56" s="1"/>
  <c r="M179" i="56" a="1"/>
  <c r="M179" i="56" s="1"/>
  <c r="N185" i="56" a="1"/>
  <c r="N185" i="56" s="1"/>
  <c r="O179" i="56" a="1"/>
  <c r="O179" i="56" s="1"/>
  <c r="O181" i="56" a="1"/>
  <c r="O181" i="56" s="1"/>
  <c r="L180" i="56" a="1"/>
  <c r="L180" i="56" s="1"/>
  <c r="M180" i="56" s="1" a="1"/>
  <c r="M180" i="56" s="1"/>
  <c r="N182" i="56" a="1"/>
  <c r="N182" i="56" s="1"/>
  <c r="O185" i="56" a="1"/>
  <c r="O185" i="56" s="1"/>
  <c r="O182" i="56" a="1"/>
  <c r="O182" i="56" s="1"/>
  <c r="P181" i="56" a="1"/>
  <c r="P181" i="56" s="1"/>
  <c r="O184" i="56" a="1"/>
  <c r="O184" i="56" s="1"/>
  <c r="P179" i="56" a="1"/>
  <c r="P179" i="56" s="1"/>
  <c r="Q179" i="56" s="1" a="1"/>
  <c r="Q179" i="56" s="1"/>
  <c r="M185" i="56" a="1"/>
  <c r="M185" i="56" s="1"/>
  <c r="M181" i="56" a="1"/>
  <c r="M181" i="56" s="1"/>
  <c r="J86" i="56" l="1"/>
  <c r="AV78" i="56" s="1"/>
  <c r="R56" i="56"/>
  <c r="R57" i="56"/>
  <c r="R84" i="56" s="1"/>
  <c r="R100" i="56" s="1"/>
  <c r="AB100" i="56" s="1"/>
  <c r="R51" i="56"/>
  <c r="R59" i="56"/>
  <c r="AB59" i="56" s="1"/>
  <c r="AB86" i="56" s="1"/>
  <c r="R53" i="56"/>
  <c r="AB53" i="56" s="1"/>
  <c r="AB80" i="56" s="1"/>
  <c r="S60" i="56"/>
  <c r="T60" i="56" s="1"/>
  <c r="U60" i="56" s="1"/>
  <c r="V60" i="56" s="1"/>
  <c r="W60" i="56" s="1"/>
  <c r="X60" i="56" s="1"/>
  <c r="AB60" i="56"/>
  <c r="AD60" i="56" s="1"/>
  <c r="R55" i="56"/>
  <c r="AB55" i="56" s="1"/>
  <c r="AB82" i="56" s="1"/>
  <c r="R54" i="56"/>
  <c r="AB54" i="56" s="1"/>
  <c r="AB81" i="56" s="1"/>
  <c r="R58" i="56"/>
  <c r="AB58" i="56" s="1"/>
  <c r="AB85" i="56" s="1"/>
  <c r="Q181" i="56" a="1"/>
  <c r="Q181" i="56" s="1"/>
  <c r="Q180" i="56" a="1"/>
  <c r="Q180" i="56" s="1"/>
  <c r="Q182" i="56" a="1"/>
  <c r="Q182" i="56" s="1"/>
  <c r="Q183" i="56" a="1"/>
  <c r="Q183" i="56" s="1"/>
  <c r="Q184" i="56" a="1"/>
  <c r="Q184" i="56" s="1"/>
  <c r="Q185" i="56" a="1"/>
  <c r="Q185" i="56" s="1"/>
  <c r="O178" i="56" a="1"/>
  <c r="O178" i="56" s="1"/>
  <c r="H96" i="56"/>
  <c r="I96" i="56" s="1"/>
  <c r="J96" i="56" s="1"/>
  <c r="U180" i="56" a="1"/>
  <c r="U180" i="56" s="1"/>
  <c r="U183" i="56" a="1"/>
  <c r="U183" i="56" s="1"/>
  <c r="H99" i="56"/>
  <c r="P78" i="56"/>
  <c r="Z51" i="56"/>
  <c r="Z78" i="56" s="1"/>
  <c r="AD121" i="56" a="1"/>
  <c r="AD121" i="56" s="1"/>
  <c r="Y147" i="56" s="1"/>
  <c r="Q54" i="56"/>
  <c r="Q56" i="56"/>
  <c r="AA60" i="56"/>
  <c r="Q55" i="56"/>
  <c r="Q53" i="56"/>
  <c r="Q58" i="56"/>
  <c r="Q52" i="56"/>
  <c r="Q57" i="56"/>
  <c r="Q51" i="56"/>
  <c r="Q59" i="56"/>
  <c r="P80" i="56"/>
  <c r="P96" i="56" s="1"/>
  <c r="Z96" i="56" s="1"/>
  <c r="Z53" i="56"/>
  <c r="Z80" i="56" s="1"/>
  <c r="AG185" i="56" a="1"/>
  <c r="AG185" i="56" s="1"/>
  <c r="AI185" i="56" a="1"/>
  <c r="AI185" i="56" s="1"/>
  <c r="AG183" i="56" a="1"/>
  <c r="AG183" i="56" s="1"/>
  <c r="AI183" i="56" a="1"/>
  <c r="AI183" i="56" s="1"/>
  <c r="P82" i="56"/>
  <c r="P98" i="56" s="1"/>
  <c r="Z98" i="56" s="1"/>
  <c r="Z55" i="56"/>
  <c r="Z82" i="56" s="1"/>
  <c r="AG181" i="56" a="1"/>
  <c r="AG181" i="56" s="1"/>
  <c r="AI181" i="56" a="1"/>
  <c r="AI181" i="56" s="1"/>
  <c r="K56" i="56"/>
  <c r="K52" i="56"/>
  <c r="K53" i="56"/>
  <c r="K59" i="56"/>
  <c r="K54" i="56"/>
  <c r="K51" i="56"/>
  <c r="K58" i="56"/>
  <c r="K57" i="56"/>
  <c r="K55" i="56"/>
  <c r="AI178" i="56" a="1"/>
  <c r="AI178" i="56" s="1"/>
  <c r="AG178" i="56" a="1"/>
  <c r="AG178" i="56" s="1"/>
  <c r="R78" i="56"/>
  <c r="AB51" i="56"/>
  <c r="AB78" i="56" s="1"/>
  <c r="M52" i="56"/>
  <c r="M58" i="56"/>
  <c r="M54" i="56"/>
  <c r="M55" i="56"/>
  <c r="M53" i="56"/>
  <c r="M59" i="56"/>
  <c r="M57" i="56"/>
  <c r="M56" i="56"/>
  <c r="M51" i="56"/>
  <c r="H98" i="56"/>
  <c r="I98" i="56" s="1"/>
  <c r="J98" i="56" s="1"/>
  <c r="U182" i="56" a="1"/>
  <c r="U182" i="56" s="1"/>
  <c r="P86" i="56"/>
  <c r="Z59" i="56"/>
  <c r="Z86" i="56" s="1"/>
  <c r="U184" i="56" a="1"/>
  <c r="U184" i="56" s="1"/>
  <c r="H100" i="56"/>
  <c r="I100" i="56" s="1"/>
  <c r="J100" i="56" s="1"/>
  <c r="P84" i="56"/>
  <c r="P100" i="56" s="1"/>
  <c r="Z100" i="56" s="1"/>
  <c r="Z57" i="56"/>
  <c r="Z84" i="56" s="1"/>
  <c r="AG182" i="56" a="1"/>
  <c r="AG182" i="56" s="1"/>
  <c r="AI182" i="56" a="1"/>
  <c r="AI182" i="56" s="1"/>
  <c r="Z56" i="56"/>
  <c r="Z83" i="56" s="1"/>
  <c r="P83" i="56"/>
  <c r="P99" i="56" s="1"/>
  <c r="Z99" i="56" s="1"/>
  <c r="R86" i="56"/>
  <c r="AO78" i="56" s="1"/>
  <c r="AG184" i="56" a="1"/>
  <c r="AG184" i="56" s="1"/>
  <c r="AI184" i="56" a="1"/>
  <c r="AI184" i="56" s="1"/>
  <c r="O180" i="56" a="1"/>
  <c r="O180" i="56" s="1"/>
  <c r="P186" i="56"/>
  <c r="AG179" i="56" a="1"/>
  <c r="AG179" i="56" s="1"/>
  <c r="AI179" i="56" a="1"/>
  <c r="AI179" i="56" s="1"/>
  <c r="P79" i="56"/>
  <c r="P95" i="56" s="1"/>
  <c r="Z95" i="56" s="1"/>
  <c r="Z52" i="56"/>
  <c r="Z79" i="56" s="1"/>
  <c r="R79" i="56"/>
  <c r="R95" i="56" s="1"/>
  <c r="AB95" i="56" s="1"/>
  <c r="AB52" i="56"/>
  <c r="AB79" i="56" s="1"/>
  <c r="H78" i="56"/>
  <c r="U179" i="56" a="1"/>
  <c r="U179" i="56" s="1"/>
  <c r="H95" i="56"/>
  <c r="I94" i="56"/>
  <c r="J94" i="56" s="1"/>
  <c r="P113" i="56" s="1" a="1"/>
  <c r="P113" i="56" s="1"/>
  <c r="M139" i="56" s="1"/>
  <c r="J89" i="47" s="1"/>
  <c r="H86" i="56"/>
  <c r="AU78" i="56" s="1"/>
  <c r="H102" i="56"/>
  <c r="P85" i="56"/>
  <c r="P101" i="56" s="1"/>
  <c r="Z101" i="56" s="1"/>
  <c r="Z58" i="56"/>
  <c r="Z85" i="56" s="1"/>
  <c r="AI180" i="56" a="1"/>
  <c r="AI180" i="56" s="1"/>
  <c r="AG180" i="56" a="1"/>
  <c r="AG180" i="56" s="1"/>
  <c r="U185" i="56" a="1"/>
  <c r="U185" i="56" s="1"/>
  <c r="H101" i="56"/>
  <c r="H97" i="56"/>
  <c r="I97" i="56" s="1"/>
  <c r="J97" i="56" s="1"/>
  <c r="U181" i="56" a="1"/>
  <c r="U181" i="56" s="1"/>
  <c r="P81" i="56"/>
  <c r="P97" i="56" s="1"/>
  <c r="Z97" i="56" s="1"/>
  <c r="Z54" i="56"/>
  <c r="Z81" i="56" s="1"/>
  <c r="R83" i="56"/>
  <c r="R99" i="56" s="1"/>
  <c r="AB99" i="56" s="1"/>
  <c r="AB56" i="56"/>
  <c r="AB83" i="56" s="1"/>
  <c r="T57" i="56" l="1"/>
  <c r="T84" i="56" s="1"/>
  <c r="T100" i="56" s="1"/>
  <c r="T54" i="56"/>
  <c r="T81" i="56" s="1"/>
  <c r="T97" i="56" s="1"/>
  <c r="R82" i="56"/>
  <c r="R98" i="56" s="1"/>
  <c r="AB98" i="56" s="1"/>
  <c r="AB57" i="56"/>
  <c r="AB84" i="56" s="1"/>
  <c r="T52" i="56"/>
  <c r="T79" i="56" s="1"/>
  <c r="T95" i="56" s="1"/>
  <c r="R85" i="56"/>
  <c r="R101" i="56" s="1"/>
  <c r="AB101" i="56" s="1"/>
  <c r="T51" i="56"/>
  <c r="T78" i="56" s="1"/>
  <c r="T94" i="56" s="1"/>
  <c r="R81" i="56"/>
  <c r="R97" i="56" s="1"/>
  <c r="AB97" i="56" s="1"/>
  <c r="R80" i="56"/>
  <c r="R96" i="56" s="1"/>
  <c r="AB96" i="56" s="1"/>
  <c r="T56" i="56"/>
  <c r="T83" i="56" s="1"/>
  <c r="T99" i="56" s="1"/>
  <c r="T55" i="56"/>
  <c r="T82" i="56" s="1"/>
  <c r="T98" i="56" s="1"/>
  <c r="T59" i="56"/>
  <c r="T86" i="56" s="1"/>
  <c r="AP78" i="56" s="1"/>
  <c r="T53" i="56"/>
  <c r="T80" i="56" s="1"/>
  <c r="T96" i="56" s="1"/>
  <c r="T58" i="56"/>
  <c r="T85" i="56" s="1"/>
  <c r="T101" i="56" s="1"/>
  <c r="AE60" i="56"/>
  <c r="AD58" i="56"/>
  <c r="AD85" i="56" s="1"/>
  <c r="AD101" i="56" s="1"/>
  <c r="AD57" i="56"/>
  <c r="AD84" i="56" s="1"/>
  <c r="AD100" i="56" s="1"/>
  <c r="AD56" i="56"/>
  <c r="AD83" i="56" s="1"/>
  <c r="AD99" i="56" s="1"/>
  <c r="AD55" i="56"/>
  <c r="AD82" i="56" s="1"/>
  <c r="AD98" i="56" s="1"/>
  <c r="AD59" i="56"/>
  <c r="AD86" i="56" s="1"/>
  <c r="AD52" i="56"/>
  <c r="AD79" i="56" s="1"/>
  <c r="AD95" i="56" s="1"/>
  <c r="AD54" i="56"/>
  <c r="AD81" i="56" s="1"/>
  <c r="AD97" i="56" s="1"/>
  <c r="AD51" i="56"/>
  <c r="AD78" i="56" s="1"/>
  <c r="AD53" i="56"/>
  <c r="AD80" i="56" s="1"/>
  <c r="AD96" i="56" s="1"/>
  <c r="AG60" i="56"/>
  <c r="X185" i="56" a="1"/>
  <c r="X185" i="56" s="1"/>
  <c r="V185" i="56" a="1"/>
  <c r="V185" i="56" s="1"/>
  <c r="Y185" i="56" s="1" a="1"/>
  <c r="Y185" i="56" s="1"/>
  <c r="X181" i="56" a="1"/>
  <c r="X181" i="56" s="1"/>
  <c r="V181" i="56" a="1"/>
  <c r="V181" i="56" s="1"/>
  <c r="Y181" i="56" s="1" a="1"/>
  <c r="Y181" i="56" s="1"/>
  <c r="V178" i="56" a="1"/>
  <c r="V178" i="56" s="1"/>
  <c r="Y178" i="56" s="1" a="1"/>
  <c r="Y178" i="56" s="1"/>
  <c r="X178" i="56" a="1"/>
  <c r="X178" i="56" s="1"/>
  <c r="V180" i="56" a="1"/>
  <c r="V180" i="56" s="1"/>
  <c r="X180" i="56" a="1"/>
  <c r="X180" i="56" s="1"/>
  <c r="R113" i="56" a="1"/>
  <c r="R113" i="56" s="1"/>
  <c r="X179" i="56" a="1"/>
  <c r="X179" i="56" s="1"/>
  <c r="V179" i="56" a="1"/>
  <c r="V179" i="56" s="1"/>
  <c r="V183" i="56" a="1"/>
  <c r="V183" i="56" s="1"/>
  <c r="Y183" i="56" s="1" a="1"/>
  <c r="Y183" i="56" s="1"/>
  <c r="X183" i="56" a="1"/>
  <c r="X183" i="56" s="1"/>
  <c r="X182" i="56" a="1"/>
  <c r="X182" i="56" s="1"/>
  <c r="V182" i="56" a="1"/>
  <c r="V182" i="56" s="1"/>
  <c r="W181" i="56" a="1"/>
  <c r="W181" i="56" s="1"/>
  <c r="Z181" i="56" s="1" a="1"/>
  <c r="Z181" i="56" s="1"/>
  <c r="AA181" i="56" s="1" a="1"/>
  <c r="AA181" i="56" s="1"/>
  <c r="AB181" i="56" s="1" a="1"/>
  <c r="AB181" i="56" s="1"/>
  <c r="AC181" i="56" s="1" a="1"/>
  <c r="AC181" i="56" s="1"/>
  <c r="AD181" i="56" s="1" a="1"/>
  <c r="AD181" i="56" s="1"/>
  <c r="AE181" i="56" s="1" a="1"/>
  <c r="AE181" i="56" s="1"/>
  <c r="AF181" i="56" s="1" a="1"/>
  <c r="AF181" i="56" s="1"/>
  <c r="X184" i="56" a="1"/>
  <c r="X184" i="56" s="1"/>
  <c r="V184" i="56" a="1"/>
  <c r="V184" i="56" s="1"/>
  <c r="M98" i="56"/>
  <c r="M82" i="56" s="1"/>
  <c r="M113" i="56" a="1"/>
  <c r="M113" i="56" s="1"/>
  <c r="I101" i="56"/>
  <c r="J101" i="56" s="1"/>
  <c r="M101" i="56" s="1"/>
  <c r="M85" i="56" s="1"/>
  <c r="M120" i="56" a="1"/>
  <c r="M120" i="56" s="1"/>
  <c r="J81" i="56"/>
  <c r="J78" i="56"/>
  <c r="J84" i="56"/>
  <c r="J80" i="56"/>
  <c r="H79" i="56"/>
  <c r="M121" i="56" a="1"/>
  <c r="M121" i="56" s="1"/>
  <c r="P119" i="56" a="1"/>
  <c r="P119" i="56" s="1"/>
  <c r="M145" i="56" s="1"/>
  <c r="J95" i="47" s="1"/>
  <c r="R119" i="56" a="1"/>
  <c r="R119" i="56" s="1"/>
  <c r="H84" i="56"/>
  <c r="M102" i="56"/>
  <c r="M86" i="56"/>
  <c r="AS182" i="56" a="1"/>
  <c r="AS182" i="56"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K98" i="56"/>
  <c r="S117" i="56" s="1" a="1"/>
  <c r="S117" i="56" s="1"/>
  <c r="N143" i="56" s="1"/>
  <c r="K93" i="47" s="1"/>
  <c r="Q81" i="56"/>
  <c r="Q97" i="56" s="1"/>
  <c r="AA97" i="56" s="1"/>
  <c r="AA54" i="56"/>
  <c r="AA81" i="56" s="1"/>
  <c r="M96" i="56"/>
  <c r="M80" i="56" s="1"/>
  <c r="W59" i="56"/>
  <c r="W86" i="56" s="1"/>
  <c r="W56" i="56"/>
  <c r="W83" i="56" s="1"/>
  <c r="W99" i="56" s="1"/>
  <c r="W54" i="56"/>
  <c r="W81" i="56" s="1"/>
  <c r="W97" i="56" s="1"/>
  <c r="W52" i="56"/>
  <c r="W79" i="56" s="1"/>
  <c r="W95" i="56" s="1"/>
  <c r="W57" i="56"/>
  <c r="W84" i="56" s="1"/>
  <c r="W100" i="56" s="1"/>
  <c r="W58" i="56"/>
  <c r="W85" i="56" s="1"/>
  <c r="W101" i="56" s="1"/>
  <c r="W55" i="56"/>
  <c r="W82" i="56" s="1"/>
  <c r="W98" i="56" s="1"/>
  <c r="W53" i="56"/>
  <c r="W80" i="56" s="1"/>
  <c r="W96" i="56" s="1"/>
  <c r="W51" i="56"/>
  <c r="W78" i="56" s="1"/>
  <c r="AS184" i="56" a="1"/>
  <c r="AS184" i="56" s="1"/>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K100" i="56"/>
  <c r="S119" i="56" s="1" a="1"/>
  <c r="S119" i="56" s="1"/>
  <c r="N145" i="56" s="1"/>
  <c r="K95" i="47" s="1"/>
  <c r="AS185" i="56" a="1"/>
  <c r="AS185" i="56"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S58" i="56"/>
  <c r="S57" i="56"/>
  <c r="S56" i="56"/>
  <c r="S54" i="56"/>
  <c r="S52" i="56"/>
  <c r="S51" i="56"/>
  <c r="S53" i="56"/>
  <c r="S59" i="56"/>
  <c r="S55" i="56"/>
  <c r="AC60" i="56"/>
  <c r="AF60" i="56" s="1"/>
  <c r="Z89" i="56"/>
  <c r="M97" i="56"/>
  <c r="M81" i="56" s="1"/>
  <c r="U58" i="56"/>
  <c r="U85" i="56" s="1"/>
  <c r="U101" i="56" s="1"/>
  <c r="U55" i="56"/>
  <c r="U82" i="56" s="1"/>
  <c r="U98" i="56" s="1"/>
  <c r="U56" i="56"/>
  <c r="U83" i="56" s="1"/>
  <c r="U99" i="56" s="1"/>
  <c r="U54" i="56"/>
  <c r="U81" i="56" s="1"/>
  <c r="U97" i="56" s="1"/>
  <c r="U53" i="56"/>
  <c r="U80" i="56" s="1"/>
  <c r="U96" i="56" s="1"/>
  <c r="U51" i="56"/>
  <c r="U78" i="56" s="1"/>
  <c r="U59" i="56"/>
  <c r="U86" i="56" s="1"/>
  <c r="AQ78" i="56" s="1"/>
  <c r="U52" i="56"/>
  <c r="U79" i="56" s="1"/>
  <c r="U95" i="56" s="1"/>
  <c r="U57" i="56"/>
  <c r="U84" i="56" s="1"/>
  <c r="U100" i="56" s="1"/>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AS178" i="56" a="1"/>
  <c r="AS178" i="56" s="1"/>
  <c r="K94" i="56"/>
  <c r="S113" i="56" s="1" a="1"/>
  <c r="S113" i="56" s="1"/>
  <c r="N139" i="56" s="1"/>
  <c r="K89" i="47" s="1"/>
  <c r="AA59" i="56"/>
  <c r="AA86" i="56" s="1"/>
  <c r="Q86" i="56"/>
  <c r="AN77" i="56"/>
  <c r="P89" i="56"/>
  <c r="P73" i="56" s="1"/>
  <c r="P94" i="56"/>
  <c r="Z94" i="56" s="1"/>
  <c r="M100" i="56"/>
  <c r="M84" i="56" s="1"/>
  <c r="Q83" i="56"/>
  <c r="Q99" i="56" s="1"/>
  <c r="AA99" i="56" s="1"/>
  <c r="AA56" i="56"/>
  <c r="AA83"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AS181" i="56" a="1"/>
  <c r="AS181" i="56" s="1"/>
  <c r="K97" i="56"/>
  <c r="S116" i="56" s="1" a="1"/>
  <c r="S116" i="56" s="1"/>
  <c r="N142" i="56" s="1"/>
  <c r="K92" i="47" s="1"/>
  <c r="Q78" i="56"/>
  <c r="AA51" i="56"/>
  <c r="AA78" i="56" s="1"/>
  <c r="H83" i="56"/>
  <c r="R121" i="56" a="1"/>
  <c r="R121" i="56" s="1"/>
  <c r="P121" i="56" a="1"/>
  <c r="P121" i="56" s="1"/>
  <c r="M147" i="56" s="1"/>
  <c r="I81" i="56"/>
  <c r="L97" i="56"/>
  <c r="AD116" i="56" s="1" a="1"/>
  <c r="AD116" i="56" s="1"/>
  <c r="Y142" i="56" s="1"/>
  <c r="T92" i="47" s="1"/>
  <c r="AN78" i="56"/>
  <c r="K86" i="56"/>
  <c r="AW78" i="56" s="1"/>
  <c r="K102" i="56"/>
  <c r="AA57" i="56"/>
  <c r="AA84" i="56" s="1"/>
  <c r="Q84" i="56"/>
  <c r="Q100" i="56" s="1"/>
  <c r="AA100" i="56" s="1"/>
  <c r="I99" i="56"/>
  <c r="I78" i="56"/>
  <c r="L94" i="56"/>
  <c r="AD113" i="56" s="1" a="1"/>
  <c r="AD113" i="56" s="1"/>
  <c r="Y139" i="56" s="1"/>
  <c r="T89" i="47" s="1"/>
  <c r="J82" i="56"/>
  <c r="I82" i="56"/>
  <c r="L98" i="56"/>
  <c r="AD117" i="56" s="1" a="1"/>
  <c r="AD117" i="56" s="1"/>
  <c r="Y143" i="56" s="1"/>
  <c r="T93" i="47" s="1"/>
  <c r="AB89" i="56"/>
  <c r="N58" i="56"/>
  <c r="AU185" i="56" s="1" a="1"/>
  <c r="AU185" i="56" s="1"/>
  <c r="AV185" i="56" s="1" a="1"/>
  <c r="AV185" i="56" s="1"/>
  <c r="AW185" i="56" s="1" a="1"/>
  <c r="AW185" i="56" s="1"/>
  <c r="N55" i="56"/>
  <c r="N56" i="56"/>
  <c r="AU183" i="56" s="1" a="1"/>
  <c r="AU183" i="56" s="1"/>
  <c r="AV183" i="56" s="1" a="1"/>
  <c r="AV183" i="56" s="1"/>
  <c r="AW183" i="56" s="1" a="1"/>
  <c r="AW183" i="56" s="1"/>
  <c r="N54" i="56"/>
  <c r="AU181" i="56" s="1" a="1"/>
  <c r="AU181" i="56" s="1"/>
  <c r="AV181" i="56" s="1" a="1"/>
  <c r="AV181" i="56" s="1"/>
  <c r="AW181" i="56" s="1" a="1"/>
  <c r="AW181" i="56" s="1"/>
  <c r="N57" i="56"/>
  <c r="AU184" i="56" s="1" a="1"/>
  <c r="AU184" i="56" s="1"/>
  <c r="AV184" i="56" s="1" a="1"/>
  <c r="AV184" i="56" s="1"/>
  <c r="AW184" i="56" s="1" a="1"/>
  <c r="AW184" i="56" s="1"/>
  <c r="N52" i="56"/>
  <c r="AU179" i="56" s="1" a="1"/>
  <c r="AU179" i="56" s="1"/>
  <c r="AV179" i="56" s="1" a="1"/>
  <c r="AV179" i="56" s="1"/>
  <c r="AW179" i="56" s="1" a="1"/>
  <c r="AW179" i="56" s="1"/>
  <c r="N51" i="56"/>
  <c r="AU178" i="56" s="1" a="1"/>
  <c r="AU178" i="56" s="1"/>
  <c r="AV178" i="56" s="1" a="1"/>
  <c r="AV178" i="56" s="1"/>
  <c r="AW178" i="56" s="1" a="1"/>
  <c r="AW178" i="56" s="1"/>
  <c r="N53" i="56"/>
  <c r="AU180" i="56" s="1" a="1"/>
  <c r="AU180" i="56" s="1"/>
  <c r="AV180" i="56" s="1" a="1"/>
  <c r="AV180" i="56" s="1"/>
  <c r="AW180" i="56" s="1" a="1"/>
  <c r="AW180" i="56" s="1"/>
  <c r="N59" i="56"/>
  <c r="Q79" i="56"/>
  <c r="Q95" i="56" s="1"/>
  <c r="AA95" i="56" s="1"/>
  <c r="AA52" i="56"/>
  <c r="AA79" i="56" s="1"/>
  <c r="AG186" i="56"/>
  <c r="AI186" i="56"/>
  <c r="T97" i="47"/>
  <c r="I84" i="56"/>
  <c r="L100" i="56"/>
  <c r="AD119" i="56" s="1" a="1"/>
  <c r="AD119" i="56" s="1"/>
  <c r="Y145" i="56" s="1"/>
  <c r="T95" i="47" s="1"/>
  <c r="P116" i="56" a="1"/>
  <c r="P116" i="56" s="1"/>
  <c r="M142" i="56" s="1"/>
  <c r="J92" i="47" s="1"/>
  <c r="H81" i="56"/>
  <c r="R116" i="56" a="1"/>
  <c r="R116" i="56" s="1"/>
  <c r="R94" i="56"/>
  <c r="AB94" i="56" s="1"/>
  <c r="AS180" i="56" a="1"/>
  <c r="AS180" i="56" s="1"/>
  <c r="K96" i="56"/>
  <c r="S115" i="56" s="1" a="1"/>
  <c r="S115" i="56" s="1"/>
  <c r="N141" i="56" s="1"/>
  <c r="K91" i="47"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AA58" i="56"/>
  <c r="AA85" i="56" s="1"/>
  <c r="Q85" i="56"/>
  <c r="Q101" i="56" s="1"/>
  <c r="AA101" i="56" s="1"/>
  <c r="I80" i="56"/>
  <c r="L96" i="56"/>
  <c r="AD115" i="56" s="1" a="1"/>
  <c r="AD115" i="56" s="1"/>
  <c r="Y141" i="56" s="1"/>
  <c r="T91" i="47" s="1"/>
  <c r="L186" i="56"/>
  <c r="N186" i="56"/>
  <c r="H82" i="56"/>
  <c r="P117" i="56" a="1"/>
  <c r="P117" i="56" s="1"/>
  <c r="M143" i="56" s="1"/>
  <c r="J93" i="47" s="1"/>
  <c r="R117" i="56" a="1"/>
  <c r="R117" i="56"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AS179" i="56" a="1"/>
  <c r="AS179" i="56" s="1"/>
  <c r="AA53" i="56"/>
  <c r="AA80" i="56" s="1"/>
  <c r="Q80" i="56"/>
  <c r="Q96" i="56" s="1"/>
  <c r="AA96" i="56" s="1"/>
  <c r="H85" i="56"/>
  <c r="P120" i="56" a="1"/>
  <c r="P120" i="56" s="1"/>
  <c r="M146" i="56" s="1"/>
  <c r="J96" i="47" s="1"/>
  <c r="I95" i="56"/>
  <c r="M94" i="56"/>
  <c r="M78" i="56" s="1"/>
  <c r="AS183" i="56" a="1"/>
  <c r="AS183" i="56" s="1"/>
  <c r="AJ183" i="56"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Q82" i="56"/>
  <c r="Q98" i="56" s="1"/>
  <c r="AA98" i="56" s="1"/>
  <c r="AA55" i="56"/>
  <c r="AA82" i="56" s="1"/>
  <c r="R115" i="56" a="1"/>
  <c r="R115" i="56" s="1"/>
  <c r="P115" i="56" a="1"/>
  <c r="P115" i="56" s="1"/>
  <c r="M141" i="56" s="1"/>
  <c r="J91" i="47" s="1"/>
  <c r="H80" i="56"/>
  <c r="AP77" i="56" l="1"/>
  <c r="AP80" i="56" s="1"/>
  <c r="AP81" i="56" s="1"/>
  <c r="AO77" i="56"/>
  <c r="AO80" i="56" s="1"/>
  <c r="AO81" i="56" s="1"/>
  <c r="R89" i="56"/>
  <c r="T89" i="56"/>
  <c r="W185" i="56" a="1"/>
  <c r="W185" i="56" s="1"/>
  <c r="Z185" i="56" s="1" a="1"/>
  <c r="Z185" i="56" s="1"/>
  <c r="AA185" i="56" s="1" a="1"/>
  <c r="AA185" i="56" s="1"/>
  <c r="AB185" i="56" s="1" a="1"/>
  <c r="AB185" i="56" s="1"/>
  <c r="AC185" i="56" s="1" a="1"/>
  <c r="AC185" i="56" s="1"/>
  <c r="AD185" i="56" s="1" a="1"/>
  <c r="AD185" i="56" s="1"/>
  <c r="AE185" i="56" s="1" a="1"/>
  <c r="AE185" i="56" s="1"/>
  <c r="AF185" i="56" s="1" a="1"/>
  <c r="AF185" i="56" s="1"/>
  <c r="AG58" i="56"/>
  <c r="AG85" i="56" s="1"/>
  <c r="AG101" i="56" s="1"/>
  <c r="AG54" i="56"/>
  <c r="AG81" i="56" s="1"/>
  <c r="AG97" i="56" s="1"/>
  <c r="AG56" i="56"/>
  <c r="AG83" i="56" s="1"/>
  <c r="AG99" i="56" s="1"/>
  <c r="AG57" i="56"/>
  <c r="AG84" i="56" s="1"/>
  <c r="AG100" i="56" s="1"/>
  <c r="AG52" i="56"/>
  <c r="AG79" i="56" s="1"/>
  <c r="AG95" i="56" s="1"/>
  <c r="AG55" i="56"/>
  <c r="AG82" i="56" s="1"/>
  <c r="AG98" i="56" s="1"/>
  <c r="AG53" i="56"/>
  <c r="AG80" i="56" s="1"/>
  <c r="AG96" i="56" s="1"/>
  <c r="AG59" i="56"/>
  <c r="AG86" i="56" s="1"/>
  <c r="AG51" i="56"/>
  <c r="AG78" i="56" s="1"/>
  <c r="AD94" i="56"/>
  <c r="AD89" i="56"/>
  <c r="AE52" i="56"/>
  <c r="AE79" i="56" s="1"/>
  <c r="AE95" i="56" s="1"/>
  <c r="AE53" i="56"/>
  <c r="AE80" i="56" s="1"/>
  <c r="AE96" i="56" s="1"/>
  <c r="AH60" i="56"/>
  <c r="AE51" i="56"/>
  <c r="AE78" i="56" s="1"/>
  <c r="AE55" i="56"/>
  <c r="AE82" i="56" s="1"/>
  <c r="AE98" i="56" s="1"/>
  <c r="AE54" i="56"/>
  <c r="AE81" i="56" s="1"/>
  <c r="AE97" i="56" s="1"/>
  <c r="AE59" i="56"/>
  <c r="AE86" i="56" s="1"/>
  <c r="AE56" i="56"/>
  <c r="AE83" i="56" s="1"/>
  <c r="AE99" i="56" s="1"/>
  <c r="AE57" i="56"/>
  <c r="AE84" i="56" s="1"/>
  <c r="AE100" i="56" s="1"/>
  <c r="AE58" i="56"/>
  <c r="AE85" i="56" s="1"/>
  <c r="AE101" i="56" s="1"/>
  <c r="AT180" i="56" a="1"/>
  <c r="AT180" i="56" s="1"/>
  <c r="AT179" i="56" a="1"/>
  <c r="AT179" i="56" s="1"/>
  <c r="W178" i="56" a="1"/>
  <c r="W178" i="56" s="1"/>
  <c r="Z178" i="56" s="1" a="1"/>
  <c r="Z178" i="56" s="1"/>
  <c r="AA178" i="56" s="1" a="1"/>
  <c r="AA178" i="56" s="1"/>
  <c r="AB178" i="56" s="1" a="1"/>
  <c r="AB178" i="56" s="1"/>
  <c r="AC178" i="56" s="1" a="1"/>
  <c r="AC178" i="56" s="1"/>
  <c r="AD178" i="56" s="1" a="1"/>
  <c r="AD178" i="56" s="1"/>
  <c r="AE178" i="56" s="1" a="1"/>
  <c r="AE178" i="56" s="1"/>
  <c r="AF178" i="56" s="1" a="1"/>
  <c r="AF178" i="56" s="1"/>
  <c r="R120" i="56" a="1"/>
  <c r="R120" i="56" s="1"/>
  <c r="AT183" i="56" a="1"/>
  <c r="AT183" i="56" s="1"/>
  <c r="AH181" i="56" a="1"/>
  <c r="AH181" i="56" s="1"/>
  <c r="W184" i="56" a="1"/>
  <c r="W184" i="56" s="1"/>
  <c r="Z184" i="56" s="1" a="1"/>
  <c r="Z184" i="56" s="1"/>
  <c r="AA184" i="56" s="1" a="1"/>
  <c r="AA184" i="56" s="1"/>
  <c r="AB184" i="56" s="1" a="1"/>
  <c r="AB184" i="56" s="1"/>
  <c r="AC184" i="56" s="1" a="1"/>
  <c r="AC184" i="56" s="1"/>
  <c r="AD184" i="56" s="1" a="1"/>
  <c r="AD184" i="56" s="1"/>
  <c r="AE184" i="56" s="1" a="1"/>
  <c r="AE184" i="56" s="1"/>
  <c r="Y184" i="56" a="1"/>
  <c r="Y184" i="56" s="1"/>
  <c r="Y182" i="56" a="1"/>
  <c r="Y182" i="56" s="1"/>
  <c r="W182" i="56" a="1"/>
  <c r="W182" i="56" s="1"/>
  <c r="Z182" i="56" s="1" a="1"/>
  <c r="Z182" i="56" s="1"/>
  <c r="AA182" i="56" s="1" a="1"/>
  <c r="AA182" i="56" s="1"/>
  <c r="AB182" i="56" s="1" a="1"/>
  <c r="AB182" i="56" s="1"/>
  <c r="AC182" i="56" s="1" a="1"/>
  <c r="AC182" i="56" s="1"/>
  <c r="AD182" i="56" s="1" a="1"/>
  <c r="AD182" i="56" s="1"/>
  <c r="AE182" i="56" s="1" a="1"/>
  <c r="AE182" i="56" s="1"/>
  <c r="Y180" i="56" a="1"/>
  <c r="Y180" i="56" s="1"/>
  <c r="W180" i="56" a="1"/>
  <c r="W180" i="56" s="1"/>
  <c r="Z180" i="56" s="1" a="1"/>
  <c r="Z180" i="56" s="1"/>
  <c r="AA180" i="56" s="1" a="1"/>
  <c r="AA180" i="56" s="1"/>
  <c r="AB180" i="56" s="1" a="1"/>
  <c r="AB180" i="56" s="1"/>
  <c r="AC180" i="56" s="1" a="1"/>
  <c r="AC180" i="56" s="1"/>
  <c r="AD180" i="56" s="1" a="1"/>
  <c r="AD180" i="56" s="1"/>
  <c r="AE180" i="56" s="1" a="1"/>
  <c r="AE180" i="56" s="1"/>
  <c r="AT185" i="56" a="1"/>
  <c r="AT185" i="56" s="1"/>
  <c r="AT184" i="56" a="1"/>
  <c r="AT184" i="56" s="1"/>
  <c r="S121" i="56" a="1"/>
  <c r="S121" i="56" s="1"/>
  <c r="N147" i="56" s="1"/>
  <c r="N98" i="56"/>
  <c r="N82" i="56" s="1"/>
  <c r="AU182" i="56" a="1"/>
  <c r="AU182" i="56" s="1"/>
  <c r="AV182" i="56" s="1" a="1"/>
  <c r="AV182" i="56" s="1"/>
  <c r="AW182" i="56" s="1" a="1"/>
  <c r="AW182" i="56" s="1"/>
  <c r="AT182" i="56" a="1"/>
  <c r="AT182" i="56" s="1"/>
  <c r="AT181" i="56" a="1"/>
  <c r="AT181" i="56" s="1"/>
  <c r="AT178" i="56" a="1"/>
  <c r="AT178" i="56" s="1"/>
  <c r="W179" i="56" a="1"/>
  <c r="W179" i="56" s="1"/>
  <c r="Z179" i="56" s="1" a="1"/>
  <c r="Z179" i="56" s="1"/>
  <c r="AA179" i="56" s="1" a="1"/>
  <c r="AA179" i="56" s="1"/>
  <c r="AB179" i="56" s="1" a="1"/>
  <c r="AB179" i="56" s="1"/>
  <c r="AC179" i="56" s="1" a="1"/>
  <c r="AC179" i="56" s="1"/>
  <c r="AD179" i="56" s="1" a="1"/>
  <c r="AD179" i="56" s="1"/>
  <c r="AE179" i="56" s="1" a="1"/>
  <c r="AE179" i="56" s="1"/>
  <c r="Y179" i="56" a="1"/>
  <c r="Y179" i="56" s="1"/>
  <c r="W183" i="56" a="1"/>
  <c r="W183" i="56" s="1"/>
  <c r="Z183" i="56" s="1" a="1"/>
  <c r="Z183" i="56" s="1"/>
  <c r="AA183" i="56" s="1" a="1"/>
  <c r="AA183" i="56" s="1"/>
  <c r="AB183" i="56" s="1" a="1"/>
  <c r="AB183" i="56" s="1"/>
  <c r="AC183" i="56" s="1" a="1"/>
  <c r="AC183" i="56" s="1"/>
  <c r="AD183" i="56" s="1" a="1"/>
  <c r="AD183" i="56" s="1"/>
  <c r="AE183" i="56" s="1" a="1"/>
  <c r="AE183" i="56" s="1"/>
  <c r="K101" i="56"/>
  <c r="S120" i="56" s="1" a="1"/>
  <c r="S120" i="56" s="1"/>
  <c r="N146" i="56" s="1"/>
  <c r="K96" i="47" s="1"/>
  <c r="J85" i="56"/>
  <c r="L101" i="56"/>
  <c r="I85" i="56"/>
  <c r="N96" i="56"/>
  <c r="N80" i="56" s="1"/>
  <c r="J146" i="56"/>
  <c r="G96" i="47" s="1"/>
  <c r="N120" i="56" a="1"/>
  <c r="N120" i="56" s="1"/>
  <c r="J147" i="56"/>
  <c r="N121" i="56" a="1"/>
  <c r="N121" i="56" s="1"/>
  <c r="M115" i="56" a="1"/>
  <c r="M115" i="56" s="1"/>
  <c r="J139" i="56"/>
  <c r="G89" i="47" s="1"/>
  <c r="N113" i="56" a="1"/>
  <c r="N113" i="56" s="1"/>
  <c r="M119" i="56" a="1"/>
  <c r="M119" i="56" s="1"/>
  <c r="M116" i="56" a="1"/>
  <c r="M116" i="56" s="1"/>
  <c r="M117" i="56" a="1"/>
  <c r="M117" i="56" s="1"/>
  <c r="M118" i="56" a="1"/>
  <c r="M118" i="56" s="1"/>
  <c r="M114" i="56" a="1"/>
  <c r="M114" i="56" s="1"/>
  <c r="N100" i="56"/>
  <c r="N84" i="56" s="1"/>
  <c r="H89" i="56"/>
  <c r="L82" i="56"/>
  <c r="AX117" i="56" a="1"/>
  <c r="AX117" i="56" s="1"/>
  <c r="AC52" i="56"/>
  <c r="AC79" i="56" s="1"/>
  <c r="S79" i="56"/>
  <c r="S95" i="56" s="1"/>
  <c r="AC95" i="56" s="1"/>
  <c r="AA89" i="56"/>
  <c r="X56" i="56"/>
  <c r="X83" i="56" s="1"/>
  <c r="X99" i="56" s="1"/>
  <c r="X54" i="56"/>
  <c r="X81" i="56" s="1"/>
  <c r="X97" i="56" s="1"/>
  <c r="X52" i="56"/>
  <c r="X79" i="56" s="1"/>
  <c r="X95" i="56" s="1"/>
  <c r="X57" i="56"/>
  <c r="X84" i="56" s="1"/>
  <c r="X100" i="56" s="1"/>
  <c r="X58" i="56"/>
  <c r="X85" i="56" s="1"/>
  <c r="X101" i="56" s="1"/>
  <c r="X55" i="56"/>
  <c r="X82" i="56" s="1"/>
  <c r="X98" i="56" s="1"/>
  <c r="X59" i="56"/>
  <c r="X86" i="56" s="1"/>
  <c r="AR78" i="56" s="1"/>
  <c r="X51" i="56"/>
  <c r="X78" i="56" s="1"/>
  <c r="X53" i="56"/>
  <c r="X80" i="56" s="1"/>
  <c r="X96" i="56" s="1"/>
  <c r="AC56" i="56"/>
  <c r="AC83" i="56" s="1"/>
  <c r="S83" i="56"/>
  <c r="S99" i="56" s="1"/>
  <c r="AC99" i="56" s="1"/>
  <c r="S81" i="56"/>
  <c r="S97" i="56" s="1"/>
  <c r="AC97" i="56" s="1"/>
  <c r="AC54" i="56"/>
  <c r="AC81" i="56" s="1"/>
  <c r="AN113" i="56" a="1"/>
  <c r="AN113" i="56" s="1"/>
  <c r="AK139" i="56" s="1"/>
  <c r="AD89" i="47" s="1"/>
  <c r="K78" i="56"/>
  <c r="AE113" i="56" a="1"/>
  <c r="AE113" i="56" s="1"/>
  <c r="Z139" i="56" s="1"/>
  <c r="U89" i="47" s="1"/>
  <c r="N86" i="56"/>
  <c r="AX78" i="56" s="1"/>
  <c r="N102" i="56"/>
  <c r="AX121" i="56" s="1" a="1"/>
  <c r="AX121" i="56" s="1"/>
  <c r="Q94" i="56"/>
  <c r="AA94" i="56" s="1"/>
  <c r="Q89" i="56"/>
  <c r="S84" i="56"/>
  <c r="S100" i="56" s="1"/>
  <c r="AC100" i="56" s="1"/>
  <c r="AC57" i="56"/>
  <c r="AC84" i="56" s="1"/>
  <c r="T116" i="56" a="1"/>
  <c r="T116" i="56" s="1"/>
  <c r="L78" i="56"/>
  <c r="AN116" i="56" a="1"/>
  <c r="AN116" i="56" s="1"/>
  <c r="AK142" i="56" s="1"/>
  <c r="AD92" i="47" s="1"/>
  <c r="K81" i="56"/>
  <c r="AE116" i="56" a="1"/>
  <c r="AE116" i="56" s="1"/>
  <c r="Z142" i="56" s="1"/>
  <c r="U92" i="47" s="1"/>
  <c r="AC58" i="56"/>
  <c r="AC85" i="56" s="1"/>
  <c r="S85" i="56"/>
  <c r="S101" i="56" s="1"/>
  <c r="AC101" i="56" s="1"/>
  <c r="Q186" i="56"/>
  <c r="T113" i="56" a="1"/>
  <c r="T113" i="56" s="1"/>
  <c r="O186" i="56"/>
  <c r="M186" i="56"/>
  <c r="AN115" i="56" a="1"/>
  <c r="AN115" i="56" s="1"/>
  <c r="AK141" i="56" s="1"/>
  <c r="AD91" i="47" s="1"/>
  <c r="AE115" i="56" a="1"/>
  <c r="AE115" i="56" s="1"/>
  <c r="Z141" i="56" s="1"/>
  <c r="U91" i="47" s="1"/>
  <c r="K80" i="56"/>
  <c r="N94" i="56"/>
  <c r="N78" i="56" s="1"/>
  <c r="W94" i="56"/>
  <c r="W89" i="56"/>
  <c r="T119" i="56" a="1"/>
  <c r="T119" i="56" s="1"/>
  <c r="I79" i="56"/>
  <c r="L95" i="56"/>
  <c r="J95" i="56"/>
  <c r="L81" i="56"/>
  <c r="U94" i="56"/>
  <c r="U89" i="56"/>
  <c r="AQ77" i="56"/>
  <c r="AQ80" i="56" s="1"/>
  <c r="AQ81" i="56" s="1"/>
  <c r="AF54" i="56"/>
  <c r="AF81" i="56" s="1"/>
  <c r="AF97" i="56" s="1"/>
  <c r="AF58" i="56"/>
  <c r="AF85" i="56" s="1"/>
  <c r="AF101" i="56" s="1"/>
  <c r="AF57" i="56"/>
  <c r="AF84" i="56" s="1"/>
  <c r="AF100" i="56" s="1"/>
  <c r="AF52" i="56"/>
  <c r="AF79" i="56" s="1"/>
  <c r="AF95" i="56" s="1"/>
  <c r="AF55" i="56"/>
  <c r="AF82" i="56" s="1"/>
  <c r="AF98" i="56" s="1"/>
  <c r="AF59" i="56"/>
  <c r="AF86" i="56" s="1"/>
  <c r="AF53" i="56"/>
  <c r="AF80" i="56" s="1"/>
  <c r="AF96" i="56" s="1"/>
  <c r="AF56" i="56"/>
  <c r="AF83" i="56" s="1"/>
  <c r="AF99" i="56" s="1"/>
  <c r="AF51" i="56"/>
  <c r="AF78" i="56" s="1"/>
  <c r="T115" i="56" a="1"/>
  <c r="T115" i="56" s="1"/>
  <c r="L84" i="56"/>
  <c r="I83" i="56"/>
  <c r="L99" i="56"/>
  <c r="J99" i="56"/>
  <c r="AC55" i="56"/>
  <c r="AC82" i="56" s="1"/>
  <c r="S82" i="56"/>
  <c r="S98" i="56" s="1"/>
  <c r="AC98" i="56" s="1"/>
  <c r="K84" i="56"/>
  <c r="AN119" i="56" a="1"/>
  <c r="AN119" i="56" s="1"/>
  <c r="AK145" i="56" s="1"/>
  <c r="AD95" i="47" s="1"/>
  <c r="AE119" i="56" a="1"/>
  <c r="AE119" i="56" s="1"/>
  <c r="Z145" i="56" s="1"/>
  <c r="U95" i="47" s="1"/>
  <c r="AE117" i="56" a="1"/>
  <c r="AE117" i="56" s="1"/>
  <c r="Z143" i="56" s="1"/>
  <c r="U93" i="47" s="1"/>
  <c r="AN117" i="56" a="1"/>
  <c r="AN117" i="56" s="1"/>
  <c r="AK143" i="56" s="1"/>
  <c r="AD93" i="47" s="1"/>
  <c r="K82" i="56"/>
  <c r="L80" i="56"/>
  <c r="AX115" i="56" a="1"/>
  <c r="AX115" i="56" s="1"/>
  <c r="N97" i="56"/>
  <c r="N81" i="56" s="1"/>
  <c r="V56" i="56"/>
  <c r="V83" i="56" s="1"/>
  <c r="V99" i="56" s="1"/>
  <c r="V55" i="56"/>
  <c r="V82" i="56" s="1"/>
  <c r="V98" i="56" s="1"/>
  <c r="V59" i="56"/>
  <c r="V86" i="56" s="1"/>
  <c r="V52" i="56"/>
  <c r="V79" i="56" s="1"/>
  <c r="V95" i="56" s="1"/>
  <c r="V54" i="56"/>
  <c r="V81" i="56" s="1"/>
  <c r="V97" i="56" s="1"/>
  <c r="V51" i="56"/>
  <c r="V78" i="56" s="1"/>
  <c r="V53" i="56"/>
  <c r="V80" i="56" s="1"/>
  <c r="V96" i="56" s="1"/>
  <c r="V58" i="56"/>
  <c r="V85" i="56" s="1"/>
  <c r="V101" i="56" s="1"/>
  <c r="V57" i="56"/>
  <c r="V84" i="56" s="1"/>
  <c r="V100" i="56" s="1"/>
  <c r="J97" i="47"/>
  <c r="U186" i="56"/>
  <c r="S86" i="56"/>
  <c r="AC59" i="56"/>
  <c r="AC86" i="56" s="1"/>
  <c r="T117" i="56" a="1"/>
  <c r="T117" i="56" s="1"/>
  <c r="AN121" i="56" a="1"/>
  <c r="AN121" i="56" s="1"/>
  <c r="AK147" i="56" s="1"/>
  <c r="AE121" i="56" a="1"/>
  <c r="AE121" i="56" s="1"/>
  <c r="Z147" i="56" s="1"/>
  <c r="AN80" i="56"/>
  <c r="AN81" i="56" s="1"/>
  <c r="AC53" i="56"/>
  <c r="AC80" i="56" s="1"/>
  <c r="S80" i="56"/>
  <c r="S96" i="56" s="1"/>
  <c r="AC96" i="56" s="1"/>
  <c r="AU77" i="56"/>
  <c r="AU80" i="56" s="1"/>
  <c r="AU81" i="56" s="1"/>
  <c r="AC51" i="56"/>
  <c r="AC78" i="56" s="1"/>
  <c r="S78" i="56"/>
  <c r="AH185" i="56" l="1" a="1"/>
  <c r="AH185" i="56" s="1"/>
  <c r="AG89" i="56"/>
  <c r="AG94" i="56"/>
  <c r="AE94" i="56"/>
  <c r="AE89" i="56"/>
  <c r="AH55" i="56"/>
  <c r="AH82" i="56" s="1"/>
  <c r="AH98" i="56" s="1"/>
  <c r="AH51" i="56"/>
  <c r="AH78" i="56" s="1"/>
  <c r="AH53" i="56"/>
  <c r="AH80" i="56" s="1"/>
  <c r="AH96" i="56" s="1"/>
  <c r="AH59" i="56"/>
  <c r="AH86" i="56" s="1"/>
  <c r="AH56" i="56"/>
  <c r="AH83" i="56" s="1"/>
  <c r="AH99" i="56" s="1"/>
  <c r="AH54" i="56"/>
  <c r="AH81" i="56" s="1"/>
  <c r="AH97" i="56" s="1"/>
  <c r="AH52" i="56"/>
  <c r="AH79" i="56" s="1"/>
  <c r="AH95" i="56" s="1"/>
  <c r="AH57" i="56"/>
  <c r="AH84" i="56" s="1"/>
  <c r="AH100" i="56" s="1"/>
  <c r="AH58" i="56"/>
  <c r="AH85" i="56" s="1"/>
  <c r="AH101" i="56" s="1"/>
  <c r="AH178" i="56" a="1"/>
  <c r="AH178" i="56" s="1"/>
  <c r="AN120" i="56" a="1"/>
  <c r="AN120" i="56" s="1"/>
  <c r="AK146" i="56" s="1"/>
  <c r="AD96" i="47" s="1"/>
  <c r="N101" i="56"/>
  <c r="K85" i="56"/>
  <c r="T120" i="56" a="1"/>
  <c r="T120" i="56" s="1"/>
  <c r="O146" i="56" s="1"/>
  <c r="L96" i="47" s="1"/>
  <c r="AX116" i="56" a="1"/>
  <c r="AX116" i="56" s="1"/>
  <c r="T121" i="56" a="1"/>
  <c r="T121" i="56" s="1"/>
  <c r="AO113" i="56" a="1"/>
  <c r="AO113" i="56" s="1"/>
  <c r="AP113" i="56" s="1" a="1"/>
  <c r="AP113" i="56" s="1"/>
  <c r="AQ113" i="56" s="1" a="1"/>
  <c r="AQ113" i="56" s="1"/>
  <c r="AR113" i="56" s="1" a="1"/>
  <c r="AR113" i="56" s="1"/>
  <c r="AS113" i="56" s="1" a="1"/>
  <c r="AS113" i="56" s="1"/>
  <c r="AL139" i="56" s="1"/>
  <c r="AE89" i="47" s="1"/>
  <c r="AD120" i="56" a="1"/>
  <c r="AD120" i="56" s="1"/>
  <c r="K97" i="47"/>
  <c r="X186" i="56"/>
  <c r="V186" i="56"/>
  <c r="R114" i="56" a="1"/>
  <c r="R114" i="56" s="1"/>
  <c r="P114" i="56" a="1"/>
  <c r="P114" i="56" s="1"/>
  <c r="M140" i="56" s="1"/>
  <c r="J90" i="47" s="1"/>
  <c r="AX113" i="56" a="1"/>
  <c r="AX113" i="56" s="1"/>
  <c r="AM139" i="56" s="1"/>
  <c r="AF89" i="47" s="1"/>
  <c r="P118" i="56" a="1"/>
  <c r="P118" i="56" s="1"/>
  <c r="M144" i="56" s="1"/>
  <c r="J94" i="47" s="1"/>
  <c r="R118" i="56" a="1"/>
  <c r="R118" i="56" s="1"/>
  <c r="AF183" i="56" a="1"/>
  <c r="AF183" i="56" s="1"/>
  <c r="AH183" i="56" a="1"/>
  <c r="AH183" i="56" s="1"/>
  <c r="AF180" i="56" a="1"/>
  <c r="AF180" i="56" s="1"/>
  <c r="AH180" i="56" a="1"/>
  <c r="AH180" i="56" s="1"/>
  <c r="L85" i="56"/>
  <c r="AF179" i="56" a="1"/>
  <c r="AF179" i="56" s="1"/>
  <c r="AH179" i="56" a="1"/>
  <c r="AH179" i="56" s="1"/>
  <c r="AH182" i="56" a="1"/>
  <c r="AH182" i="56" s="1"/>
  <c r="AF182" i="56" a="1"/>
  <c r="AF182" i="56" s="1"/>
  <c r="AX119" i="56" a="1"/>
  <c r="AX119" i="56" s="1"/>
  <c r="AM145" i="56" s="1"/>
  <c r="AF95" i="47" s="1"/>
  <c r="AM147" i="56"/>
  <c r="AY121" i="56" a="1"/>
  <c r="AY121" i="56" s="1"/>
  <c r="AF184" i="56" a="1"/>
  <c r="AF184" i="56" s="1"/>
  <c r="AH184" i="56" a="1"/>
  <c r="AH184" i="56" s="1"/>
  <c r="AO115" i="56" a="1"/>
  <c r="AO115" i="56" s="1"/>
  <c r="AP115" i="56" s="1" a="1"/>
  <c r="AP115" i="56" s="1"/>
  <c r="AQ115" i="56" s="1" a="1"/>
  <c r="AQ115" i="56" s="1"/>
  <c r="AR115" i="56" s="1" a="1"/>
  <c r="AR115" i="56" s="1"/>
  <c r="AS115" i="56" s="1" a="1"/>
  <c r="AS115" i="56" s="1"/>
  <c r="AT115" i="56" s="1" a="1"/>
  <c r="AT115" i="56" s="1"/>
  <c r="AU115" i="56" s="1" a="1"/>
  <c r="AU115" i="56" s="1"/>
  <c r="AV115" i="56" s="1" a="1"/>
  <c r="AV115" i="56" s="1"/>
  <c r="AW115" i="56" s="1" a="1"/>
  <c r="AW115" i="56" s="1"/>
  <c r="AF117" i="56" a="1"/>
  <c r="AF117" i="56" s="1"/>
  <c r="AG117" i="56" s="1" a="1"/>
  <c r="AG117" i="56" s="1"/>
  <c r="AD143" i="56" s="1"/>
  <c r="W93" i="47" s="1"/>
  <c r="J140" i="56"/>
  <c r="G90" i="47" s="1"/>
  <c r="N114" i="56" a="1"/>
  <c r="N114" i="56" s="1"/>
  <c r="J141" i="56"/>
  <c r="G91" i="47" s="1"/>
  <c r="N115" i="56" a="1"/>
  <c r="N115" i="56" s="1"/>
  <c r="J142" i="56"/>
  <c r="G92" i="47" s="1"/>
  <c r="N116" i="56" a="1"/>
  <c r="N116" i="56" s="1"/>
  <c r="J144" i="56"/>
  <c r="G94" i="47" s="1"/>
  <c r="N118" i="56" a="1"/>
  <c r="N118" i="56" s="1"/>
  <c r="K147" i="56"/>
  <c r="Q121" i="56" a="1"/>
  <c r="Q121" i="56" s="1"/>
  <c r="O121" i="56" a="1"/>
  <c r="O121" i="56" s="1"/>
  <c r="L147" i="56" s="1"/>
  <c r="R186" i="56"/>
  <c r="G97" i="47"/>
  <c r="J145" i="56"/>
  <c r="G95" i="47" s="1"/>
  <c r="N119" i="56" a="1"/>
  <c r="N119" i="56" s="1"/>
  <c r="K146" i="56"/>
  <c r="H96" i="47" s="1"/>
  <c r="O120" i="56" a="1"/>
  <c r="O120" i="56" s="1"/>
  <c r="L146" i="56" s="1"/>
  <c r="I96" i="47" s="1"/>
  <c r="Q120" i="56" a="1"/>
  <c r="Q120" i="56" s="1"/>
  <c r="J143" i="56"/>
  <c r="G93" i="47" s="1"/>
  <c r="N117" i="56" a="1"/>
  <c r="N117" i="56" s="1"/>
  <c r="K139" i="56"/>
  <c r="H89" i="47" s="1"/>
  <c r="O113" i="56" a="1"/>
  <c r="O113" i="56" s="1"/>
  <c r="L139" i="56" s="1"/>
  <c r="I89" i="47" s="1"/>
  <c r="Q113" i="56" a="1"/>
  <c r="Q113" i="56" s="1"/>
  <c r="I89" i="56"/>
  <c r="AF121" i="56" a="1"/>
  <c r="AF121" i="56" s="1"/>
  <c r="AC147" i="56" s="1"/>
  <c r="AF116" i="56" a="1"/>
  <c r="AF116" i="56" s="1"/>
  <c r="AB142" i="56" s="1"/>
  <c r="O143" i="56"/>
  <c r="L93" i="47" s="1"/>
  <c r="U117" i="56" a="1"/>
  <c r="U117" i="56" s="1"/>
  <c r="L79" i="56"/>
  <c r="O142" i="56"/>
  <c r="L92" i="47" s="1"/>
  <c r="U116" i="56" a="1"/>
  <c r="U116" i="56" s="1"/>
  <c r="AY117" i="56" a="1"/>
  <c r="AY117" i="56" s="1"/>
  <c r="AM143" i="56"/>
  <c r="AF93" i="47" s="1"/>
  <c r="O145" i="56"/>
  <c r="L95" i="47" s="1"/>
  <c r="U119" i="56" a="1"/>
  <c r="U119" i="56" s="1"/>
  <c r="AF113" i="56" a="1"/>
  <c r="AF113" i="56" s="1"/>
  <c r="X89" i="56"/>
  <c r="X94" i="56"/>
  <c r="AR77" i="56"/>
  <c r="AR80" i="56" s="1"/>
  <c r="AR81" i="56" s="1"/>
  <c r="V94" i="56"/>
  <c r="V89" i="56"/>
  <c r="AF115" i="56" a="1"/>
  <c r="AF115" i="56" s="1"/>
  <c r="AF119" i="56" a="1"/>
  <c r="AF119" i="56" s="1"/>
  <c r="AD118" i="56" a="1"/>
  <c r="AD118" i="56" s="1"/>
  <c r="Y144" i="56" s="1"/>
  <c r="T94" i="47" s="1"/>
  <c r="J83" i="56"/>
  <c r="K99" i="56"/>
  <c r="S118" i="56" s="1" a="1"/>
  <c r="S118" i="56" s="1"/>
  <c r="N144" i="56" s="1"/>
  <c r="K94" i="47" s="1"/>
  <c r="M99" i="56"/>
  <c r="M83" i="56" s="1"/>
  <c r="AO116" i="56" a="1"/>
  <c r="AO116" i="56" s="1"/>
  <c r="AP116" i="56" s="1" a="1"/>
  <c r="AP116" i="56" s="1"/>
  <c r="AQ116" i="56" s="1" a="1"/>
  <c r="AQ116" i="56" s="1"/>
  <c r="AR116" i="56" s="1" a="1"/>
  <c r="AR116" i="56" s="1"/>
  <c r="AS116" i="56" s="1" a="1"/>
  <c r="AS116" i="56" s="1"/>
  <c r="AO117" i="56" a="1"/>
  <c r="AO117" i="56" s="1"/>
  <c r="AP117" i="56" s="1" a="1"/>
  <c r="AP117" i="56" s="1"/>
  <c r="AQ117" i="56" s="1" a="1"/>
  <c r="AQ117" i="56" s="1"/>
  <c r="AR117" i="56" s="1" a="1"/>
  <c r="AR117" i="56" s="1"/>
  <c r="AS117" i="56" s="1" a="1"/>
  <c r="AS117" i="56" s="1"/>
  <c r="AJ186" i="56"/>
  <c r="U97" i="47"/>
  <c r="L83" i="56"/>
  <c r="S89" i="56"/>
  <c r="S94" i="56"/>
  <c r="AC94" i="56" s="1"/>
  <c r="AC89" i="56"/>
  <c r="AM141" i="56"/>
  <c r="AF91" i="47" s="1"/>
  <c r="AY115" i="56" a="1"/>
  <c r="AY115" i="56" s="1"/>
  <c r="AO119" i="56" a="1"/>
  <c r="AO119" i="56" s="1"/>
  <c r="AP119" i="56" s="1" a="1"/>
  <c r="AP119" i="56" s="1"/>
  <c r="AQ119" i="56" s="1" a="1"/>
  <c r="AQ119" i="56" s="1"/>
  <c r="AR119" i="56" s="1" a="1"/>
  <c r="AR119" i="56" s="1"/>
  <c r="AS119" i="56" s="1" a="1"/>
  <c r="AS119" i="56" s="1"/>
  <c r="AO121" i="56" a="1"/>
  <c r="AO121" i="56" s="1"/>
  <c r="AP121" i="56" s="1" a="1"/>
  <c r="AP121" i="56" s="1"/>
  <c r="AQ121" i="56" s="1" a="1"/>
  <c r="AQ121" i="56" s="1"/>
  <c r="AR121" i="56" s="1" a="1"/>
  <c r="AR121" i="56" s="1"/>
  <c r="AS121" i="56" s="1" a="1"/>
  <c r="AS121" i="56" s="1"/>
  <c r="O141" i="56"/>
  <c r="L91" i="47" s="1"/>
  <c r="U115" i="56" a="1"/>
  <c r="U115" i="56" s="1"/>
  <c r="O139" i="56"/>
  <c r="L89" i="47" s="1"/>
  <c r="U113" i="56" a="1"/>
  <c r="U113" i="56" s="1"/>
  <c r="AS186" i="56"/>
  <c r="AD97" i="47"/>
  <c r="AF89" i="56"/>
  <c r="AF94" i="56"/>
  <c r="AM142" i="56"/>
  <c r="AF92" i="47" s="1"/>
  <c r="AY116" i="56" a="1"/>
  <c r="AY116" i="56" s="1"/>
  <c r="AD114" i="56" a="1"/>
  <c r="AD114" i="56" s="1"/>
  <c r="Y140" i="56" s="1"/>
  <c r="T90" i="47" s="1"/>
  <c r="J79" i="56"/>
  <c r="M95" i="56"/>
  <c r="M79" i="56" s="1"/>
  <c r="K95" i="56"/>
  <c r="S114" i="56" s="1" a="1"/>
  <c r="S114" i="56" s="1"/>
  <c r="N140" i="56" s="1"/>
  <c r="K90" i="47" s="1"/>
  <c r="U120" i="56" l="1" a="1"/>
  <c r="U120" i="56" s="1"/>
  <c r="P146" i="56" s="1"/>
  <c r="M96" i="47" s="1"/>
  <c r="AO120" i="56" a="1"/>
  <c r="AO120" i="56" s="1"/>
  <c r="AP120" i="56" s="1" a="1"/>
  <c r="AP120" i="56" s="1"/>
  <c r="AQ120" i="56" s="1" a="1"/>
  <c r="AQ120" i="56" s="1"/>
  <c r="AR120" i="56" s="1" a="1"/>
  <c r="AR120" i="56" s="1"/>
  <c r="AS120" i="56" s="1" a="1"/>
  <c r="AS120" i="56" s="1"/>
  <c r="AL146" i="56" s="1"/>
  <c r="AE96" i="47" s="1"/>
  <c r="AH89" i="56"/>
  <c r="AH94" i="56"/>
  <c r="AT113" i="56" a="1"/>
  <c r="AT113" i="56" s="1"/>
  <c r="AU113" i="56" s="1" a="1"/>
  <c r="AU113" i="56" s="1"/>
  <c r="AV113" i="56" s="1" a="1"/>
  <c r="AV113" i="56" s="1"/>
  <c r="AW113" i="56" s="1" a="1"/>
  <c r="AW113" i="56" s="1"/>
  <c r="AB143" i="56"/>
  <c r="AC143" i="56"/>
  <c r="V93" i="47" s="1"/>
  <c r="AA143" i="56"/>
  <c r="AH117" i="56" a="1"/>
  <c r="AH117" i="56" s="1"/>
  <c r="AE143" i="56" s="1"/>
  <c r="X93" i="47" s="1"/>
  <c r="AG121" i="56" a="1"/>
  <c r="AG121" i="56" s="1"/>
  <c r="AD147" i="56" s="1"/>
  <c r="L89" i="56"/>
  <c r="T114" i="56" a="1"/>
  <c r="T114" i="56" s="1"/>
  <c r="O140" i="56" s="1"/>
  <c r="L90" i="47" s="1"/>
  <c r="AG116" i="56" a="1"/>
  <c r="AG116" i="56" s="1"/>
  <c r="AD142" i="56" s="1"/>
  <c r="W92" i="47" s="1"/>
  <c r="AB147" i="56"/>
  <c r="AA147" i="56"/>
  <c r="AL141" i="56"/>
  <c r="AE91" i="47" s="1"/>
  <c r="N85" i="56"/>
  <c r="AX120" i="56" a="1"/>
  <c r="AX120" i="56" s="1"/>
  <c r="T118" i="56" a="1"/>
  <c r="T118" i="56" s="1"/>
  <c r="O144" i="56" s="1"/>
  <c r="L94" i="47" s="1"/>
  <c r="O147" i="56"/>
  <c r="U121" i="56" a="1"/>
  <c r="U121" i="56" s="1"/>
  <c r="AY113" i="56" a="1"/>
  <c r="AY113" i="56" s="1"/>
  <c r="AN139" i="56" s="1"/>
  <c r="AG89" i="47" s="1"/>
  <c r="AF97" i="47"/>
  <c r="AU186" i="56"/>
  <c r="AY119" i="56" a="1"/>
  <c r="AY119" i="56" s="1"/>
  <c r="AZ119" i="56" s="1" a="1"/>
  <c r="AZ119" i="56" s="1"/>
  <c r="AO145" i="56" s="1"/>
  <c r="AH95" i="47" s="1"/>
  <c r="AJ95" i="47" s="1"/>
  <c r="AZ121" i="56" a="1"/>
  <c r="AZ121" i="56" s="1"/>
  <c r="AO147" i="56" s="1"/>
  <c r="AN147" i="56"/>
  <c r="Y146" i="56"/>
  <c r="T96" i="47" s="1"/>
  <c r="AE120" i="56" a="1"/>
  <c r="AE120" i="56" s="1"/>
  <c r="M89" i="56"/>
  <c r="AA142" i="56"/>
  <c r="AC142" i="56"/>
  <c r="V92" i="47" s="1"/>
  <c r="T186" i="56"/>
  <c r="I97" i="47"/>
  <c r="K143" i="56"/>
  <c r="H93" i="47" s="1"/>
  <c r="O117" i="56" a="1"/>
  <c r="O117" i="56" s="1"/>
  <c r="L143" i="56" s="1"/>
  <c r="I93" i="47" s="1"/>
  <c r="Q117" i="56" a="1"/>
  <c r="Q117" i="56" s="1"/>
  <c r="K144" i="56"/>
  <c r="H94" i="47" s="1"/>
  <c r="Q118" i="56" a="1"/>
  <c r="Q118" i="56" s="1"/>
  <c r="O118" i="56" a="1"/>
  <c r="O118" i="56" s="1"/>
  <c r="L144" i="56" s="1"/>
  <c r="I94" i="47" s="1"/>
  <c r="H97" i="47"/>
  <c r="S186" i="56"/>
  <c r="K142" i="56"/>
  <c r="H92" i="47" s="1"/>
  <c r="O116" i="56" a="1"/>
  <c r="O116" i="56" s="1"/>
  <c r="L142" i="56" s="1"/>
  <c r="I92" i="47" s="1"/>
  <c r="Q116" i="56" a="1"/>
  <c r="Q116" i="56" s="1"/>
  <c r="K141" i="56"/>
  <c r="H91" i="47" s="1"/>
  <c r="Q115" i="56" a="1"/>
  <c r="Q115" i="56" s="1"/>
  <c r="O115" i="56" a="1"/>
  <c r="O115" i="56" s="1"/>
  <c r="L141" i="56" s="1"/>
  <c r="I91" i="47" s="1"/>
  <c r="K145" i="56"/>
  <c r="H95" i="47" s="1"/>
  <c r="O119" i="56" a="1"/>
  <c r="O119" i="56" s="1"/>
  <c r="L145" i="56" s="1"/>
  <c r="I95" i="47" s="1"/>
  <c r="Q119" i="56" a="1"/>
  <c r="Q119" i="56" s="1"/>
  <c r="K140" i="56"/>
  <c r="H90" i="47" s="1"/>
  <c r="O114" i="56" a="1"/>
  <c r="O114" i="56" s="1"/>
  <c r="L140" i="56" s="1"/>
  <c r="I90" i="47" s="1"/>
  <c r="Q114" i="56" a="1"/>
  <c r="Q114" i="56" s="1"/>
  <c r="AK186" i="56"/>
  <c r="V97" i="47"/>
  <c r="AL143" i="56"/>
  <c r="AE93" i="47" s="1"/>
  <c r="AT117" i="56" a="1"/>
  <c r="AT117" i="56" s="1"/>
  <c r="AU117" i="56" s="1" a="1"/>
  <c r="AU117" i="56" s="1"/>
  <c r="AV117" i="56" s="1" a="1"/>
  <c r="AV117" i="56" s="1"/>
  <c r="AW117" i="56" s="1" a="1"/>
  <c r="AW117" i="56" s="1"/>
  <c r="AL142" i="56"/>
  <c r="AE92" i="47" s="1"/>
  <c r="AT116" i="56" a="1"/>
  <c r="AT116" i="56" s="1"/>
  <c r="AU116" i="56" s="1" a="1"/>
  <c r="AU116" i="56" s="1"/>
  <c r="AV116" i="56" s="1" a="1"/>
  <c r="AV116" i="56" s="1"/>
  <c r="AW116" i="56" s="1" a="1"/>
  <c r="AW116" i="56" s="1"/>
  <c r="P145" i="56"/>
  <c r="M95" i="47" s="1"/>
  <c r="V119" i="56" a="1"/>
  <c r="V119" i="56" s="1"/>
  <c r="AC139" i="56"/>
  <c r="V89" i="47" s="1"/>
  <c r="AB139" i="56"/>
  <c r="AA139" i="56"/>
  <c r="AG113" i="56" a="1"/>
  <c r="AG113" i="56" s="1"/>
  <c r="P143" i="56"/>
  <c r="M93" i="47" s="1"/>
  <c r="V117" i="56" a="1"/>
  <c r="V117" i="56" s="1"/>
  <c r="AE114" i="56" a="1"/>
  <c r="AE114" i="56" s="1"/>
  <c r="Z140" i="56" s="1"/>
  <c r="U90" i="47" s="1"/>
  <c r="AN114" i="56" a="1"/>
  <c r="AN114" i="56" s="1"/>
  <c r="AK140" i="56" s="1"/>
  <c r="AD90" i="47" s="1"/>
  <c r="K79" i="56"/>
  <c r="N95" i="56"/>
  <c r="AZ116" i="56" a="1"/>
  <c r="AZ116" i="56" s="1"/>
  <c r="AO142" i="56" s="1"/>
  <c r="AH92" i="47" s="1"/>
  <c r="AJ92" i="47" s="1"/>
  <c r="AN142" i="56"/>
  <c r="AG92" i="47" s="1"/>
  <c r="AV77" i="56"/>
  <c r="AV80" i="56" s="1"/>
  <c r="AV81" i="56" s="1"/>
  <c r="J89" i="56"/>
  <c r="P141" i="56"/>
  <c r="M91" i="47" s="1"/>
  <c r="V115" i="56" a="1"/>
  <c r="V115" i="56" s="1"/>
  <c r="AL145" i="56"/>
  <c r="AE95" i="47" s="1"/>
  <c r="AT119" i="56" a="1"/>
  <c r="AT119" i="56" s="1"/>
  <c r="AU119" i="56" s="1" a="1"/>
  <c r="AU119" i="56" s="1"/>
  <c r="AV119" i="56" s="1" a="1"/>
  <c r="AV119" i="56" s="1"/>
  <c r="AW119" i="56" s="1" a="1"/>
  <c r="AW119" i="56" s="1"/>
  <c r="AZ115" i="56" a="1"/>
  <c r="AZ115" i="56" s="1"/>
  <c r="AO141" i="56" s="1"/>
  <c r="AH91" i="47" s="1"/>
  <c r="AJ91" i="47" s="1"/>
  <c r="AN141" i="56"/>
  <c r="AG91" i="47" s="1"/>
  <c r="AN118" i="56" a="1"/>
  <c r="AN118" i="56" s="1"/>
  <c r="AE118" i="56" a="1"/>
  <c r="AE118" i="56" s="1"/>
  <c r="Z144" i="56" s="1"/>
  <c r="U94" i="47" s="1"/>
  <c r="K83" i="56"/>
  <c r="N99" i="56"/>
  <c r="AB145" i="56"/>
  <c r="AA145" i="56"/>
  <c r="AC145" i="56"/>
  <c r="V95" i="47" s="1"/>
  <c r="AG119" i="56" a="1"/>
  <c r="AG119" i="56" s="1"/>
  <c r="V120" i="56" a="1"/>
  <c r="V120" i="56" s="1"/>
  <c r="AL147" i="56"/>
  <c r="AT121" i="56" a="1"/>
  <c r="AT121" i="56" s="1"/>
  <c r="AU121" i="56" s="1" a="1"/>
  <c r="AU121" i="56" s="1"/>
  <c r="AV121" i="56" s="1" a="1"/>
  <c r="AV121" i="56" s="1"/>
  <c r="AW121" i="56" s="1" a="1"/>
  <c r="AW121" i="56" s="1"/>
  <c r="AB141" i="56"/>
  <c r="AA141" i="56"/>
  <c r="AC141" i="56"/>
  <c r="V91" i="47" s="1"/>
  <c r="AG115" i="56" a="1"/>
  <c r="AG115" i="56" s="1"/>
  <c r="AN143" i="56"/>
  <c r="AG93" i="47" s="1"/>
  <c r="AZ117" i="56" a="1"/>
  <c r="AZ117" i="56" s="1"/>
  <c r="AO143" i="56" s="1"/>
  <c r="AH93" i="47" s="1"/>
  <c r="AJ93" i="47" s="1"/>
  <c r="P139" i="56"/>
  <c r="M89" i="47" s="1"/>
  <c r="V113" i="56" a="1"/>
  <c r="V113" i="56" s="1"/>
  <c r="P142" i="56"/>
  <c r="M92" i="47" s="1"/>
  <c r="V116" i="56" a="1"/>
  <c r="V116" i="56" s="1"/>
  <c r="AT120" i="56" l="1" a="1"/>
  <c r="AT120" i="56" s="1"/>
  <c r="AU120" i="56" s="1" a="1"/>
  <c r="AU120" i="56" s="1"/>
  <c r="AV120" i="56" s="1" a="1"/>
  <c r="AV120" i="56" s="1"/>
  <c r="AW120" i="56" s="1" a="1"/>
  <c r="AW120" i="56" s="1"/>
  <c r="AH121" i="56" a="1"/>
  <c r="AH121" i="56" s="1"/>
  <c r="AE147" i="56" s="1"/>
  <c r="U114" i="56" a="1"/>
  <c r="U114" i="56" s="1"/>
  <c r="P140" i="56" s="1"/>
  <c r="M90" i="47" s="1"/>
  <c r="AI117" i="56" a="1"/>
  <c r="AI117" i="56" s="1"/>
  <c r="AF143" i="56" s="1"/>
  <c r="Y93" i="47" s="1"/>
  <c r="AH116" i="56" a="1"/>
  <c r="AH116" i="56" s="1"/>
  <c r="AE142" i="56" s="1"/>
  <c r="X92" i="47" s="1"/>
  <c r="AN145" i="56"/>
  <c r="AG95" i="47" s="1"/>
  <c r="AZ113" i="56" a="1"/>
  <c r="AZ113" i="56" s="1"/>
  <c r="AO139" i="56" s="1"/>
  <c r="AH89" i="47" s="1"/>
  <c r="AJ89" i="47" s="1"/>
  <c r="AY120" i="56" a="1"/>
  <c r="AY120" i="56" s="1"/>
  <c r="AM146" i="56"/>
  <c r="AF96" i="47" s="1"/>
  <c r="U118" i="56" a="1"/>
  <c r="U118" i="56" s="1"/>
  <c r="P147" i="56"/>
  <c r="V121" i="56" a="1"/>
  <c r="V121" i="56" s="1"/>
  <c r="W186" i="56"/>
  <c r="L97" i="47"/>
  <c r="Y186" i="56"/>
  <c r="Z146" i="56"/>
  <c r="U96" i="47" s="1"/>
  <c r="AF120" i="56" a="1"/>
  <c r="AF120" i="56" s="1"/>
  <c r="N83" i="56"/>
  <c r="AX118" i="56" a="1"/>
  <c r="AX118" i="56" s="1"/>
  <c r="AG97" i="47"/>
  <c r="AV186" i="56"/>
  <c r="AW186" i="56"/>
  <c r="AH97" i="47"/>
  <c r="AJ97" i="47" s="1"/>
  <c r="N79" i="56"/>
  <c r="AX114" i="56" a="1"/>
  <c r="AX114" i="56" s="1"/>
  <c r="V114" i="56" a="1"/>
  <c r="V114" i="56" s="1"/>
  <c r="K89" i="56"/>
  <c r="AW77" i="56"/>
  <c r="AW80" i="56" s="1"/>
  <c r="AW81" i="56" s="1"/>
  <c r="AF114" i="56" a="1"/>
  <c r="AF114" i="56" s="1"/>
  <c r="W97" i="47"/>
  <c r="AL186" i="56"/>
  <c r="AF118" i="56" a="1"/>
  <c r="AF118" i="56" s="1"/>
  <c r="AO114" i="56" a="1"/>
  <c r="AO114" i="56" s="1"/>
  <c r="AP114" i="56" s="1" a="1"/>
  <c r="AP114" i="56" s="1"/>
  <c r="AQ114" i="56" s="1" a="1"/>
  <c r="AQ114" i="56" s="1"/>
  <c r="AR114" i="56" s="1" a="1"/>
  <c r="AR114" i="56" s="1"/>
  <c r="AS114" i="56" s="1" a="1"/>
  <c r="AS114" i="56" s="1"/>
  <c r="AD139" i="56"/>
  <c r="W89" i="47" s="1"/>
  <c r="AH113" i="56" a="1"/>
  <c r="AH113" i="56" s="1"/>
  <c r="AE97" i="47"/>
  <c r="AT186" i="56"/>
  <c r="R139" i="56"/>
  <c r="Q139" i="56"/>
  <c r="S139" i="56"/>
  <c r="N89" i="47" s="1"/>
  <c r="W113" i="56" a="1"/>
  <c r="W113" i="56" s="1"/>
  <c r="Q142" i="56"/>
  <c r="S142" i="56"/>
  <c r="N92" i="47" s="1"/>
  <c r="R142" i="56"/>
  <c r="W116" i="56" a="1"/>
  <c r="W116" i="56" s="1"/>
  <c r="S146" i="56"/>
  <c r="N96" i="47" s="1"/>
  <c r="Q146" i="56"/>
  <c r="R146" i="56"/>
  <c r="W120" i="56" a="1"/>
  <c r="W120" i="56" s="1"/>
  <c r="AK144" i="56"/>
  <c r="AD94" i="47" s="1"/>
  <c r="AO118" i="56" a="1"/>
  <c r="AO118" i="56" s="1"/>
  <c r="AP118" i="56" s="1" a="1"/>
  <c r="AP118" i="56" s="1"/>
  <c r="AQ118" i="56" s="1" a="1"/>
  <c r="AQ118" i="56" s="1"/>
  <c r="AR118" i="56" s="1" a="1"/>
  <c r="AR118" i="56" s="1"/>
  <c r="AS118" i="56" s="1" a="1"/>
  <c r="AS118" i="56" s="1"/>
  <c r="AD145" i="56"/>
  <c r="W95" i="47" s="1"/>
  <c r="AH119" i="56" a="1"/>
  <c r="AH119" i="56" s="1"/>
  <c r="AD141" i="56"/>
  <c r="W91" i="47" s="1"/>
  <c r="AH115" i="56" a="1"/>
  <c r="AH115" i="56" s="1"/>
  <c r="R141" i="56"/>
  <c r="S141" i="56"/>
  <c r="N91" i="47" s="1"/>
  <c r="Q141" i="56"/>
  <c r="W115" i="56" a="1"/>
  <c r="W115" i="56" s="1"/>
  <c r="Q143" i="56"/>
  <c r="R143" i="56"/>
  <c r="S143" i="56"/>
  <c r="N93" i="47" s="1"/>
  <c r="W117" i="56" a="1"/>
  <c r="W117" i="56" s="1"/>
  <c r="Q145" i="56"/>
  <c r="S145" i="56"/>
  <c r="N95" i="47" s="1"/>
  <c r="R145" i="56"/>
  <c r="W119" i="56" a="1"/>
  <c r="W119" i="56" s="1"/>
  <c r="AJ117" i="56" l="1" a="1"/>
  <c r="AJ117" i="56" s="1"/>
  <c r="AI121" i="56" a="1"/>
  <c r="AI121" i="56" s="1"/>
  <c r="AJ121" i="56" s="1" a="1"/>
  <c r="AJ121" i="56" s="1"/>
  <c r="AI116" i="56" a="1"/>
  <c r="AI116" i="56" s="1"/>
  <c r="AF142" i="56" s="1"/>
  <c r="Y92" i="47" s="1"/>
  <c r="AX77" i="56"/>
  <c r="AX80" i="56" s="1"/>
  <c r="AX81" i="56" s="1"/>
  <c r="N89" i="56"/>
  <c r="P144" i="56"/>
  <c r="M94" i="47" s="1"/>
  <c r="V118" i="56" a="1"/>
  <c r="V118" i="56" s="1"/>
  <c r="AZ120" i="56" a="1"/>
  <c r="AZ120" i="56" s="1"/>
  <c r="AO146" i="56" s="1"/>
  <c r="AH96" i="47" s="1"/>
  <c r="AJ96" i="47" s="1"/>
  <c r="AN146" i="56"/>
  <c r="AG96" i="47" s="1"/>
  <c r="W121" i="56" a="1"/>
  <c r="W121" i="56" s="1"/>
  <c r="R147" i="56"/>
  <c r="S147" i="56"/>
  <c r="Q147" i="56"/>
  <c r="M97" i="47"/>
  <c r="Z186" i="56"/>
  <c r="AM140" i="56"/>
  <c r="AF90" i="47" s="1"/>
  <c r="AY114" i="56" a="1"/>
  <c r="AY114" i="56" s="1"/>
  <c r="AY118" i="56" a="1"/>
  <c r="AY118" i="56" s="1"/>
  <c r="AM144" i="56"/>
  <c r="AF94" i="47" s="1"/>
  <c r="AG120" i="56" a="1"/>
  <c r="AG120" i="56" s="1"/>
  <c r="AA146" i="56"/>
  <c r="AB146" i="56"/>
  <c r="AC146" i="56"/>
  <c r="V96" i="47" s="1"/>
  <c r="AA144" i="56"/>
  <c r="AC144" i="56"/>
  <c r="V94" i="47" s="1"/>
  <c r="AB144" i="56"/>
  <c r="AG118" i="56" a="1"/>
  <c r="AG118" i="56" s="1"/>
  <c r="T142" i="56"/>
  <c r="O92" i="47" s="1"/>
  <c r="X116" i="56" a="1"/>
  <c r="X116" i="56" s="1"/>
  <c r="AE139" i="56"/>
  <c r="X89" i="47" s="1"/>
  <c r="AI113" i="56" a="1"/>
  <c r="AI113" i="56" s="1"/>
  <c r="AB140" i="56"/>
  <c r="AC140" i="56"/>
  <c r="V90" i="47" s="1"/>
  <c r="AA140" i="56"/>
  <c r="AG114" i="56" a="1"/>
  <c r="AG114" i="56" s="1"/>
  <c r="AE141" i="56"/>
  <c r="X91" i="47" s="1"/>
  <c r="AI115" i="56" a="1"/>
  <c r="AI115" i="56" s="1"/>
  <c r="AL144" i="56"/>
  <c r="AE94" i="47" s="1"/>
  <c r="AT118" i="56" a="1"/>
  <c r="AT118" i="56" s="1"/>
  <c r="AU118" i="56" s="1" a="1"/>
  <c r="AU118" i="56" s="1"/>
  <c r="AV118" i="56" s="1" a="1"/>
  <c r="AV118" i="56" s="1"/>
  <c r="AW118" i="56" s="1" a="1"/>
  <c r="AW118" i="56" s="1"/>
  <c r="T145" i="56"/>
  <c r="O95" i="47" s="1"/>
  <c r="X119" i="56" a="1"/>
  <c r="X119" i="56" s="1"/>
  <c r="T146" i="56"/>
  <c r="O96" i="47" s="1"/>
  <c r="X120" i="56" a="1"/>
  <c r="X120" i="56" s="1"/>
  <c r="AJ116" i="56" a="1"/>
  <c r="AJ116" i="56" s="1"/>
  <c r="X97" i="47"/>
  <c r="AM186" i="56"/>
  <c r="T141" i="56"/>
  <c r="O91" i="47" s="1"/>
  <c r="X115" i="56" a="1"/>
  <c r="X115" i="56" s="1"/>
  <c r="AE145" i="56"/>
  <c r="X95" i="47" s="1"/>
  <c r="AI119" i="56" a="1"/>
  <c r="AI119" i="56" s="1"/>
  <c r="AG143" i="56"/>
  <c r="Z93" i="47" s="1"/>
  <c r="AK117" i="56" a="1"/>
  <c r="AK117" i="56" s="1"/>
  <c r="T143" i="56"/>
  <c r="O93" i="47" s="1"/>
  <c r="X117" i="56" a="1"/>
  <c r="X117" i="56" s="1"/>
  <c r="Q140" i="56"/>
  <c r="R140" i="56"/>
  <c r="S140" i="56"/>
  <c r="N90" i="47" s="1"/>
  <c r="W114" i="56" a="1"/>
  <c r="W114" i="56" s="1"/>
  <c r="T139" i="56"/>
  <c r="O89" i="47" s="1"/>
  <c r="X113" i="56" a="1"/>
  <c r="X113" i="56" s="1"/>
  <c r="AL140" i="56"/>
  <c r="AE90" i="47" s="1"/>
  <c r="AT114" i="56" a="1"/>
  <c r="AT114" i="56" s="1"/>
  <c r="AU114" i="56" s="1" a="1"/>
  <c r="AU114" i="56" s="1"/>
  <c r="AV114" i="56" s="1" a="1"/>
  <c r="AV114" i="56" s="1"/>
  <c r="AW114" i="56" s="1" a="1"/>
  <c r="AW114" i="56" s="1"/>
  <c r="AF147" i="56" l="1"/>
  <c r="Y97" i="47" s="1"/>
  <c r="W118" i="56" a="1"/>
  <c r="W118" i="56" s="1"/>
  <c r="S144" i="56"/>
  <c r="N94" i="47" s="1"/>
  <c r="R144" i="56"/>
  <c r="Q144" i="56"/>
  <c r="AA186" i="56"/>
  <c r="N97" i="47"/>
  <c r="T147" i="56"/>
  <c r="X121" i="56" a="1"/>
  <c r="X121" i="56" s="1"/>
  <c r="AD146" i="56"/>
  <c r="W96" i="47" s="1"/>
  <c r="AH120" i="56" a="1"/>
  <c r="AH120" i="56" s="1"/>
  <c r="AN144" i="56"/>
  <c r="AG94" i="47" s="1"/>
  <c r="AZ118" i="56" a="1"/>
  <c r="AZ118" i="56" s="1"/>
  <c r="AO144" i="56" s="1"/>
  <c r="AH94" i="47" s="1"/>
  <c r="AJ94" i="47" s="1"/>
  <c r="AZ114" i="56" a="1"/>
  <c r="AZ114" i="56" s="1"/>
  <c r="AO140" i="56" s="1"/>
  <c r="AH90" i="47" s="1"/>
  <c r="AJ90" i="47" s="1"/>
  <c r="AN140" i="56"/>
  <c r="AG90" i="47" s="1"/>
  <c r="AG147" i="56"/>
  <c r="AK121" i="56" a="1"/>
  <c r="AK121" i="56" s="1"/>
  <c r="AG142" i="56"/>
  <c r="Z92" i="47" s="1"/>
  <c r="AK116" i="56" a="1"/>
  <c r="AK116" i="56" s="1"/>
  <c r="U142" i="56"/>
  <c r="P92" i="47" s="1"/>
  <c r="Y116" i="56" a="1"/>
  <c r="Y116" i="56" s="1"/>
  <c r="AA116" i="56" a="1"/>
  <c r="AA116" i="56" s="1"/>
  <c r="U143" i="56"/>
  <c r="P93" i="47" s="1"/>
  <c r="Y117" i="56" a="1"/>
  <c r="Y117" i="56" s="1"/>
  <c r="AA117" i="56" a="1"/>
  <c r="AA117" i="56" s="1"/>
  <c r="AF141" i="56"/>
  <c r="Y91" i="47" s="1"/>
  <c r="AJ115" i="56" a="1"/>
  <c r="AJ115" i="56" s="1"/>
  <c r="AF139" i="56"/>
  <c r="Y89" i="47" s="1"/>
  <c r="AJ113" i="56" a="1"/>
  <c r="AJ113" i="56" s="1"/>
  <c r="AD144" i="56"/>
  <c r="W94" i="47" s="1"/>
  <c r="AH118" i="56" a="1"/>
  <c r="AH118" i="56" s="1"/>
  <c r="AH143" i="56"/>
  <c r="AA93" i="47" s="1"/>
  <c r="AL117" i="56" a="1"/>
  <c r="AL117" i="56" s="1"/>
  <c r="U146" i="56"/>
  <c r="P96" i="47" s="1"/>
  <c r="AA120" i="56" a="1"/>
  <c r="AA120" i="56" s="1"/>
  <c r="Y120" i="56" a="1"/>
  <c r="Y120" i="56" s="1"/>
  <c r="AD140" i="56"/>
  <c r="W90" i="47" s="1"/>
  <c r="AH114" i="56" a="1"/>
  <c r="AH114" i="56" s="1"/>
  <c r="T140" i="56"/>
  <c r="O90" i="47" s="1"/>
  <c r="X114" i="56" a="1"/>
  <c r="X114" i="56" s="1"/>
  <c r="U141" i="56"/>
  <c r="P91" i="47" s="1"/>
  <c r="Y115" i="56" a="1"/>
  <c r="Y115" i="56" s="1"/>
  <c r="AA115" i="56" a="1"/>
  <c r="AA115" i="56" s="1"/>
  <c r="U139" i="56"/>
  <c r="P89" i="47" s="1"/>
  <c r="Y113" i="56" a="1"/>
  <c r="Y113" i="56" s="1"/>
  <c r="AA113" i="56" a="1"/>
  <c r="AA113" i="56" s="1"/>
  <c r="AF145" i="56"/>
  <c r="Y95" i="47" s="1"/>
  <c r="AJ119" i="56" a="1"/>
  <c r="AJ119" i="56" s="1"/>
  <c r="U145" i="56"/>
  <c r="P95" i="47" s="1"/>
  <c r="Y119" i="56" a="1"/>
  <c r="Y119" i="56" s="1"/>
  <c r="AA119" i="56" a="1"/>
  <c r="AA119" i="56" s="1"/>
  <c r="AN186" i="56" l="1"/>
  <c r="X118" i="56" a="1"/>
  <c r="X118" i="56" s="1"/>
  <c r="T144" i="56"/>
  <c r="O94" i="47" s="1"/>
  <c r="U147" i="56"/>
  <c r="Y121" i="56" a="1"/>
  <c r="Y121" i="56" s="1"/>
  <c r="AA121" i="56" a="1"/>
  <c r="AA121" i="56" s="1"/>
  <c r="O97" i="47"/>
  <c r="AB186" i="56"/>
  <c r="AE146" i="56"/>
  <c r="X96" i="47" s="1"/>
  <c r="AI120" i="56" a="1"/>
  <c r="AI120" i="56" s="1"/>
  <c r="U140" i="56"/>
  <c r="P90" i="47" s="1"/>
  <c r="AA114" i="56" a="1"/>
  <c r="AA114" i="56" s="1"/>
  <c r="Y114" i="56" a="1"/>
  <c r="Y114" i="56" s="1"/>
  <c r="AH142" i="56"/>
  <c r="AA92" i="47" s="1"/>
  <c r="AL116" i="56" a="1"/>
  <c r="AL116" i="56" s="1"/>
  <c r="AG141" i="56"/>
  <c r="Z91" i="47" s="1"/>
  <c r="AK115" i="56" a="1"/>
  <c r="AK115" i="56" s="1"/>
  <c r="AE140" i="56"/>
  <c r="X90" i="47" s="1"/>
  <c r="AI114" i="56" a="1"/>
  <c r="AI114" i="56" s="1"/>
  <c r="V143" i="56"/>
  <c r="Q93" i="47" s="1"/>
  <c r="AB117" i="56" a="1"/>
  <c r="AB117" i="56" s="1"/>
  <c r="Z117" i="56" a="1"/>
  <c r="Z117" i="56" s="1"/>
  <c r="V139" i="56"/>
  <c r="Q89" i="47" s="1"/>
  <c r="Z113" i="56" a="1"/>
  <c r="Z113" i="56" s="1"/>
  <c r="AB113" i="56" a="1"/>
  <c r="AB113" i="56" s="1"/>
  <c r="V145" i="56"/>
  <c r="Q95" i="47" s="1"/>
  <c r="AB119" i="56" a="1"/>
  <c r="AB119" i="56" s="1"/>
  <c r="Z119" i="56" a="1"/>
  <c r="Z119" i="56" s="1"/>
  <c r="AG145" i="56"/>
  <c r="Z95" i="47" s="1"/>
  <c r="AK119" i="56" a="1"/>
  <c r="AK119" i="56" s="1"/>
  <c r="AI143" i="56"/>
  <c r="AB93" i="47" s="1"/>
  <c r="AM117" i="56" a="1"/>
  <c r="AM117" i="56" s="1"/>
  <c r="AJ143" i="56" s="1"/>
  <c r="AC93" i="47" s="1"/>
  <c r="AE144" i="56"/>
  <c r="X94" i="47" s="1"/>
  <c r="AI118" i="56" a="1"/>
  <c r="AI118" i="56" s="1"/>
  <c r="V142" i="56"/>
  <c r="Q92" i="47" s="1"/>
  <c r="AB116" i="56" a="1"/>
  <c r="AB116" i="56" s="1"/>
  <c r="Z116" i="56" a="1"/>
  <c r="Z116" i="56" s="1"/>
  <c r="AH147" i="56"/>
  <c r="AL121" i="56" a="1"/>
  <c r="AL121" i="56" s="1"/>
  <c r="V146" i="56"/>
  <c r="Q96" i="47" s="1"/>
  <c r="AB120" i="56" a="1"/>
  <c r="AB120" i="56" s="1"/>
  <c r="Z120" i="56" a="1"/>
  <c r="Z120" i="56" s="1"/>
  <c r="V141" i="56"/>
  <c r="Q91" i="47" s="1"/>
  <c r="AB115" i="56" a="1"/>
  <c r="AB115" i="56" s="1"/>
  <c r="Z115" i="56" a="1"/>
  <c r="Z115" i="56" s="1"/>
  <c r="AG139" i="56"/>
  <c r="Z89" i="47" s="1"/>
  <c r="AK113" i="56" a="1"/>
  <c r="AK113" i="56" s="1"/>
  <c r="AO186" i="56"/>
  <c r="Z97" i="47"/>
  <c r="AA118" i="56" l="1" a="1"/>
  <c r="AA118" i="56" s="1"/>
  <c r="U144" i="56"/>
  <c r="P94" i="47" s="1"/>
  <c r="Y118" i="56" a="1"/>
  <c r="Y118" i="56" s="1"/>
  <c r="V147" i="56"/>
  <c r="Z121" i="56" a="1"/>
  <c r="Z121" i="56" s="1"/>
  <c r="AB121" i="56" a="1"/>
  <c r="AB121" i="56" s="1"/>
  <c r="P97" i="47"/>
  <c r="AC186" i="56"/>
  <c r="AF146" i="56"/>
  <c r="Y96" i="47" s="1"/>
  <c r="AJ120" i="56" a="1"/>
  <c r="AJ120" i="56" s="1"/>
  <c r="AH141" i="56"/>
  <c r="AA91" i="47" s="1"/>
  <c r="AL115" i="56" a="1"/>
  <c r="AL115" i="56" s="1"/>
  <c r="AF144" i="56"/>
  <c r="Y94" i="47" s="1"/>
  <c r="AJ118" i="56" a="1"/>
  <c r="AJ118" i="56" s="1"/>
  <c r="W139" i="56"/>
  <c r="R89" i="47" s="1"/>
  <c r="AC113" i="56" a="1"/>
  <c r="AC113" i="56" s="1"/>
  <c r="X139" i="56" s="1"/>
  <c r="S89" i="47" s="1"/>
  <c r="W146" i="56"/>
  <c r="R96" i="47" s="1"/>
  <c r="AC120" i="56" a="1"/>
  <c r="AC120" i="56" s="1"/>
  <c r="X146" i="56" s="1"/>
  <c r="S96" i="47" s="1"/>
  <c r="AH145" i="56"/>
  <c r="AA95" i="47" s="1"/>
  <c r="AL119" i="56" a="1"/>
  <c r="AL119" i="56" s="1"/>
  <c r="W143" i="56"/>
  <c r="R93" i="47" s="1"/>
  <c r="AC117" i="56" a="1"/>
  <c r="AC117" i="56" s="1"/>
  <c r="X143" i="56" s="1"/>
  <c r="S93" i="47" s="1"/>
  <c r="AI142" i="56"/>
  <c r="AB92" i="47" s="1"/>
  <c r="AM116" i="56" a="1"/>
  <c r="AM116" i="56" s="1"/>
  <c r="AJ142" i="56" s="1"/>
  <c r="AC92" i="47" s="1"/>
  <c r="W141" i="56"/>
  <c r="R91" i="47" s="1"/>
  <c r="AC115" i="56" a="1"/>
  <c r="AC115" i="56" s="1"/>
  <c r="X141" i="56" s="1"/>
  <c r="S91" i="47" s="1"/>
  <c r="AI147" i="56"/>
  <c r="AM121" i="56" a="1"/>
  <c r="AM121" i="56" s="1"/>
  <c r="AJ147" i="56" s="1"/>
  <c r="V140" i="56"/>
  <c r="Q90" i="47" s="1"/>
  <c r="Z114" i="56" a="1"/>
  <c r="Z114" i="56" s="1"/>
  <c r="AB114" i="56" a="1"/>
  <c r="AB114" i="56" s="1"/>
  <c r="AA97" i="47"/>
  <c r="AP186" i="56"/>
  <c r="AF140" i="56"/>
  <c r="Y90" i="47" s="1"/>
  <c r="AJ114" i="56" a="1"/>
  <c r="AJ114" i="56" s="1"/>
  <c r="AH139" i="56"/>
  <c r="AA89" i="47" s="1"/>
  <c r="AL113" i="56" a="1"/>
  <c r="AL113" i="56" s="1"/>
  <c r="W145" i="56"/>
  <c r="R95" i="47" s="1"/>
  <c r="AC119" i="56" a="1"/>
  <c r="AC119" i="56" s="1"/>
  <c r="X145" i="56" s="1"/>
  <c r="S95" i="47" s="1"/>
  <c r="W142" i="56"/>
  <c r="R92" i="47" s="1"/>
  <c r="AC116" i="56" a="1"/>
  <c r="AC116" i="56" s="1"/>
  <c r="X142" i="56" s="1"/>
  <c r="S92" i="47" s="1"/>
  <c r="V144" i="56" l="1"/>
  <c r="Q94" i="47" s="1"/>
  <c r="Z118" i="56" a="1"/>
  <c r="Z118" i="56" s="1"/>
  <c r="AB118" i="56" a="1"/>
  <c r="AB118" i="56" s="1"/>
  <c r="W147" i="56"/>
  <c r="AC121" i="56" a="1"/>
  <c r="AC121" i="56" s="1"/>
  <c r="X147" i="56" s="1"/>
  <c r="AD186" i="56"/>
  <c r="Q97" i="47"/>
  <c r="AK120" i="56" a="1"/>
  <c r="AK120" i="56" s="1"/>
  <c r="AG146" i="56"/>
  <c r="Z96" i="47" s="1"/>
  <c r="AI145" i="56"/>
  <c r="AB95" i="47" s="1"/>
  <c r="AM119" i="56" a="1"/>
  <c r="AM119" i="56" s="1"/>
  <c r="AJ145" i="56" s="1"/>
  <c r="AC95" i="47" s="1"/>
  <c r="W140" i="56"/>
  <c r="R90" i="47" s="1"/>
  <c r="AC114" i="56" a="1"/>
  <c r="AC114" i="56" s="1"/>
  <c r="X140" i="56" s="1"/>
  <c r="S90" i="47" s="1"/>
  <c r="AR186" i="56"/>
  <c r="AC97" i="47"/>
  <c r="AB97" i="47"/>
  <c r="AQ186" i="56"/>
  <c r="AI139" i="56"/>
  <c r="AB89" i="47" s="1"/>
  <c r="AM113" i="56" a="1"/>
  <c r="AM113" i="56" s="1"/>
  <c r="AJ139" i="56" s="1"/>
  <c r="AC89" i="47" s="1"/>
  <c r="AG144" i="56"/>
  <c r="Z94" i="47" s="1"/>
  <c r="AK118" i="56" a="1"/>
  <c r="AK118" i="56" s="1"/>
  <c r="AG140" i="56"/>
  <c r="Z90" i="47" s="1"/>
  <c r="AK114" i="56" a="1"/>
  <c r="AK114" i="56" s="1"/>
  <c r="AI141" i="56"/>
  <c r="AB91" i="47" s="1"/>
  <c r="AM115" i="56" a="1"/>
  <c r="AM115" i="56" s="1"/>
  <c r="AJ141" i="56" s="1"/>
  <c r="AC91" i="47" s="1"/>
  <c r="W144" i="56" l="1"/>
  <c r="R94" i="47" s="1"/>
  <c r="AC118" i="56" a="1"/>
  <c r="AC118" i="56" s="1"/>
  <c r="X144" i="56" s="1"/>
  <c r="S94" i="47" s="1"/>
  <c r="AH186" i="56"/>
  <c r="AF186" i="56"/>
  <c r="S97" i="47"/>
  <c r="R97" i="47"/>
  <c r="AE186" i="56"/>
  <c r="AH146" i="56"/>
  <c r="AA96" i="47" s="1"/>
  <c r="AL120" i="56" a="1"/>
  <c r="AL120" i="56" s="1"/>
  <c r="AH144" i="56"/>
  <c r="AA94" i="47" s="1"/>
  <c r="AL118" i="56" a="1"/>
  <c r="AL118" i="56" s="1"/>
  <c r="AH140" i="56"/>
  <c r="AA90" i="47" s="1"/>
  <c r="AL114" i="56" a="1"/>
  <c r="AL114" i="56" s="1"/>
  <c r="AI146" i="56" l="1"/>
  <c r="AB96" i="47" s="1"/>
  <c r="AM120" i="56" a="1"/>
  <c r="AM120" i="56" s="1"/>
  <c r="AJ146" i="56" s="1"/>
  <c r="AC96" i="47" s="1"/>
  <c r="AI140" i="56"/>
  <c r="AB90" i="47" s="1"/>
  <c r="AM114" i="56" a="1"/>
  <c r="AM114" i="56" s="1"/>
  <c r="AJ140" i="56" s="1"/>
  <c r="AC90" i="47" s="1"/>
  <c r="AI144" i="56"/>
  <c r="AB94" i="47" s="1"/>
  <c r="AM118" i="56" a="1"/>
  <c r="AM118" i="56" s="1"/>
  <c r="AJ144" i="56" s="1"/>
  <c r="AC94" i="47" s="1"/>
  <c r="E80" i="57"/>
  <c r="E117" i="57" s="1"/>
  <c r="E115" i="57"/>
  <c r="O78" i="57"/>
  <c r="O115" i="57" s="1"/>
  <c r="P78" i="57" l="1"/>
  <c r="O80" i="57"/>
  <c r="Y80" i="57" s="1"/>
  <c r="Y78" i="57"/>
  <c r="Y115" i="57"/>
  <c r="Q78" i="57"/>
  <c r="R78" i="57" s="1"/>
  <c r="S78" i="57" s="1"/>
  <c r="P80" i="57"/>
  <c r="Z78" i="57"/>
  <c r="T78" i="57" l="1"/>
  <c r="S115" i="57"/>
  <c r="S80" i="57"/>
  <c r="S117" i="57" s="1"/>
  <c r="O117" i="57"/>
  <c r="Y117" i="57" s="1"/>
  <c r="F78" i="57"/>
  <c r="P115" i="57"/>
  <c r="Z80" i="57"/>
  <c r="P117" i="57"/>
  <c r="Q115" i="57"/>
  <c r="Q80" i="57"/>
  <c r="AA78" i="57"/>
  <c r="G78" i="57" s="1"/>
  <c r="U78" i="57" l="1"/>
  <c r="T80" i="57"/>
  <c r="T117" i="57" s="1"/>
  <c r="T115" i="57"/>
  <c r="P127" i="57"/>
  <c r="Z115" i="57"/>
  <c r="F80" i="57"/>
  <c r="F117" i="57" s="1"/>
  <c r="F129" i="57" s="1"/>
  <c r="F115" i="57"/>
  <c r="F127" i="57" s="1"/>
  <c r="R80" i="57"/>
  <c r="AB78" i="57"/>
  <c r="R115" i="57"/>
  <c r="AA115" i="57"/>
  <c r="Q127" i="57"/>
  <c r="Z117" i="57"/>
  <c r="Z129" i="57" s="1"/>
  <c r="P129" i="57"/>
  <c r="Q117" i="57"/>
  <c r="AA80" i="57"/>
  <c r="G80" i="57"/>
  <c r="G117" i="57" s="1"/>
  <c r="G129" i="57" s="1"/>
  <c r="G115" i="57"/>
  <c r="H78" i="57" l="1"/>
  <c r="H115" i="57" s="1"/>
  <c r="AC78" i="57"/>
  <c r="V78" i="57"/>
  <c r="U80" i="57"/>
  <c r="U117" i="57" s="1"/>
  <c r="U115" i="57"/>
  <c r="P154" i="57"/>
  <c r="Z127" i="57"/>
  <c r="AB115" i="57"/>
  <c r="Q154" i="57"/>
  <c r="AA127" i="57"/>
  <c r="G127" i="57"/>
  <c r="K256" i="57" s="1"/>
  <c r="Q129" i="57"/>
  <c r="AA117" i="57"/>
  <c r="AA129" i="57" s="1"/>
  <c r="P152" i="57"/>
  <c r="P155" i="57"/>
  <c r="P153" i="57"/>
  <c r="R117" i="57"/>
  <c r="AB80" i="57"/>
  <c r="H80" i="57" l="1"/>
  <c r="H117" i="57" s="1"/>
  <c r="AD78" i="57"/>
  <c r="I78" i="57"/>
  <c r="AC80" i="57"/>
  <c r="AC117" i="57" s="1"/>
  <c r="AC115" i="57"/>
  <c r="W78" i="57"/>
  <c r="V80" i="57"/>
  <c r="V117" i="57" s="1"/>
  <c r="V115" i="57"/>
  <c r="Z154" i="57"/>
  <c r="F154" i="57" s="1"/>
  <c r="F191" i="57" s="1"/>
  <c r="P166" i="57"/>
  <c r="Z153" i="57"/>
  <c r="F153" i="57" s="1"/>
  <c r="F190" i="57" s="1"/>
  <c r="P165" i="57"/>
  <c r="P167" i="57"/>
  <c r="Z155" i="57"/>
  <c r="F155" i="57" s="1"/>
  <c r="F192" i="57" s="1"/>
  <c r="P164" i="57"/>
  <c r="Z152" i="57"/>
  <c r="F152" i="57" s="1"/>
  <c r="F189" i="57" s="1"/>
  <c r="Q166" i="57"/>
  <c r="AA154" i="57"/>
  <c r="G154" i="57" s="1"/>
  <c r="G191" i="57" s="1"/>
  <c r="Q152" i="57"/>
  <c r="Q153" i="57"/>
  <c r="Q155" i="57"/>
  <c r="K258" i="57"/>
  <c r="K257" i="57"/>
  <c r="AB117" i="57"/>
  <c r="I115" i="57" l="1"/>
  <c r="I80" i="57"/>
  <c r="I117" i="57" s="1"/>
  <c r="W80" i="57"/>
  <c r="W117" i="57" s="1"/>
  <c r="W115" i="57"/>
  <c r="AE78" i="57"/>
  <c r="L78" i="57"/>
  <c r="J78" i="57"/>
  <c r="K78" i="57"/>
  <c r="AD115" i="57"/>
  <c r="AD80" i="57"/>
  <c r="AD117" i="57" s="1"/>
  <c r="Z166" i="57"/>
  <c r="F166" i="57" s="1"/>
  <c r="P169" i="57"/>
  <c r="Z164" i="57"/>
  <c r="F164" i="57" s="1"/>
  <c r="Z167" i="57"/>
  <c r="F167" i="57" s="1"/>
  <c r="Z165" i="57"/>
  <c r="F165" i="57" s="1"/>
  <c r="Q167" i="57"/>
  <c r="AA155" i="57"/>
  <c r="G155" i="57" s="1"/>
  <c r="G192" i="57" s="1"/>
  <c r="Q164" i="57"/>
  <c r="AA152" i="57"/>
  <c r="G152" i="57" s="1"/>
  <c r="G189" i="57" s="1"/>
  <c r="Q165" i="57"/>
  <c r="AA153" i="57"/>
  <c r="G153" i="57" s="1"/>
  <c r="G190" i="57" s="1"/>
  <c r="AA166" i="57"/>
  <c r="G166" i="57" s="1"/>
  <c r="P178" i="57" l="1"/>
  <c r="Z178" i="57" s="1"/>
  <c r="P170" i="57"/>
  <c r="J115" i="57"/>
  <c r="J80" i="57"/>
  <c r="J117" i="57" s="1"/>
  <c r="K80" i="57"/>
  <c r="K117" i="57" s="1"/>
  <c r="K115" i="57"/>
  <c r="L80" i="57"/>
  <c r="L117" i="57" s="1"/>
  <c r="L115" i="57"/>
  <c r="AF78" i="57"/>
  <c r="AE80" i="57"/>
  <c r="AE117" i="57" s="1"/>
  <c r="AE115" i="57"/>
  <c r="AA165" i="57"/>
  <c r="G165" i="57" s="1"/>
  <c r="AA167" i="57"/>
  <c r="G167" i="57" s="1"/>
  <c r="AA164" i="57"/>
  <c r="G164" i="57" s="1"/>
  <c r="Q169" i="57"/>
  <c r="F169" i="57"/>
  <c r="Z169" i="57"/>
  <c r="Z170" i="57" s="1"/>
  <c r="P174" i="57"/>
  <c r="Z174" i="57" s="1"/>
  <c r="P172" i="57"/>
  <c r="P179" i="57"/>
  <c r="Z179" i="57" s="1"/>
  <c r="P173" i="57"/>
  <c r="Z173" i="57" s="1"/>
  <c r="P177" i="57"/>
  <c r="Z177" i="57" s="1"/>
  <c r="P175" i="57"/>
  <c r="Z175" i="57" s="1"/>
  <c r="P176" i="57"/>
  <c r="Z176" i="57" s="1"/>
  <c r="Q178" i="57" l="1"/>
  <c r="AA178" i="57" s="1"/>
  <c r="Q170" i="57"/>
  <c r="AG78" i="57"/>
  <c r="AF80" i="57"/>
  <c r="AF117" i="57" s="1"/>
  <c r="AF115" i="57"/>
  <c r="Q175" i="57"/>
  <c r="AA175" i="57" s="1"/>
  <c r="AA169" i="57"/>
  <c r="AA170" i="57" s="1"/>
  <c r="F174" i="57"/>
  <c r="F173" i="57"/>
  <c r="F172" i="57"/>
  <c r="F179" i="57"/>
  <c r="F177" i="57"/>
  <c r="F176" i="57"/>
  <c r="Q172" i="57"/>
  <c r="Q174" i="57"/>
  <c r="AA174" i="57" s="1"/>
  <c r="Q179" i="57"/>
  <c r="AA179" i="57" s="1"/>
  <c r="Q173" i="57"/>
  <c r="AA173" i="57" s="1"/>
  <c r="Q177" i="57"/>
  <c r="AA177" i="57" s="1"/>
  <c r="Q176" i="57"/>
  <c r="AA176" i="57" s="1"/>
  <c r="G169" i="57"/>
  <c r="G175" i="57" s="1"/>
  <c r="Z172" i="57"/>
  <c r="P181" i="57"/>
  <c r="F178" i="57"/>
  <c r="F175" i="57"/>
  <c r="M78" i="57" l="1"/>
  <c r="AG80" i="57"/>
  <c r="AG117" i="57" s="1"/>
  <c r="AG115" i="57"/>
  <c r="G178" i="57"/>
  <c r="F181" i="57"/>
  <c r="F182" i="57" s="1"/>
  <c r="AA172" i="57"/>
  <c r="Q181" i="57"/>
  <c r="P182" i="57"/>
  <c r="Z182" i="57" s="1"/>
  <c r="Z181" i="57"/>
  <c r="G173" i="57"/>
  <c r="G179" i="57"/>
  <c r="G174" i="57"/>
  <c r="G172" i="57"/>
  <c r="G177" i="57"/>
  <c r="G176" i="57"/>
  <c r="M115" i="57" l="1"/>
  <c r="M80" i="57"/>
  <c r="M117" i="57" s="1"/>
  <c r="G181" i="57"/>
  <c r="G182" i="57" s="1"/>
  <c r="AA181" i="57"/>
  <c r="Q182" i="57"/>
  <c r="AA182" i="57" s="1"/>
  <c r="E123" i="57" l="1"/>
  <c r="E127" i="57" s="1"/>
  <c r="O88" i="57"/>
  <c r="Y88" i="57" s="1"/>
  <c r="O123" i="57" l="1"/>
  <c r="Y123" i="57" l="1"/>
  <c r="O127" i="57"/>
  <c r="Y127" i="57" l="1"/>
  <c r="O154" i="57"/>
  <c r="Y154" i="57" l="1"/>
  <c r="E191" i="57"/>
  <c r="Q205" i="57" s="1"/>
  <c r="O166" i="57"/>
  <c r="E90" i="57"/>
  <c r="E125" i="57" s="1"/>
  <c r="E129" i="57" s="1"/>
  <c r="E124" i="57"/>
  <c r="E128" i="57" s="1"/>
  <c r="O89" i="57"/>
  <c r="Y89" i="57" l="1"/>
  <c r="O124" i="57"/>
  <c r="O128" i="57" s="1"/>
  <c r="O156" i="57" s="1"/>
  <c r="Y166" i="57"/>
  <c r="E166" i="57" s="1"/>
  <c r="O90" i="57"/>
  <c r="Y128" i="57" l="1"/>
  <c r="Y124" i="57"/>
  <c r="E193" i="57"/>
  <c r="Q207" i="57" s="1"/>
  <c r="Y156" i="57"/>
  <c r="O168" i="57"/>
  <c r="O125" i="57"/>
  <c r="Y90" i="57"/>
  <c r="Y125" i="57" l="1"/>
  <c r="Y129" i="57" s="1"/>
  <c r="O129" i="57"/>
  <c r="Y168" i="57"/>
  <c r="E168" i="57" s="1"/>
  <c r="O152" i="57" l="1"/>
  <c r="O153" i="57"/>
  <c r="O155" i="57"/>
  <c r="Y153" i="57" l="1"/>
  <c r="O165" i="57"/>
  <c r="E190" i="57"/>
  <c r="Q204" i="57" s="1"/>
  <c r="Y155" i="57"/>
  <c r="E192" i="57"/>
  <c r="Q206" i="57" s="1"/>
  <c r="O167" i="57"/>
  <c r="O164" i="57"/>
  <c r="E189" i="57"/>
  <c r="Q203" i="57" s="1"/>
  <c r="Y152" i="57"/>
  <c r="O169" i="57" l="1"/>
  <c r="Y164" i="57"/>
  <c r="E164" i="57" s="1"/>
  <c r="Y167" i="57"/>
  <c r="E167" i="57" s="1"/>
  <c r="Y165" i="57"/>
  <c r="E165" i="57" s="1"/>
  <c r="O178" i="57" l="1"/>
  <c r="Y178" i="57" s="1"/>
  <c r="O170" i="57"/>
  <c r="O176" i="57"/>
  <c r="Y176" i="57" s="1"/>
  <c r="O175" i="57"/>
  <c r="Y175" i="57" s="1"/>
  <c r="Y169" i="57"/>
  <c r="Y170" i="57" s="1"/>
  <c r="E169" i="57"/>
  <c r="E175" i="57" s="1"/>
  <c r="O173" i="57"/>
  <c r="Y173" i="57" s="1"/>
  <c r="O177" i="57"/>
  <c r="Y177" i="57" s="1"/>
  <c r="O174" i="57"/>
  <c r="Y174" i="57" s="1"/>
  <c r="O172" i="57"/>
  <c r="O179" i="57"/>
  <c r="Y179" i="57" s="1"/>
  <c r="O181" i="57" l="1"/>
  <c r="Y172" i="57"/>
  <c r="E173" i="57"/>
  <c r="E174" i="57"/>
  <c r="E172" i="57"/>
  <c r="E177" i="57"/>
  <c r="E179" i="57"/>
  <c r="E178" i="57"/>
  <c r="E176" i="57"/>
  <c r="E181" i="57" l="1"/>
  <c r="E182" i="57" s="1"/>
  <c r="Y181" i="57"/>
  <c r="O182" i="57"/>
  <c r="Y182" i="57" s="1"/>
  <c r="L66" i="60" l="1" a="1"/>
  <c r="L66" i="60" s="1"/>
  <c r="L69" i="60" a="1"/>
  <c r="L69" i="60" s="1"/>
  <c r="L63" i="60" a="1"/>
  <c r="L63" i="60" s="1"/>
  <c r="L68" i="60" a="1"/>
  <c r="L68" i="60" s="1"/>
  <c r="L64" i="60" a="1"/>
  <c r="L64" i="60" s="1"/>
  <c r="L65" i="60" a="1"/>
  <c r="L65" i="60" s="1"/>
  <c r="L67" i="60" a="1"/>
  <c r="L67" i="60" s="1"/>
  <c r="L29" i="60" a="1"/>
  <c r="L29" i="60" s="1"/>
  <c r="L30" i="60" a="1"/>
  <c r="L30" i="60" s="1"/>
  <c r="M30" i="60" l="1" a="1"/>
  <c r="M30" i="60" s="1"/>
  <c r="N30" i="60" s="1" a="1"/>
  <c r="N30" i="60" s="1"/>
  <c r="M29" i="60" a="1"/>
  <c r="M29" i="60" s="1"/>
  <c r="N29" i="60" s="1" a="1"/>
  <c r="N29" i="60" s="1"/>
  <c r="M67" i="60" a="1"/>
  <c r="M67" i="60" s="1"/>
  <c r="N67" i="60" s="1" a="1"/>
  <c r="N67" i="60" s="1"/>
  <c r="M65" i="60" a="1"/>
  <c r="M65" i="60" s="1"/>
  <c r="N65" i="60" s="1" a="1"/>
  <c r="N65" i="60" s="1"/>
  <c r="M64" i="60" a="1"/>
  <c r="M64" i="60" s="1"/>
  <c r="N64" i="60" s="1" a="1"/>
  <c r="N64" i="60" s="1"/>
  <c r="M68" i="60" a="1"/>
  <c r="M68" i="60" s="1"/>
  <c r="N68" i="60" s="1" a="1"/>
  <c r="N68" i="60" s="1"/>
  <c r="M63" i="60" a="1"/>
  <c r="M63" i="60" s="1"/>
  <c r="N63" i="60" s="1" a="1"/>
  <c r="N63" i="60" s="1"/>
  <c r="M69" i="60" a="1"/>
  <c r="M69" i="60" s="1"/>
  <c r="N69" i="60" s="1" a="1"/>
  <c r="N69" i="60" s="1"/>
  <c r="M66" i="60" a="1"/>
  <c r="M66" i="60" s="1"/>
  <c r="N66" i="60" s="1" a="1"/>
  <c r="N66" i="60" s="1"/>
  <c r="X265" i="57" a="1"/>
  <c r="X265" i="57" s="1"/>
  <c r="X264" i="57" a="1"/>
  <c r="X264" i="57" s="1"/>
  <c r="X263" i="57" a="1"/>
  <c r="X263" i="57" s="1"/>
  <c r="U265" i="57" a="1"/>
  <c r="U265" i="57" s="1"/>
  <c r="U264" i="57" a="1"/>
  <c r="U264" i="57" s="1"/>
  <c r="U263" i="57" a="1"/>
  <c r="U263" i="57" s="1"/>
  <c r="AJ261" i="57" a="1"/>
  <c r="AJ261" i="57" s="1"/>
  <c r="AK261" i="57" s="1" a="1"/>
  <c r="AK261" i="57" s="1"/>
  <c r="AJ260" i="57" a="1"/>
  <c r="AJ260" i="57" s="1"/>
  <c r="AK260" i="57" s="1" a="1"/>
  <c r="AK260" i="57" s="1"/>
  <c r="AJ262" i="57" a="1"/>
  <c r="AJ262" i="57" s="1"/>
  <c r="AK262" i="57" s="1" a="1"/>
  <c r="AK262" i="57" s="1"/>
  <c r="X260" i="57" a="1"/>
  <c r="X260" i="57" s="1"/>
  <c r="Y260" i="57" s="1" a="1"/>
  <c r="Y260" i="57" s="1"/>
  <c r="Z260" i="57" s="1" a="1"/>
  <c r="Z260" i="57" s="1"/>
  <c r="X261" i="57" a="1"/>
  <c r="X261" i="57" s="1"/>
  <c r="Y261" i="57" s="1" a="1"/>
  <c r="Y261" i="57" s="1"/>
  <c r="Z261" i="57" s="1" a="1"/>
  <c r="Z261" i="57" s="1"/>
  <c r="X262" i="57" a="1"/>
  <c r="X262" i="57" s="1"/>
  <c r="Y262" i="57" s="1" a="1"/>
  <c r="Y262" i="57" s="1"/>
  <c r="Z262" i="57" s="1" a="1"/>
  <c r="Z262" i="57" s="1"/>
  <c r="U262" i="57" a="1"/>
  <c r="U262" i="57" s="1"/>
  <c r="U260" i="57" a="1"/>
  <c r="U260" i="57" s="1"/>
  <c r="U261" i="57" a="1"/>
  <c r="U261" i="57" s="1"/>
  <c r="R200" i="57" a="1"/>
  <c r="R200" i="57" s="1"/>
  <c r="S200" i="57" s="1" a="1"/>
  <c r="S200" i="57" s="1"/>
  <c r="R201" i="57" a="1"/>
  <c r="R201" i="57" s="1"/>
  <c r="S201" i="57" s="1" a="1"/>
  <c r="S201" i="57" s="1"/>
  <c r="R203" i="57" a="1"/>
  <c r="R203" i="57" s="1"/>
  <c r="S203" i="57" s="1" a="1"/>
  <c r="S203" i="57" s="1"/>
  <c r="R202" i="57" a="1"/>
  <c r="R202" i="57" s="1"/>
  <c r="S202" i="57" s="1" a="1"/>
  <c r="S202" i="57" s="1"/>
  <c r="S205" i="57" a="1"/>
  <c r="S205" i="57" s="1"/>
  <c r="T205" i="57" s="1" a="1"/>
  <c r="T205" i="57" s="1"/>
  <c r="R205" i="57" a="1"/>
  <c r="R205" i="57" s="1"/>
  <c r="R206" i="57" a="1"/>
  <c r="R206" i="57" s="1"/>
  <c r="S206" i="57" s="1" a="1"/>
  <c r="S206" i="57" s="1"/>
  <c r="S204" i="57" a="1"/>
  <c r="S204" i="57" s="1"/>
  <c r="V204" i="57" s="1" a="1"/>
  <c r="V204" i="57" s="1"/>
  <c r="R204" i="57" a="1"/>
  <c r="R204" i="57" s="1"/>
  <c r="R207" i="57" a="1"/>
  <c r="R207" i="57" s="1"/>
  <c r="S207" i="57" s="1" a="1"/>
  <c r="S207" i="57" s="1"/>
  <c r="V203" i="57" l="1" a="1"/>
  <c r="V203" i="57" s="1"/>
  <c r="T203" i="57" a="1"/>
  <c r="T203" i="57" s="1"/>
  <c r="U203" i="57" a="1"/>
  <c r="U203" i="57" s="1"/>
  <c r="V207" i="57" a="1"/>
  <c r="V207" i="57" s="1"/>
  <c r="U207" i="57" a="1"/>
  <c r="U207" i="57" s="1"/>
  <c r="T207" i="57" a="1"/>
  <c r="T207" i="57" s="1"/>
  <c r="W207" i="57" s="1" a="1"/>
  <c r="W207" i="57" s="1"/>
  <c r="X207" i="57" s="1" a="1"/>
  <c r="X207" i="57" s="1"/>
  <c r="Y207" i="57" s="1" a="1"/>
  <c r="Y207" i="57" s="1"/>
  <c r="Z207" i="57" s="1" a="1"/>
  <c r="Z207" i="57" s="1"/>
  <c r="AA207" i="57" s="1" a="1"/>
  <c r="AA207" i="57" s="1"/>
  <c r="AB207" i="57" s="1" a="1"/>
  <c r="AB207" i="57" s="1"/>
  <c r="AC207" i="57" s="1" a="1"/>
  <c r="AC207" i="57" s="1"/>
  <c r="AD207" i="57" s="1" a="1"/>
  <c r="AD207" i="57" s="1"/>
  <c r="AG207" i="57" s="1" a="1"/>
  <c r="AG207" i="57" s="1"/>
  <c r="V201" i="57" a="1"/>
  <c r="V201" i="57" s="1"/>
  <c r="U201" i="57" a="1"/>
  <c r="U201" i="57" s="1"/>
  <c r="T201" i="57" a="1"/>
  <c r="T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AF201" i="57" s="1" a="1"/>
  <c r="AF201" i="57" s="1"/>
  <c r="U206" i="57" a="1"/>
  <c r="U206" i="57" s="1"/>
  <c r="V206" i="57" a="1"/>
  <c r="V206" i="57" s="1"/>
  <c r="T206" i="57" a="1"/>
  <c r="T206" i="57" s="1"/>
  <c r="T200" i="57" a="1"/>
  <c r="T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AF200" i="57" s="1" a="1"/>
  <c r="AF200" i="57" s="1"/>
  <c r="U200" i="57" a="1"/>
  <c r="U200" i="57" s="1"/>
  <c r="V200" i="57" a="1"/>
  <c r="V200" i="57" s="1"/>
  <c r="T202" i="57" a="1"/>
  <c r="T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AF202" i="57" s="1" a="1"/>
  <c r="AF202" i="57" s="1"/>
  <c r="U202" i="57" a="1"/>
  <c r="U202" i="57" s="1"/>
  <c r="V202" i="57" a="1"/>
  <c r="V202" i="57" s="1"/>
  <c r="U204" i="57" a="1"/>
  <c r="U204" i="57" s="1"/>
  <c r="T204" i="57" a="1"/>
  <c r="T204" i="57" s="1"/>
  <c r="U205" i="57" a="1"/>
  <c r="U205" i="57" s="1"/>
  <c r="V205" i="57" a="1"/>
  <c r="V205" i="57" s="1"/>
  <c r="V263" i="57" a="1"/>
  <c r="V263" i="57" s="1"/>
  <c r="W263" i="57" s="1" a="1"/>
  <c r="W263" i="57" s="1"/>
  <c r="T263" i="57" a="1"/>
  <c r="T263" i="57" s="1"/>
  <c r="S263" i="57" s="1" a="1"/>
  <c r="S263" i="57" s="1"/>
  <c r="V264" i="57" a="1"/>
  <c r="V264" i="57" s="1"/>
  <c r="W264" i="57" s="1" a="1"/>
  <c r="W264" i="57" s="1"/>
  <c r="T264" i="57" a="1"/>
  <c r="T264" i="57" s="1"/>
  <c r="S264" i="57" s="1" a="1"/>
  <c r="S264" i="57" s="1"/>
  <c r="V265" i="57" a="1"/>
  <c r="V265" i="57" s="1"/>
  <c r="W265" i="57" s="1" a="1"/>
  <c r="W265" i="57" s="1"/>
  <c r="T265" i="57" a="1"/>
  <c r="T265" i="57" s="1"/>
  <c r="S265" i="57" s="1" a="1"/>
  <c r="S265" i="57" s="1"/>
  <c r="V261" i="57" a="1"/>
  <c r="V261" i="57" s="1"/>
  <c r="W261" i="57" s="1" a="1"/>
  <c r="W261" i="57" s="1"/>
  <c r="T261" i="57" a="1"/>
  <c r="T261" i="57" s="1"/>
  <c r="S261" i="57" s="1" a="1"/>
  <c r="S261" i="57" s="1"/>
  <c r="V260" i="57" a="1"/>
  <c r="V260" i="57" s="1"/>
  <c r="W260" i="57" s="1" a="1"/>
  <c r="W260" i="57" s="1"/>
  <c r="T260" i="57" a="1"/>
  <c r="T260" i="57" s="1"/>
  <c r="S260" i="57" s="1" a="1"/>
  <c r="S260" i="57" s="1"/>
  <c r="AC262" i="57" a="1"/>
  <c r="AC262" i="57" s="1"/>
  <c r="AA262" i="57" a="1"/>
  <c r="AA262" i="57" s="1"/>
  <c r="AD262" i="57" s="1" a="1"/>
  <c r="AD262" i="57" s="1"/>
  <c r="AE262" i="57" s="1" a="1"/>
  <c r="AE262" i="57" s="1"/>
  <c r="AF262" i="57" s="1" a="1"/>
  <c r="AF262" i="57" s="1"/>
  <c r="AG262" i="57" s="1" a="1"/>
  <c r="AG262" i="57" s="1"/>
  <c r="AH262" i="57" s="1" a="1"/>
  <c r="AH262" i="57" s="1"/>
  <c r="AI262" i="57" s="1" a="1"/>
  <c r="AI262" i="57" s="1"/>
  <c r="AB262" i="57" a="1"/>
  <c r="AB262" i="57" s="1"/>
  <c r="AA261" i="57" a="1"/>
  <c r="AA261" i="57" s="1"/>
  <c r="AD261" i="57" s="1" a="1"/>
  <c r="AD261" i="57" s="1"/>
  <c r="AE261" i="57" s="1" a="1"/>
  <c r="AE261" i="57" s="1"/>
  <c r="AF261" i="57" s="1" a="1"/>
  <c r="AF261" i="57" s="1"/>
  <c r="AG261" i="57" s="1" a="1"/>
  <c r="AG261" i="57" s="1"/>
  <c r="AH261" i="57" s="1" a="1"/>
  <c r="AH261" i="57" s="1"/>
  <c r="AI261" i="57" s="1" a="1"/>
  <c r="AI261" i="57" s="1"/>
  <c r="AC261" i="57" a="1"/>
  <c r="AC261" i="57" s="1"/>
  <c r="AB261" i="57" a="1"/>
  <c r="AB261" i="57" s="1"/>
  <c r="AM262" i="57" a="1"/>
  <c r="AM262" i="57" s="1"/>
  <c r="AN262" i="57" a="1"/>
  <c r="AN262" i="57" s="1"/>
  <c r="AL262" i="57" a="1"/>
  <c r="AL262" i="57" s="1"/>
  <c r="AO262" i="57" s="1" a="1"/>
  <c r="AO262" i="57" s="1"/>
  <c r="AP262" i="57" s="1" a="1"/>
  <c r="AP262" i="57" s="1"/>
  <c r="AQ262" i="57" s="1" a="1"/>
  <c r="AQ262" i="57" s="1"/>
  <c r="AR262" i="57" s="1" a="1"/>
  <c r="AR262" i="57" s="1"/>
  <c r="AS262" i="57" s="1" a="1"/>
  <c r="AS262" i="57" s="1"/>
  <c r="V262" i="57" a="1"/>
  <c r="V262" i="57" s="1"/>
  <c r="W262" i="57" s="1" a="1"/>
  <c r="W262" i="57" s="1"/>
  <c r="T262" i="57" a="1"/>
  <c r="T262" i="57" s="1"/>
  <c r="S262" i="57" s="1" a="1"/>
  <c r="S262" i="57" s="1"/>
  <c r="AM260" i="57" a="1"/>
  <c r="AM260" i="57" s="1"/>
  <c r="AN260" i="57" a="1"/>
  <c r="AN260" i="57" s="1"/>
  <c r="AL260" i="57" a="1"/>
  <c r="AL260" i="57" s="1"/>
  <c r="AO260" i="57" s="1" a="1"/>
  <c r="AO260" i="57" s="1"/>
  <c r="AP260" i="57" s="1" a="1"/>
  <c r="AP260" i="57" s="1"/>
  <c r="AQ260" i="57" s="1" a="1"/>
  <c r="AQ260" i="57" s="1"/>
  <c r="AR260" i="57" s="1" a="1"/>
  <c r="AR260" i="57" s="1"/>
  <c r="AS260" i="57" s="1" a="1"/>
  <c r="AS260" i="57" s="1"/>
  <c r="AC260" i="57" a="1"/>
  <c r="AC260" i="57" s="1"/>
  <c r="AB260" i="57" a="1"/>
  <c r="AB260" i="57" s="1"/>
  <c r="AA260" i="57" a="1"/>
  <c r="AA260" i="57" s="1"/>
  <c r="AD260" i="57" s="1" a="1"/>
  <c r="AD260" i="57" s="1"/>
  <c r="AE260" i="57" s="1" a="1"/>
  <c r="AE260" i="57" s="1"/>
  <c r="AF260" i="57" s="1" a="1"/>
  <c r="AF260" i="57" s="1"/>
  <c r="AG260" i="57" s="1" a="1"/>
  <c r="AG260" i="57" s="1"/>
  <c r="AH260" i="57" s="1" a="1"/>
  <c r="AH260" i="57" s="1"/>
  <c r="AI260" i="57" s="1" a="1"/>
  <c r="AI260" i="57" s="1"/>
  <c r="AM261" i="57" a="1"/>
  <c r="AM261" i="57" s="1"/>
  <c r="AN261" i="57" a="1"/>
  <c r="AN261" i="57" s="1"/>
  <c r="AL261" i="57" a="1"/>
  <c r="AL261" i="57" s="1"/>
  <c r="AO261" i="57" s="1" a="1"/>
  <c r="AO261" i="57" s="1"/>
  <c r="AP261" i="57" s="1" a="1"/>
  <c r="AP261" i="57" s="1"/>
  <c r="AQ261" i="57" s="1" a="1"/>
  <c r="AQ261" i="57" s="1"/>
  <c r="AR261" i="57" s="1" a="1"/>
  <c r="AR261" i="57" s="1"/>
  <c r="AS261" i="57" s="1" a="1"/>
  <c r="AS261" i="57" s="1"/>
  <c r="AG201" i="57" l="1" a="1"/>
  <c r="AG201" i="57" s="1"/>
  <c r="AE201" i="57" a="1"/>
  <c r="AE201" i="57" s="1"/>
  <c r="AH201" i="57" s="1" a="1"/>
  <c r="AH201" i="57" s="1"/>
  <c r="AI201" i="57" s="1" a="1"/>
  <c r="AI201" i="57" s="1"/>
  <c r="AJ201" i="57" s="1" a="1"/>
  <c r="AJ201" i="57" s="1"/>
  <c r="AK201" i="57" s="1" a="1"/>
  <c r="AK201" i="57" s="1"/>
  <c r="AL201" i="57" s="1" a="1"/>
  <c r="AL201" i="57" s="1"/>
  <c r="AE207" i="57" a="1"/>
  <c r="AE207" i="57" s="1"/>
  <c r="AH207" i="57" s="1" a="1"/>
  <c r="AH207" i="57" s="1"/>
  <c r="AI207" i="57" s="1" a="1"/>
  <c r="AI207" i="57" s="1"/>
  <c r="AJ207" i="57" s="1" a="1"/>
  <c r="AJ207" i="57" s="1"/>
  <c r="AK207" i="57" s="1" a="1"/>
  <c r="AK207" i="57" s="1"/>
  <c r="AL207" i="57" s="1" a="1"/>
  <c r="AL207" i="57" s="1"/>
  <c r="AF207" i="57" a="1"/>
  <c r="AF207" i="57" s="1"/>
  <c r="AG202" i="57" a="1"/>
  <c r="AG202" i="57" s="1"/>
  <c r="AE200" i="57" a="1"/>
  <c r="AE200" i="57" s="1"/>
  <c r="AH200" i="57" s="1" a="1"/>
  <c r="AH200" i="57" s="1"/>
  <c r="AI200" i="57" s="1" a="1"/>
  <c r="AI200" i="57" s="1"/>
  <c r="AJ200" i="57" s="1" a="1"/>
  <c r="AJ200" i="57" s="1"/>
  <c r="AK200" i="57" s="1" a="1"/>
  <c r="AK200" i="57" s="1"/>
  <c r="AL200" i="57" s="1" a="1"/>
  <c r="AL200" i="57" s="1"/>
  <c r="AE202" i="57" a="1"/>
  <c r="AE202" i="57" s="1"/>
  <c r="AH202" i="57" s="1" a="1"/>
  <c r="AH202" i="57" s="1"/>
  <c r="AI202" i="57" s="1" a="1"/>
  <c r="AI202" i="57" s="1"/>
  <c r="AJ202" i="57" s="1" a="1"/>
  <c r="AJ202" i="57" s="1"/>
  <c r="AK202" i="57" s="1" a="1"/>
  <c r="AK202" i="57" s="1"/>
  <c r="AL202" i="57" s="1" a="1"/>
  <c r="AL202" i="57" s="1"/>
  <c r="AM202" i="57" s="1" a="1"/>
  <c r="AM202" i="57" s="1"/>
  <c r="AO202" i="57" s="1" a="1"/>
  <c r="AO202" i="57" s="1"/>
  <c r="AP202" i="57" s="1" a="1"/>
  <c r="AP202" i="57" s="1"/>
  <c r="AG200" i="57" a="1"/>
  <c r="AG200" i="57" s="1"/>
  <c r="AT261" i="57" a="1"/>
  <c r="AT261" i="57" s="1"/>
  <c r="AV261" i="57" s="1" a="1"/>
  <c r="AV261" i="57" s="1"/>
  <c r="AU261" i="57" a="1"/>
  <c r="AU261" i="57" s="1"/>
  <c r="R260" i="57" a="1"/>
  <c r="R260" i="57" s="1"/>
  <c r="Q260" i="57" a="1"/>
  <c r="Q260" i="57" s="1"/>
  <c r="P260" i="57" a="1"/>
  <c r="P260" i="57" s="1"/>
  <c r="O260" i="57" s="1" a="1"/>
  <c r="O260" i="57" s="1"/>
  <c r="AT260" i="57" a="1"/>
  <c r="AT260" i="57" s="1"/>
  <c r="AV260" i="57" s="1" a="1"/>
  <c r="AV260" i="57" s="1"/>
  <c r="AU260" i="57" a="1"/>
  <c r="AU260" i="57" s="1"/>
  <c r="Q265" i="57" a="1"/>
  <c r="Q265" i="57" s="1"/>
  <c r="R265" i="57" a="1"/>
  <c r="R265" i="57" s="1"/>
  <c r="P265" i="57" a="1"/>
  <c r="P265" i="57" s="1"/>
  <c r="O265" i="57" s="1" a="1"/>
  <c r="O265" i="57" s="1"/>
  <c r="R261" i="57" a="1"/>
  <c r="R261" i="57" s="1"/>
  <c r="Q261" i="57" a="1"/>
  <c r="Q261" i="57" s="1"/>
  <c r="P261" i="57" a="1"/>
  <c r="P261" i="57" s="1"/>
  <c r="O261" i="57" s="1" a="1"/>
  <c r="O261" i="57" s="1"/>
  <c r="Q264" i="57" a="1"/>
  <c r="Q264" i="57" s="1"/>
  <c r="R264" i="57" a="1"/>
  <c r="R264" i="57" s="1"/>
  <c r="P264" i="57" a="1"/>
  <c r="P264" i="57" s="1"/>
  <c r="O264" i="57" s="1" a="1"/>
  <c r="O264" i="57" s="1"/>
  <c r="Q263" i="57" a="1"/>
  <c r="Q263" i="57" s="1"/>
  <c r="R263" i="57" a="1"/>
  <c r="R263" i="57" s="1"/>
  <c r="P263" i="57" a="1"/>
  <c r="P263" i="57" s="1"/>
  <c r="O263" i="57" s="1" a="1"/>
  <c r="O263" i="57" s="1"/>
  <c r="R262" i="57" a="1"/>
  <c r="R262" i="57" s="1"/>
  <c r="Q262" i="57" a="1"/>
  <c r="Q262" i="57" s="1"/>
  <c r="P262" i="57" a="1"/>
  <c r="P262" i="57" s="1"/>
  <c r="O262" i="57" s="1" a="1"/>
  <c r="O262" i="57" s="1"/>
  <c r="AU262" i="57" a="1"/>
  <c r="AU262" i="57" s="1"/>
  <c r="AT262" i="57" a="1"/>
  <c r="AT262" i="57" s="1"/>
  <c r="AV262" i="57" s="1" a="1"/>
  <c r="AV262" i="57" s="1"/>
  <c r="AQ202" i="57" l="1" a="1"/>
  <c r="AQ202" i="57" s="1"/>
  <c r="AR202" i="57" s="1" a="1"/>
  <c r="AR202" i="57" s="1"/>
  <c r="AS202" i="57" s="1" a="1"/>
  <c r="AS202" i="57" s="1"/>
  <c r="AT202" i="57" s="1" a="1"/>
  <c r="AT202" i="57" s="1"/>
  <c r="AM200" i="57" a="1"/>
  <c r="AM200" i="57" s="1"/>
  <c r="AO200" i="57" s="1" a="1"/>
  <c r="AO200" i="57" s="1"/>
  <c r="AN200" i="57" a="1"/>
  <c r="AN200" i="57" s="1"/>
  <c r="AN207" i="57" a="1"/>
  <c r="AN207" i="57" s="1"/>
  <c r="AM207" i="57" a="1"/>
  <c r="AM207" i="57" s="1"/>
  <c r="AO207" i="57" s="1" a="1"/>
  <c r="AO207" i="57" s="1"/>
  <c r="AN201" i="57" a="1"/>
  <c r="AN201" i="57" s="1"/>
  <c r="AM201" i="57" a="1"/>
  <c r="AM201" i="57" s="1"/>
  <c r="AO201" i="57" s="1" a="1"/>
  <c r="AO201" i="57" s="1"/>
  <c r="AN202" i="57" a="1"/>
  <c r="AN202" i="57" s="1"/>
  <c r="AW260" i="57" a="1"/>
  <c r="AW260" i="57" s="1"/>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W261" i="57" a="1"/>
  <c r="AW261" i="57" s="1"/>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V202" i="57" l="1" a="1"/>
  <c r="AV202" i="57" s="1"/>
  <c r="AW202" i="57" s="1" a="1"/>
  <c r="AW202" i="57" s="1"/>
  <c r="AX202" i="57" s="1" a="1"/>
  <c r="AX202" i="57" s="1"/>
  <c r="AQ207" i="57" a="1"/>
  <c r="AQ207" i="57" s="1"/>
  <c r="AR207" i="57" s="1" a="1"/>
  <c r="AR207" i="57" s="1"/>
  <c r="AS207" i="57" s="1" a="1"/>
  <c r="AS207" i="57" s="1"/>
  <c r="AT207" i="57" s="1" a="1"/>
  <c r="AT207" i="57" s="1"/>
  <c r="AP207" i="57" a="1"/>
  <c r="AP207" i="57" s="1"/>
  <c r="AP201" i="57" a="1"/>
  <c r="AP201" i="57" s="1"/>
  <c r="AQ201" i="57" a="1"/>
  <c r="AQ201" i="57" s="1"/>
  <c r="AR201" i="57" s="1" a="1"/>
  <c r="AR201" i="57" s="1"/>
  <c r="AS201" i="57" s="1" a="1"/>
  <c r="AS201" i="57" s="1"/>
  <c r="AT201" i="57" s="1" a="1"/>
  <c r="AT201" i="57" s="1"/>
  <c r="AP200" i="57" a="1"/>
  <c r="AP200" i="57" s="1"/>
  <c r="AQ200" i="57" a="1"/>
  <c r="AQ200" i="57" s="1"/>
  <c r="AR200" i="57" s="1" a="1"/>
  <c r="AR200" i="57" s="1"/>
  <c r="AS200" i="57" s="1" a="1"/>
  <c r="AS200" i="57" s="1"/>
  <c r="AT200" i="57" s="1" a="1"/>
  <c r="AT200" i="57" s="1"/>
  <c r="AU200" i="57" s="1"/>
  <c r="AV201" i="57" l="1" a="1"/>
  <c r="AV201" i="57" s="1"/>
  <c r="AW201" i="57" s="1" a="1"/>
  <c r="AW201" i="57" s="1"/>
  <c r="AX201" i="57" s="1" a="1"/>
  <c r="AX201" i="57" s="1"/>
  <c r="AV207" i="57" a="1"/>
  <c r="AV207" i="57" s="1"/>
  <c r="AW207" i="57" s="1" a="1"/>
  <c r="AW207" i="57" s="1"/>
  <c r="AX207" i="57" s="1" a="1"/>
  <c r="AX207" i="57" s="1"/>
  <c r="AU202" i="57"/>
  <c r="U236" i="57" a="1"/>
  <c r="U236" i="57" s="1"/>
  <c r="U238" i="57" a="1"/>
  <c r="U238" i="57" s="1"/>
  <c r="U237" i="57" a="1"/>
  <c r="U237" i="57" s="1"/>
  <c r="U235" i="57" a="1"/>
  <c r="U235" i="57" s="1"/>
  <c r="V235" i="57" s="1" a="1"/>
  <c r="V235" i="57" s="1"/>
  <c r="W235" i="57" s="1" a="1"/>
  <c r="W235" i="57" s="1"/>
  <c r="X235" i="57" a="1"/>
  <c r="X235" i="57" s="1"/>
  <c r="Y235" i="57" s="1" a="1"/>
  <c r="Y235" i="57" s="1"/>
  <c r="Z235" i="57" s="1" a="1"/>
  <c r="Z235" i="57" s="1"/>
  <c r="U233" i="57" a="1"/>
  <c r="U233" i="57" s="1"/>
  <c r="V233" i="57" s="1" a="1"/>
  <c r="V233" i="57" s="1"/>
  <c r="W233" i="57" s="1" a="1"/>
  <c r="W233" i="57" s="1"/>
  <c r="X233" i="57" a="1"/>
  <c r="X233" i="57" s="1"/>
  <c r="Y233" i="57" s="1" a="1"/>
  <c r="Y233" i="57" s="1"/>
  <c r="Z233" i="57" s="1" a="1"/>
  <c r="Z233" i="57" s="1"/>
  <c r="AJ234" i="57" a="1"/>
  <c r="AJ234" i="57" s="1"/>
  <c r="AK234" i="57" s="1" a="1"/>
  <c r="AK234" i="57" s="1"/>
  <c r="X234" i="57" a="1"/>
  <c r="X234" i="57" s="1"/>
  <c r="Y234" i="57" s="1" a="1"/>
  <c r="Y234" i="57" s="1"/>
  <c r="Z234" i="57" s="1" a="1"/>
  <c r="Z234" i="57" s="1"/>
  <c r="U234" i="57" a="1"/>
  <c r="U234" i="57" s="1"/>
  <c r="V234" i="57" s="1" a="1"/>
  <c r="V234" i="57" s="1"/>
  <c r="W234" i="57" s="1" a="1"/>
  <c r="W234" i="57" s="1"/>
  <c r="AJ235" i="57" a="1"/>
  <c r="AJ235" i="57" s="1"/>
  <c r="AK235" i="57" s="1" a="1"/>
  <c r="AK235" i="57" s="1"/>
  <c r="AJ240" i="57" a="1"/>
  <c r="AJ240" i="57" s="1"/>
  <c r="AK240" i="57" s="1" a="1"/>
  <c r="AK240" i="57" s="1"/>
  <c r="X240" i="57" a="1"/>
  <c r="X240" i="57" s="1"/>
  <c r="Y240" i="57" s="1" a="1"/>
  <c r="Y240" i="57" s="1"/>
  <c r="Z240" i="57" s="1" a="1"/>
  <c r="Z240" i="57" s="1"/>
  <c r="U240" i="57" a="1"/>
  <c r="U240" i="57" s="1"/>
  <c r="V240" i="57" s="1" a="1"/>
  <c r="V240" i="57" s="1"/>
  <c r="W240" i="57" s="1" a="1"/>
  <c r="W240" i="57" s="1"/>
  <c r="U239" i="57" a="1"/>
  <c r="U239" i="57" s="1"/>
  <c r="AJ233" i="57" a="1"/>
  <c r="AJ233" i="57" s="1"/>
  <c r="AK233" i="57" s="1" a="1"/>
  <c r="AK233" i="57" s="1"/>
  <c r="AU207" i="57" l="1"/>
  <c r="AU201" i="57"/>
  <c r="AB235" i="57" a="1"/>
  <c r="AB235" i="57" s="1"/>
  <c r="AA235" i="57" a="1"/>
  <c r="AA235" i="57" s="1"/>
  <c r="AD235" i="57" s="1" a="1"/>
  <c r="AD235" i="57" s="1"/>
  <c r="AE235" i="57" s="1" a="1"/>
  <c r="AE235" i="57" s="1"/>
  <c r="AF235" i="57" s="1" a="1"/>
  <c r="AF235" i="57" s="1"/>
  <c r="AG235" i="57" s="1" a="1"/>
  <c r="AG235" i="57" s="1"/>
  <c r="AH235" i="57" s="1" a="1"/>
  <c r="AH235" i="57" s="1"/>
  <c r="AI235" i="57" s="1" a="1"/>
  <c r="AI235" i="57" s="1"/>
  <c r="AC235" i="57" a="1"/>
  <c r="AC235" i="57" s="1"/>
  <c r="AL240" i="57" a="1"/>
  <c r="AL240" i="57" s="1"/>
  <c r="AO240" i="57" s="1" a="1"/>
  <c r="AO240" i="57" s="1"/>
  <c r="AP240" i="57" s="1" a="1"/>
  <c r="AP240" i="57" s="1"/>
  <c r="AQ240" i="57" s="1" a="1"/>
  <c r="AQ240" i="57" s="1"/>
  <c r="AR240" i="57" s="1" a="1"/>
  <c r="AR240" i="57" s="1"/>
  <c r="AS240" i="57" s="1" a="1"/>
  <c r="AS240" i="57" s="1"/>
  <c r="AM240" i="57" a="1"/>
  <c r="AM240" i="57" s="1"/>
  <c r="AN240" i="57" a="1"/>
  <c r="AN240" i="57" s="1"/>
  <c r="AN234" i="57" a="1"/>
  <c r="AN234" i="57" s="1"/>
  <c r="AM234" i="57" a="1"/>
  <c r="AM234" i="57" s="1"/>
  <c r="AL234" i="57" a="1"/>
  <c r="AL234" i="57" s="1"/>
  <c r="AO234" i="57" s="1" a="1"/>
  <c r="AO234" i="57" s="1"/>
  <c r="AP234" i="57" s="1" a="1"/>
  <c r="AP234" i="57" s="1"/>
  <c r="AQ234" i="57" s="1" a="1"/>
  <c r="AQ234" i="57" s="1"/>
  <c r="AR234" i="57" s="1" a="1"/>
  <c r="AR234" i="57" s="1"/>
  <c r="AS234" i="57" s="1" a="1"/>
  <c r="AS234" i="57" s="1"/>
  <c r="AB233" i="57" a="1"/>
  <c r="AB233" i="57" s="1"/>
  <c r="AA233" i="57" a="1"/>
  <c r="AA233" i="57" s="1"/>
  <c r="AD233" i="57" s="1" a="1"/>
  <c r="AD233" i="57" s="1"/>
  <c r="AE233" i="57" s="1" a="1"/>
  <c r="AE233" i="57" s="1"/>
  <c r="AF233" i="57" s="1" a="1"/>
  <c r="AF233" i="57" s="1"/>
  <c r="AG233" i="57" s="1" a="1"/>
  <c r="AG233" i="57" s="1"/>
  <c r="AH233" i="57" s="1" a="1"/>
  <c r="AH233" i="57" s="1"/>
  <c r="AI233" i="57" s="1" a="1"/>
  <c r="AI233" i="57" s="1"/>
  <c r="AC233" i="57" a="1"/>
  <c r="AC233" i="57" s="1"/>
  <c r="AN235" i="57" a="1"/>
  <c r="AN235" i="57" s="1"/>
  <c r="AM235" i="57" a="1"/>
  <c r="AM235" i="57" s="1"/>
  <c r="AL235" i="57" a="1"/>
  <c r="AL235" i="57" s="1"/>
  <c r="AO235" i="57" s="1" a="1"/>
  <c r="AO235" i="57" s="1"/>
  <c r="AP235" i="57" s="1" a="1"/>
  <c r="AP235" i="57" s="1"/>
  <c r="AQ235" i="57" s="1" a="1"/>
  <c r="AQ235" i="57" s="1"/>
  <c r="AR235" i="57" s="1" a="1"/>
  <c r="AR235" i="57" s="1"/>
  <c r="AS235" i="57" s="1" a="1"/>
  <c r="AS235" i="57" s="1"/>
  <c r="AM233" i="57" a="1"/>
  <c r="AM233" i="57" s="1"/>
  <c r="AL233" i="57" a="1"/>
  <c r="AL233" i="57" s="1"/>
  <c r="AO233" i="57" s="1" a="1"/>
  <c r="AO233" i="57" s="1"/>
  <c r="AP233" i="57" s="1" a="1"/>
  <c r="AP233" i="57" s="1"/>
  <c r="AQ233" i="57" s="1" a="1"/>
  <c r="AQ233" i="57" s="1"/>
  <c r="AR233" i="57" s="1" a="1"/>
  <c r="AR233" i="57" s="1"/>
  <c r="AS233" i="57" s="1" a="1"/>
  <c r="AS233" i="57" s="1"/>
  <c r="AN233" i="57" a="1"/>
  <c r="AN233" i="57" s="1"/>
  <c r="AC234" i="57" a="1"/>
  <c r="AC234" i="57" s="1"/>
  <c r="AA234" i="57" a="1"/>
  <c r="AA234" i="57" s="1"/>
  <c r="AD234" i="57" s="1" a="1"/>
  <c r="AD234" i="57" s="1"/>
  <c r="AE234" i="57" s="1" a="1"/>
  <c r="AE234" i="57" s="1"/>
  <c r="AF234" i="57" s="1" a="1"/>
  <c r="AF234" i="57" s="1"/>
  <c r="AG234" i="57" s="1" a="1"/>
  <c r="AG234" i="57" s="1"/>
  <c r="AH234" i="57" s="1" a="1"/>
  <c r="AH234" i="57" s="1"/>
  <c r="AI234" i="57" s="1" a="1"/>
  <c r="AI234" i="57" s="1"/>
  <c r="AB234" i="57" a="1"/>
  <c r="AB234" i="57" s="1"/>
  <c r="AA240" i="57" a="1"/>
  <c r="AA240" i="57" s="1"/>
  <c r="AD240" i="57" s="1" a="1"/>
  <c r="AD240" i="57" s="1"/>
  <c r="AE240" i="57" s="1" a="1"/>
  <c r="AE240" i="57" s="1"/>
  <c r="AF240" i="57" s="1" a="1"/>
  <c r="AF240" i="57" s="1"/>
  <c r="AG240" i="57" s="1" a="1"/>
  <c r="AG240" i="57" s="1"/>
  <c r="AH240" i="57" s="1" a="1"/>
  <c r="AH240" i="57" s="1"/>
  <c r="AI240" i="57" s="1" a="1"/>
  <c r="AI240" i="57" s="1"/>
  <c r="AB240" i="57" a="1"/>
  <c r="AB240" i="57" s="1"/>
  <c r="AC240" i="57" a="1"/>
  <c r="AC240" i="57" s="1"/>
  <c r="AU234" i="57" l="1" a="1"/>
  <c r="AU234" i="57" s="1"/>
  <c r="AT234" i="57" a="1"/>
  <c r="AT234" i="57" s="1"/>
  <c r="AV234" i="57" s="1" a="1"/>
  <c r="AV234" i="57" s="1"/>
  <c r="AU233" i="57" a="1"/>
  <c r="AU233" i="57" s="1"/>
  <c r="AT233" i="57" a="1"/>
  <c r="AT233" i="57" s="1"/>
  <c r="AV233" i="57" s="1" a="1"/>
  <c r="AV233" i="57" s="1"/>
  <c r="AU240" i="57" a="1"/>
  <c r="AU240" i="57" s="1"/>
  <c r="AT240" i="57" a="1"/>
  <c r="AT240" i="57" s="1"/>
  <c r="AV240" i="57" s="1" a="1"/>
  <c r="AV240" i="57" s="1"/>
  <c r="AU235" i="57" a="1"/>
  <c r="AU235" i="57" s="1"/>
  <c r="AT235" i="57" a="1"/>
  <c r="AT235" i="57" s="1"/>
  <c r="AV235" i="57" s="1" a="1"/>
  <c r="AV235" i="57" s="1"/>
  <c r="AX233" i="57" l="1"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W233" i="57" a="1"/>
  <c r="AW233" i="57" s="1"/>
  <c r="AW234" i="57" a="1"/>
  <c r="AW234" i="57" s="1"/>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AW240" i="57" a="1"/>
  <c r="AW240" i="57" s="1"/>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N223" i="57" l="1" a="1"/>
  <c r="N223" i="57" s="1"/>
  <c r="O223" i="57" s="1" a="1"/>
  <c r="O223" i="57" s="1"/>
  <c r="H106" i="47" s="1"/>
  <c r="N225" i="57" a="1"/>
  <c r="N225" i="57" s="1"/>
  <c r="G107" i="47" s="1"/>
  <c r="N224" i="57" a="1"/>
  <c r="N224" i="57" s="1"/>
  <c r="Q223" i="57" a="1"/>
  <c r="Q223" i="57" s="1"/>
  <c r="J106" i="47" s="1"/>
  <c r="P223" i="57" a="1"/>
  <c r="P223" i="57" s="1"/>
  <c r="I106" i="47" s="1"/>
  <c r="Q225" i="57" a="1"/>
  <c r="Q225" i="57" s="1"/>
  <c r="J107" i="47" s="1"/>
  <c r="P225" i="57" a="1"/>
  <c r="P225" i="57" s="1"/>
  <c r="I107" i="47" s="1"/>
  <c r="R221" i="57" a="1"/>
  <c r="R221" i="57" s="1"/>
  <c r="Q221" i="57" a="1"/>
  <c r="Q221" i="57" s="1"/>
  <c r="J101" i="47" s="1"/>
  <c r="P221" i="57" a="1"/>
  <c r="P221" i="57" s="1"/>
  <c r="I101" i="47" s="1"/>
  <c r="N221" i="57" a="1"/>
  <c r="N221" i="57" s="1"/>
  <c r="Q222" i="57" a="1"/>
  <c r="Q222" i="57" s="1"/>
  <c r="J104" i="47" s="1"/>
  <c r="P222" i="57" a="1"/>
  <c r="P222" i="57" s="1"/>
  <c r="I104" i="47" s="1"/>
  <c r="N222" i="57" a="1"/>
  <c r="N222" i="57" s="1"/>
  <c r="N219" i="57" a="1"/>
  <c r="N219" i="57" s="1"/>
  <c r="G100" i="47" s="1"/>
  <c r="R226" i="57" a="1"/>
  <c r="R226" i="57" s="1"/>
  <c r="K105" i="47" s="1"/>
  <c r="Q226" i="57" a="1"/>
  <c r="Q226" i="57" s="1"/>
  <c r="J105" i="47" s="1"/>
  <c r="P226" i="57" a="1"/>
  <c r="P226" i="57" s="1"/>
  <c r="I105" i="47" s="1"/>
  <c r="N226" i="57" a="1"/>
  <c r="N226" i="57" s="1"/>
  <c r="O226" i="57" s="1" a="1"/>
  <c r="O226" i="57" s="1"/>
  <c r="H105" i="47" s="1"/>
  <c r="N220" i="57" a="1"/>
  <c r="N220" i="57" s="1"/>
  <c r="Q224" i="57" a="1"/>
  <c r="Q224" i="57" s="1"/>
  <c r="J103" i="47" s="1"/>
  <c r="P224" i="57" a="1"/>
  <c r="P224" i="57" s="1"/>
  <c r="I103" i="47" s="1"/>
  <c r="R220" i="57" a="1"/>
  <c r="R220" i="57" s="1"/>
  <c r="Q220" i="57" a="1"/>
  <c r="Q220" i="57" s="1"/>
  <c r="J102" i="47" s="1"/>
  <c r="P220" i="57" a="1"/>
  <c r="P220" i="57" s="1"/>
  <c r="I102" i="47" s="1"/>
  <c r="R219" i="57" a="1"/>
  <c r="R219" i="57" s="1"/>
  <c r="Q219" i="57" a="1"/>
  <c r="Q219" i="57" s="1"/>
  <c r="J100" i="47" s="1"/>
  <c r="P219" i="57" a="1"/>
  <c r="P219" i="57" s="1"/>
  <c r="I100" i="47" s="1"/>
  <c r="AC226" i="57" a="1"/>
  <c r="AC226" i="57" s="1"/>
  <c r="AC221" i="57" a="1"/>
  <c r="AC221" i="57" s="1"/>
  <c r="AP221" i="57" a="1"/>
  <c r="AP221" i="57" s="1"/>
  <c r="AC220" i="57" a="1"/>
  <c r="AC220" i="57" s="1"/>
  <c r="AP220" i="57" a="1"/>
  <c r="AP220" i="57" s="1"/>
  <c r="AC219" i="57" a="1"/>
  <c r="AC219" i="57" s="1"/>
  <c r="AP226" i="57" a="1"/>
  <c r="AP226" i="57" s="1"/>
  <c r="AQ226" i="57" a="1"/>
  <c r="AQ226" i="57" s="1"/>
  <c r="AP219" i="57" a="1"/>
  <c r="AP219" i="57" s="1"/>
  <c r="AQ221" i="57" a="1"/>
  <c r="AQ221" i="57" s="1"/>
  <c r="AQ219" i="57" a="1"/>
  <c r="AQ219" i="57" s="1"/>
  <c r="AQ220" i="57" a="1"/>
  <c r="AQ220" i="57" s="1"/>
  <c r="G104" i="47" l="1"/>
  <c r="O222" i="57" a="1"/>
  <c r="O222" i="57" s="1"/>
  <c r="H104" i="47" s="1"/>
  <c r="S220" i="57" a="1"/>
  <c r="S220" i="57" s="1"/>
  <c r="K102" i="47"/>
  <c r="T102" i="47"/>
  <c r="AD220" i="57" a="1"/>
  <c r="AD220" i="57" s="1"/>
  <c r="AD102" i="47"/>
  <c r="AD100" i="47"/>
  <c r="AD105" i="47"/>
  <c r="AD226" i="57" a="1"/>
  <c r="AD226" i="57" s="1"/>
  <c r="T105" i="47"/>
  <c r="AD221" i="57" a="1"/>
  <c r="AD221" i="57" s="1"/>
  <c r="T101" i="47"/>
  <c r="AD101" i="47"/>
  <c r="O221" i="57" a="1"/>
  <c r="O221" i="57" s="1"/>
  <c r="H101" i="47" s="1"/>
  <c r="G101" i="47"/>
  <c r="G102" i="47"/>
  <c r="O220" i="57" a="1"/>
  <c r="O220" i="57" s="1"/>
  <c r="H102" i="47" s="1"/>
  <c r="AD219" i="57" a="1"/>
  <c r="AD219" i="57" s="1"/>
  <c r="T100" i="47"/>
  <c r="O224" i="57" a="1"/>
  <c r="O224" i="57" s="1"/>
  <c r="H103" i="47" s="1"/>
  <c r="G103" i="47"/>
  <c r="S221" i="57" a="1"/>
  <c r="S221" i="57" s="1"/>
  <c r="K101" i="47"/>
  <c r="S219" i="57" a="1"/>
  <c r="S219" i="57" s="1"/>
  <c r="K100" i="47"/>
  <c r="O219" i="57" a="1"/>
  <c r="O219" i="57" s="1"/>
  <c r="H100" i="47" s="1"/>
  <c r="O225" i="57" a="1"/>
  <c r="O225" i="57" s="1"/>
  <c r="H107" i="47" s="1"/>
  <c r="G105" i="47"/>
  <c r="G106" i="47"/>
  <c r="S226" i="57" a="1"/>
  <c r="S226" i="57" s="1"/>
  <c r="U226" i="57" l="1" a="1"/>
  <c r="U226" i="57" s="1"/>
  <c r="V226" i="57" a="1"/>
  <c r="V226" i="57" s="1"/>
  <c r="T226" i="57" a="1"/>
  <c r="T226" i="57" s="1"/>
  <c r="L105" i="47"/>
  <c r="AE220" i="57" a="1"/>
  <c r="AE220" i="57" s="1"/>
  <c r="AF220" i="57" a="1"/>
  <c r="AF220" i="57" s="1"/>
  <c r="U102" i="47"/>
  <c r="AG220" i="57" a="1"/>
  <c r="AG220" i="57" s="1"/>
  <c r="AG221" i="57" a="1"/>
  <c r="AG221" i="57" s="1"/>
  <c r="AF221" i="57" a="1"/>
  <c r="AF221" i="57" s="1"/>
  <c r="U101" i="47"/>
  <c r="AE221" i="57" a="1"/>
  <c r="AE221" i="57" s="1"/>
  <c r="U219" i="57" a="1"/>
  <c r="U219" i="57" s="1"/>
  <c r="T219" i="57" a="1"/>
  <c r="T219" i="57" s="1"/>
  <c r="V219" i="57" a="1"/>
  <c r="V219" i="57" s="1"/>
  <c r="L100" i="47"/>
  <c r="AF226" i="57" a="1"/>
  <c r="AF226" i="57" s="1"/>
  <c r="AG226" i="57" a="1"/>
  <c r="AG226" i="57" s="1"/>
  <c r="U105" i="47"/>
  <c r="AE226" i="57" a="1"/>
  <c r="AE226" i="57" s="1"/>
  <c r="T220" i="57" a="1"/>
  <c r="T220" i="57" s="1"/>
  <c r="U220" i="57" a="1"/>
  <c r="U220" i="57" s="1"/>
  <c r="L102" i="47"/>
  <c r="V220" i="57" a="1"/>
  <c r="V220" i="57" s="1"/>
  <c r="AF219" i="57" a="1"/>
  <c r="AF219" i="57" s="1"/>
  <c r="AG219" i="57" a="1"/>
  <c r="AG219" i="57" s="1"/>
  <c r="AE219" i="57" a="1"/>
  <c r="AE219" i="57" s="1"/>
  <c r="U100" i="47"/>
  <c r="L101" i="47"/>
  <c r="U221" i="57" a="1"/>
  <c r="U221" i="57" s="1"/>
  <c r="V221" i="57" a="1"/>
  <c r="V221" i="57" s="1"/>
  <c r="T221" i="57" a="1"/>
  <c r="T221" i="57" s="1"/>
  <c r="AH220" i="57" l="1" a="1"/>
  <c r="AH220" i="57" s="1"/>
  <c r="V102" i="47"/>
  <c r="W226" i="57" a="1"/>
  <c r="W226" i="57" s="1"/>
  <c r="M105" i="47"/>
  <c r="AH219" i="57" a="1"/>
  <c r="AH219" i="57" s="1"/>
  <c r="V100" i="47"/>
  <c r="AH221" i="57" a="1"/>
  <c r="AH221" i="57" s="1"/>
  <c r="V101" i="47"/>
  <c r="M100" i="47"/>
  <c r="W219" i="57" a="1"/>
  <c r="W219" i="57" s="1"/>
  <c r="W220" i="57" a="1"/>
  <c r="W220" i="57" s="1"/>
  <c r="M102" i="47"/>
  <c r="M101" i="47"/>
  <c r="W221" i="57" a="1"/>
  <c r="W221" i="57" s="1"/>
  <c r="AH226" i="57" a="1"/>
  <c r="AH226" i="57" s="1"/>
  <c r="V105" i="47"/>
  <c r="AI221" i="57" l="1" a="1"/>
  <c r="AI221" i="57" s="1"/>
  <c r="W101" i="47"/>
  <c r="W100" i="47"/>
  <c r="AI219" i="57" a="1"/>
  <c r="AI219" i="57" s="1"/>
  <c r="X220" i="57" a="1"/>
  <c r="X220" i="57" s="1"/>
  <c r="N102" i="47"/>
  <c r="N105" i="47"/>
  <c r="X226" i="57" a="1"/>
  <c r="X226" i="57" s="1"/>
  <c r="N100" i="47"/>
  <c r="X219" i="57" a="1"/>
  <c r="X219" i="57" s="1"/>
  <c r="AI220" i="57" a="1"/>
  <c r="AI220" i="57" s="1"/>
  <c r="W102" i="47"/>
  <c r="N101" i="47"/>
  <c r="X221" i="57" a="1"/>
  <c r="X221" i="57" s="1"/>
  <c r="AI226" i="57" a="1"/>
  <c r="AI226" i="57" s="1"/>
  <c r="W105" i="47"/>
  <c r="O105" i="47" l="1"/>
  <c r="Y226" i="57" a="1"/>
  <c r="Y226" i="57" s="1"/>
  <c r="Y220" i="57" a="1"/>
  <c r="Y220" i="57" s="1"/>
  <c r="O102" i="47"/>
  <c r="X102" i="47"/>
  <c r="AJ220" i="57" a="1"/>
  <c r="AJ220" i="57" s="1"/>
  <c r="X100" i="47"/>
  <c r="AJ219" i="57" a="1"/>
  <c r="AJ219" i="57" s="1"/>
  <c r="AJ226" i="57" a="1"/>
  <c r="AJ226" i="57" s="1"/>
  <c r="X105" i="47"/>
  <c r="O101" i="47"/>
  <c r="Y221" i="57" a="1"/>
  <c r="Y221" i="57" s="1"/>
  <c r="O100" i="47"/>
  <c r="Y219" i="57" a="1"/>
  <c r="Y219" i="57" s="1"/>
  <c r="X101" i="47"/>
  <c r="AJ221" i="57" a="1"/>
  <c r="AJ221" i="57" s="1"/>
  <c r="AK220" i="57" l="1" a="1"/>
  <c r="AK220" i="57" s="1"/>
  <c r="Y102" i="47"/>
  <c r="AK226" i="57" a="1"/>
  <c r="AK226" i="57" s="1"/>
  <c r="Y105" i="47"/>
  <c r="AK221" i="57" a="1"/>
  <c r="AK221" i="57" s="1"/>
  <c r="Y101" i="47"/>
  <c r="AK219" i="57" a="1"/>
  <c r="AK219" i="57" s="1"/>
  <c r="Y100" i="47"/>
  <c r="P101" i="47"/>
  <c r="Z221" i="57" a="1"/>
  <c r="Z221" i="57" s="1"/>
  <c r="P102" i="47"/>
  <c r="Z220" i="57" a="1"/>
  <c r="Z220" i="57" s="1"/>
  <c r="P105" i="47"/>
  <c r="Z226" i="57" a="1"/>
  <c r="Z226" i="57" s="1"/>
  <c r="P100" i="47"/>
  <c r="Z219" i="57" a="1"/>
  <c r="Z219" i="57" s="1"/>
  <c r="Q102" i="47" l="1"/>
  <c r="AA220" i="57" a="1"/>
  <c r="AA220" i="57" s="1"/>
  <c r="AL226" i="57" a="1"/>
  <c r="AL226" i="57" s="1"/>
  <c r="Z105" i="47"/>
  <c r="Q101" i="47"/>
  <c r="AA221" i="57" a="1"/>
  <c r="AA221" i="57" s="1"/>
  <c r="Z100" i="47"/>
  <c r="AL219" i="57" a="1"/>
  <c r="AL219" i="57" s="1"/>
  <c r="AA226" i="57" a="1"/>
  <c r="AA226" i="57" s="1"/>
  <c r="Q105" i="47"/>
  <c r="AA219" i="57" a="1"/>
  <c r="AA219" i="57" s="1"/>
  <c r="Q100" i="47"/>
  <c r="AL221" i="57" a="1"/>
  <c r="AL221" i="57" s="1"/>
  <c r="Z101" i="47"/>
  <c r="Z102" i="47"/>
  <c r="AL220" i="57" a="1"/>
  <c r="AL220" i="57" s="1"/>
  <c r="R101" i="47" l="1"/>
  <c r="AB221" i="57" a="1"/>
  <c r="AB221" i="57" s="1"/>
  <c r="S101" i="47" s="1"/>
  <c r="AN226" i="57" a="1"/>
  <c r="AN226" i="57" s="1"/>
  <c r="AA105" i="47"/>
  <c r="AM226" i="57" a="1"/>
  <c r="AM226" i="57" s="1"/>
  <c r="AA100" i="47"/>
  <c r="AM219" i="57" a="1"/>
  <c r="AM219" i="57" s="1"/>
  <c r="AN219" i="57" a="1"/>
  <c r="AN219" i="57" s="1"/>
  <c r="AB220" i="57" a="1"/>
  <c r="AB220" i="57" s="1"/>
  <c r="S102" i="47" s="1"/>
  <c r="R102" i="47"/>
  <c r="AA102" i="47"/>
  <c r="AN220" i="57" a="1"/>
  <c r="AN220" i="57" s="1"/>
  <c r="AM220" i="57" a="1"/>
  <c r="AM220" i="57" s="1"/>
  <c r="R100" i="47"/>
  <c r="AB219" i="57" a="1"/>
  <c r="AB219" i="57" s="1"/>
  <c r="S100" i="47" s="1"/>
  <c r="AB226" i="57" a="1"/>
  <c r="AB226" i="57" s="1"/>
  <c r="S105" i="47" s="1"/>
  <c r="R105" i="47"/>
  <c r="AM221" i="57" a="1"/>
  <c r="AM221" i="57" s="1"/>
  <c r="AA101" i="47"/>
  <c r="AN221" i="57" a="1"/>
  <c r="AN221" i="57" s="1"/>
  <c r="AO219" i="57" l="1" a="1"/>
  <c r="AO219" i="57" s="1"/>
  <c r="AC100" i="47" s="1"/>
  <c r="AB100" i="47"/>
  <c r="AB102" i="47"/>
  <c r="AO220" i="57" a="1"/>
  <c r="AO220" i="57" s="1"/>
  <c r="AC102" i="47" s="1"/>
  <c r="AO226" i="57" a="1"/>
  <c r="AO226" i="57" s="1"/>
  <c r="AC105" i="47" s="1"/>
  <c r="AB105" i="47"/>
  <c r="AB101" i="47"/>
  <c r="AO221" i="57" a="1"/>
  <c r="AO221" i="57" s="1"/>
  <c r="AC101" i="47" s="1"/>
  <c r="AS219" i="57" a="1"/>
  <c r="AS219" i="57" s="1"/>
  <c r="AT219" i="57" s="1" a="1"/>
  <c r="AT219" i="57" s="1"/>
  <c r="AS220" i="57" a="1"/>
  <c r="AS220" i="57" s="1"/>
  <c r="AS221" i="57" a="1"/>
  <c r="AS221" i="57" s="1"/>
  <c r="AS226" i="57" a="1"/>
  <c r="AS226" i="57" s="1"/>
  <c r="AR226" i="57" s="1"/>
  <c r="AE105" i="47" s="1"/>
  <c r="AF100" i="47" l="1"/>
  <c r="AR219" i="57"/>
  <c r="AE100" i="47" s="1"/>
  <c r="AH100" i="47"/>
  <c r="AJ100" i="47" s="1"/>
  <c r="AG100" i="47"/>
  <c r="AF102" i="47"/>
  <c r="AR220" i="57"/>
  <c r="AE102" i="47" s="1"/>
  <c r="AT220" i="57" a="1"/>
  <c r="AT220" i="57" s="1"/>
  <c r="AR221" i="57"/>
  <c r="AE101" i="47" s="1"/>
  <c r="AF101" i="47"/>
  <c r="AT221" i="57" a="1"/>
  <c r="AT221" i="57" s="1"/>
  <c r="AF105" i="47"/>
  <c r="AT226" i="57" a="1"/>
  <c r="AT226" i="57" s="1"/>
  <c r="AU220" i="57" l="1" a="1"/>
  <c r="AU220" i="57" s="1"/>
  <c r="AH102" i="47" s="1"/>
  <c r="AJ102" i="47" s="1"/>
  <c r="AG102" i="47"/>
  <c r="AG105" i="47"/>
  <c r="AU226" i="57" a="1"/>
  <c r="AU226" i="57" s="1"/>
  <c r="AH105" i="47" s="1"/>
  <c r="AJ105" i="47" s="1"/>
  <c r="AG101" i="47"/>
  <c r="AU221" i="57" a="1"/>
  <c r="AU221" i="57" s="1"/>
  <c r="AH101" i="47" s="1"/>
  <c r="AJ101" i="47" s="1"/>
  <c r="H83" i="47"/>
  <c r="I83" i="47"/>
  <c r="H86" i="47"/>
  <c r="I86" i="47"/>
  <c r="J86" i="47"/>
  <c r="T86" i="47"/>
  <c r="AD86" i="47"/>
  <c r="H84" i="47"/>
  <c r="I84" i="47"/>
  <c r="J84" i="47"/>
  <c r="T84" i="47"/>
  <c r="H85" i="47"/>
  <c r="I85" i="47"/>
  <c r="J85" i="47"/>
  <c r="T85" i="47"/>
  <c r="AD85" i="47"/>
  <c r="H108" i="47"/>
  <c r="I108" i="47"/>
  <c r="J108" i="47"/>
  <c r="T108" i="47"/>
  <c r="AD108" i="47"/>
  <c r="J83" i="47"/>
  <c r="T83" i="47"/>
  <c r="AD83" i="47"/>
  <c r="L85" i="47" l="1"/>
  <c r="K85" i="47"/>
  <c r="L86" i="47"/>
  <c r="K86" i="47"/>
  <c r="AE84" i="47"/>
  <c r="AD84" i="47"/>
  <c r="L84" i="47"/>
  <c r="K84" i="47"/>
  <c r="L108" i="47"/>
  <c r="K108" i="47"/>
  <c r="L83" i="47"/>
  <c r="K83" i="47"/>
  <c r="U108" i="47"/>
  <c r="U84" i="47"/>
  <c r="AE86" i="47"/>
  <c r="U86" i="47"/>
  <c r="M86" i="47"/>
  <c r="U83" i="47"/>
  <c r="AF84" i="47"/>
  <c r="AE83" i="47"/>
  <c r="AE85" i="47"/>
  <c r="U85" i="47"/>
  <c r="M85" i="47"/>
  <c r="M84" i="47" l="1"/>
  <c r="M108" i="47"/>
  <c r="M83" i="47"/>
  <c r="V84" i="47"/>
  <c r="AF108" i="47"/>
  <c r="AE108" i="47"/>
  <c r="V108" i="47"/>
  <c r="AF85" i="47"/>
  <c r="N83" i="47"/>
  <c r="AF83" i="47"/>
  <c r="N84" i="47"/>
  <c r="AF86" i="47"/>
  <c r="N85" i="47"/>
  <c r="AG84" i="47"/>
  <c r="N108" i="47"/>
  <c r="V83" i="47"/>
  <c r="V86" i="47"/>
  <c r="V85" i="47"/>
  <c r="N86" i="47"/>
  <c r="W84" i="47" l="1"/>
  <c r="AG108" i="47"/>
  <c r="W108" i="47"/>
  <c r="AG86" i="47"/>
  <c r="W83" i="47"/>
  <c r="O84" i="47"/>
  <c r="W86" i="47"/>
  <c r="AG85" i="47"/>
  <c r="O108" i="47"/>
  <c r="O86" i="47"/>
  <c r="O83" i="47"/>
  <c r="AG83" i="47"/>
  <c r="AH84" i="47"/>
  <c r="AJ84" i="47" s="1"/>
  <c r="W85" i="47"/>
  <c r="X84" i="47"/>
  <c r="AH108" i="47"/>
  <c r="AJ108" i="47" s="1"/>
  <c r="X108" i="47"/>
  <c r="O85" i="47"/>
  <c r="Y84" i="47" l="1"/>
  <c r="X85" i="47"/>
  <c r="AH85" i="47"/>
  <c r="AJ85" i="47" s="1"/>
  <c r="X86" i="47"/>
  <c r="AH83" i="47"/>
  <c r="AJ83" i="47" s="1"/>
  <c r="P108" i="47"/>
  <c r="P85" i="47"/>
  <c r="P84" i="47"/>
  <c r="Y108" i="47"/>
  <c r="P83" i="47"/>
  <c r="X83" i="47"/>
  <c r="P86" i="47"/>
  <c r="AH86" i="47"/>
  <c r="AJ86" i="47" s="1"/>
  <c r="Q85" i="47" l="1"/>
  <c r="Q108" i="47"/>
  <c r="Z84" i="47"/>
  <c r="Y86" i="47"/>
  <c r="Z108" i="47"/>
  <c r="Y83" i="47"/>
  <c r="Q86" i="47"/>
  <c r="Q83" i="47"/>
  <c r="Q84" i="47"/>
  <c r="Y85" i="47"/>
  <c r="R86" i="47" l="1"/>
  <c r="R83" i="47"/>
  <c r="Z86" i="47"/>
  <c r="Z83" i="47"/>
  <c r="AA84" i="47"/>
  <c r="Z85" i="47"/>
  <c r="AA108" i="47"/>
  <c r="R108" i="47"/>
  <c r="R85" i="47"/>
  <c r="R84" i="47"/>
  <c r="AA86" i="47" l="1"/>
  <c r="AA83" i="47"/>
  <c r="AB108" i="47"/>
  <c r="AA85" i="47"/>
  <c r="S83" i="47"/>
  <c r="S85" i="47"/>
  <c r="S84" i="47"/>
  <c r="S108" i="47"/>
  <c r="AB84" i="47"/>
  <c r="S86" i="47"/>
  <c r="AB85" i="47" l="1"/>
  <c r="AC108" i="47"/>
  <c r="AC84" i="47"/>
  <c r="AB83" i="47"/>
  <c r="AB86" i="47"/>
  <c r="AC86" i="47" l="1"/>
  <c r="AC83" i="47"/>
  <c r="AC85" i="47"/>
  <c r="M168" i="57" l="1"/>
  <c r="AB83" i="57"/>
  <c r="H83" i="57" s="1"/>
  <c r="R119" i="57"/>
  <c r="AB119" i="57" s="1"/>
  <c r="R85" i="57"/>
  <c r="AB85" i="57" s="1"/>
  <c r="S83" i="57"/>
  <c r="T83" i="57"/>
  <c r="AD83" i="57" s="1"/>
  <c r="H85" i="57" l="1"/>
  <c r="H121" i="57" s="1"/>
  <c r="H129" i="57" s="1"/>
  <c r="H119" i="57"/>
  <c r="H127" i="57" s="1"/>
  <c r="U83" i="57"/>
  <c r="U85" i="57" s="1"/>
  <c r="U121" i="57" s="1"/>
  <c r="U129" i="57" s="1"/>
  <c r="J83" i="57"/>
  <c r="L83" i="57"/>
  <c r="K83" i="57"/>
  <c r="AD85" i="57"/>
  <c r="AD121" i="57" s="1"/>
  <c r="AD129" i="57" s="1"/>
  <c r="AD119" i="57"/>
  <c r="AD127" i="57" s="1"/>
  <c r="AD154" i="57" s="1"/>
  <c r="S119" i="57"/>
  <c r="S127" i="57" s="1"/>
  <c r="S154" i="57" s="1"/>
  <c r="S166" i="57" s="1"/>
  <c r="S85" i="57"/>
  <c r="S121" i="57" s="1"/>
  <c r="S129" i="57" s="1"/>
  <c r="R121" i="57"/>
  <c r="T85" i="57"/>
  <c r="T121" i="57" s="1"/>
  <c r="T129" i="57" s="1"/>
  <c r="T119" i="57"/>
  <c r="T127" i="57" s="1"/>
  <c r="T154" i="57" s="1"/>
  <c r="T166" i="57" s="1"/>
  <c r="AC83" i="57"/>
  <c r="R127" i="57"/>
  <c r="U119" i="57"/>
  <c r="U127" i="57" s="1"/>
  <c r="U154" i="57" s="1"/>
  <c r="U166" i="57" s="1"/>
  <c r="J154" i="57" l="1"/>
  <c r="J191" i="57" s="1"/>
  <c r="AP224" i="57" s="1" a="1"/>
  <c r="AP224" i="57" s="1"/>
  <c r="AD166" i="57"/>
  <c r="K166" i="57" s="1"/>
  <c r="AE83" i="57"/>
  <c r="V83" i="57"/>
  <c r="S155" i="57"/>
  <c r="S167" i="57" s="1"/>
  <c r="S153" i="57"/>
  <c r="S165" i="57" s="1"/>
  <c r="S152" i="57"/>
  <c r="I83" i="57"/>
  <c r="AC85" i="57"/>
  <c r="L119" i="57"/>
  <c r="L127" i="57" s="1"/>
  <c r="L85" i="57"/>
  <c r="L121" i="57" s="1"/>
  <c r="L129" i="57" s="1"/>
  <c r="U153" i="57"/>
  <c r="U165" i="57" s="1"/>
  <c r="U155" i="57"/>
  <c r="U167" i="57" s="1"/>
  <c r="U152" i="57"/>
  <c r="U164" i="57" s="1"/>
  <c r="AB127" i="57"/>
  <c r="R154" i="57"/>
  <c r="J85" i="57"/>
  <c r="J121" i="57" s="1"/>
  <c r="J129" i="57" s="1"/>
  <c r="J119" i="57"/>
  <c r="AQ224" i="57" a="1"/>
  <c r="AQ224" i="57" s="1"/>
  <c r="AB121" i="57"/>
  <c r="AB129" i="57" s="1"/>
  <c r="R129" i="57"/>
  <c r="AD155" i="57"/>
  <c r="AD167" i="57" s="1"/>
  <c r="AD152" i="57"/>
  <c r="AD164" i="57" s="1"/>
  <c r="AD153" i="57"/>
  <c r="AD165" i="57" s="1"/>
  <c r="K85" i="57"/>
  <c r="K121" i="57" s="1"/>
  <c r="K129" i="57" s="1"/>
  <c r="K119" i="57"/>
  <c r="K127" i="57" s="1"/>
  <c r="T155" i="57"/>
  <c r="T167" i="57" s="1"/>
  <c r="T153" i="57"/>
  <c r="T165" i="57" s="1"/>
  <c r="T152" i="57"/>
  <c r="T164" i="57" s="1"/>
  <c r="L166" i="57" l="1"/>
  <c r="J166" i="57"/>
  <c r="AT205" i="57" a="1"/>
  <c r="AT205" i="57" s="1"/>
  <c r="AD169" i="57"/>
  <c r="AD175" i="57" s="1"/>
  <c r="S164" i="57"/>
  <c r="S169" i="57" s="1"/>
  <c r="J167" i="57"/>
  <c r="K167" i="57"/>
  <c r="L167" i="57"/>
  <c r="J153" i="57"/>
  <c r="J190" i="57" s="1"/>
  <c r="AQ223" i="57" s="1" a="1"/>
  <c r="AQ223" i="57" s="1"/>
  <c r="J152" i="57"/>
  <c r="J189" i="57" s="1"/>
  <c r="AQ222" i="57" s="1" a="1"/>
  <c r="AQ222" i="57" s="1"/>
  <c r="K165" i="57"/>
  <c r="L165" i="57"/>
  <c r="J165" i="57"/>
  <c r="J155" i="57"/>
  <c r="J192" i="57" s="1"/>
  <c r="AT206" i="57" s="1" a="1"/>
  <c r="AT206" i="57" s="1"/>
  <c r="L164" i="57"/>
  <c r="J164" i="57"/>
  <c r="K164" i="57"/>
  <c r="AF83" i="57"/>
  <c r="V119" i="57"/>
  <c r="V127" i="57" s="1"/>
  <c r="V154" i="57" s="1"/>
  <c r="V166" i="57" s="1"/>
  <c r="W83" i="57"/>
  <c r="V85" i="57"/>
  <c r="V121" i="57" s="1"/>
  <c r="V129" i="57" s="1"/>
  <c r="AE119" i="57"/>
  <c r="AE127" i="57" s="1"/>
  <c r="AE154" i="57" s="1"/>
  <c r="AE85" i="57"/>
  <c r="AE121" i="57" s="1"/>
  <c r="AE129" i="57" s="1"/>
  <c r="J127" i="57"/>
  <c r="M257" i="57" s="1"/>
  <c r="I85" i="57"/>
  <c r="R166" i="57"/>
  <c r="AB154" i="57"/>
  <c r="H154" i="57" s="1"/>
  <c r="H191" i="57" s="1"/>
  <c r="AC100" i="57"/>
  <c r="AC121" i="57" s="1"/>
  <c r="AC129" i="57" s="1"/>
  <c r="I98" i="57"/>
  <c r="I100" i="57" s="1"/>
  <c r="U169" i="57"/>
  <c r="AD103" i="47"/>
  <c r="R155" i="57"/>
  <c r="R153" i="57"/>
  <c r="R152" i="57"/>
  <c r="T169" i="57"/>
  <c r="AC119" i="57"/>
  <c r="AC127" i="57" s="1"/>
  <c r="AC154" i="57" s="1"/>
  <c r="I154" i="57" l="1"/>
  <c r="I191" i="57" s="1"/>
  <c r="AH205" i="57" s="1" a="1"/>
  <c r="AH205" i="57" s="1"/>
  <c r="AI205" i="57" s="1" a="1"/>
  <c r="AI205" i="57" s="1"/>
  <c r="AJ205" i="57" s="1" a="1"/>
  <c r="AJ205" i="57" s="1"/>
  <c r="AK205" i="57" s="1" a="1"/>
  <c r="AK205" i="57" s="1"/>
  <c r="AL205" i="57" s="1" a="1"/>
  <c r="AL205" i="57" s="1"/>
  <c r="AC166" i="57"/>
  <c r="AD176" i="57"/>
  <c r="K154" i="57"/>
  <c r="K191" i="57" s="1"/>
  <c r="AE166" i="57"/>
  <c r="AD172" i="57"/>
  <c r="AD174" i="57"/>
  <c r="AD170" i="57"/>
  <c r="AD173" i="57"/>
  <c r="AD179" i="57"/>
  <c r="AD177" i="57"/>
  <c r="AD178" i="57"/>
  <c r="AQ225" i="57" a="1"/>
  <c r="AQ225" i="57" s="1"/>
  <c r="AD107" i="47" s="1"/>
  <c r="AT204" i="57" a="1"/>
  <c r="AT204" i="57" s="1"/>
  <c r="AP225" i="57" a="1"/>
  <c r="AP225" i="57" s="1"/>
  <c r="AP223" i="57" a="1"/>
  <c r="AP223" i="57" s="1"/>
  <c r="K169" i="57"/>
  <c r="K175" i="57" s="1"/>
  <c r="L169" i="57"/>
  <c r="L176" i="57" s="1"/>
  <c r="AP222" i="57" a="1"/>
  <c r="AP222" i="57" s="1"/>
  <c r="AT203" i="57" a="1"/>
  <c r="AT203" i="57" s="1"/>
  <c r="J169" i="57"/>
  <c r="J175" i="57" s="1"/>
  <c r="U178" i="57"/>
  <c r="U170" i="57"/>
  <c r="T176" i="57"/>
  <c r="T170" i="57"/>
  <c r="S175" i="57"/>
  <c r="AI175" i="57" s="1"/>
  <c r="S170" i="57"/>
  <c r="AE152" i="57"/>
  <c r="AE153" i="57"/>
  <c r="AE155" i="57"/>
  <c r="AV205" i="57" a="1"/>
  <c r="AV205" i="57" s="1"/>
  <c r="AU205" i="57" s="1"/>
  <c r="AS224" i="57" a="1"/>
  <c r="AS224" i="57" s="1"/>
  <c r="V153" i="57"/>
  <c r="V165" i="57" s="1"/>
  <c r="V152" i="57"/>
  <c r="V164" i="57" s="1"/>
  <c r="V155" i="57"/>
  <c r="V167" i="57" s="1"/>
  <c r="W85" i="57"/>
  <c r="W121" i="57" s="1"/>
  <c r="W129" i="57" s="1"/>
  <c r="W119" i="57"/>
  <c r="W127" i="57" s="1"/>
  <c r="W154" i="57" s="1"/>
  <c r="W166" i="57" s="1"/>
  <c r="AG83" i="57"/>
  <c r="AF85" i="57"/>
  <c r="AF121" i="57" s="1"/>
  <c r="AF129" i="57" s="1"/>
  <c r="AF119" i="57"/>
  <c r="AF127" i="57" s="1"/>
  <c r="AF154" i="57" s="1"/>
  <c r="U176" i="57"/>
  <c r="T178" i="57"/>
  <c r="U175" i="57"/>
  <c r="AC153" i="57"/>
  <c r="AC152" i="57"/>
  <c r="AC155" i="57"/>
  <c r="S178" i="57"/>
  <c r="AI178" i="57" s="1"/>
  <c r="W205" i="57" a="1"/>
  <c r="W205" i="57" s="1"/>
  <c r="R224" i="57" a="1"/>
  <c r="R224" i="57" s="1"/>
  <c r="K103" i="47" s="1"/>
  <c r="AB166" i="57"/>
  <c r="H166" i="57" s="1"/>
  <c r="S179" i="57"/>
  <c r="AI179" i="57" s="1"/>
  <c r="S173" i="57"/>
  <c r="S174" i="57"/>
  <c r="S172" i="57"/>
  <c r="S177" i="57"/>
  <c r="AI177" i="57" s="1"/>
  <c r="R164" i="57"/>
  <c r="AB152" i="57"/>
  <c r="H152" i="57" s="1"/>
  <c r="H189" i="57" s="1"/>
  <c r="R165" i="57"/>
  <c r="AB153" i="57"/>
  <c r="H153" i="57" s="1"/>
  <c r="H190" i="57" s="1"/>
  <c r="U179" i="57"/>
  <c r="U173" i="57"/>
  <c r="U174" i="57"/>
  <c r="U172" i="57"/>
  <c r="U177" i="57"/>
  <c r="R167" i="57"/>
  <c r="AB155" i="57"/>
  <c r="H155" i="57" s="1"/>
  <c r="H192" i="57" s="1"/>
  <c r="AD104" i="47"/>
  <c r="AD106" i="47"/>
  <c r="I119" i="57"/>
  <c r="I121" i="57"/>
  <c r="I129" i="57" s="1"/>
  <c r="T174" i="57"/>
  <c r="T172" i="57"/>
  <c r="T173" i="57"/>
  <c r="T179" i="57"/>
  <c r="T177" i="57"/>
  <c r="T175" i="57"/>
  <c r="S176" i="57"/>
  <c r="AI176" i="57" s="1"/>
  <c r="M256" i="57"/>
  <c r="M258" i="57"/>
  <c r="X205" i="57" l="1" a="1"/>
  <c r="X205" i="57" s="1"/>
  <c r="Y205" i="57" s="1" a="1"/>
  <c r="Y205" i="57" s="1"/>
  <c r="Z205" i="57" s="1" a="1"/>
  <c r="Z205" i="57" s="1"/>
  <c r="AA205" i="57" s="1" a="1"/>
  <c r="AA205" i="57" s="1"/>
  <c r="AB205" i="57" s="1" a="1"/>
  <c r="AB205" i="57" s="1"/>
  <c r="AC205" i="57" s="1" a="1"/>
  <c r="AC205" i="57" s="1"/>
  <c r="AD205" i="57" s="1" a="1"/>
  <c r="AD205" i="57" s="1"/>
  <c r="AF205" i="57" s="1" a="1"/>
  <c r="AF205" i="57" s="1"/>
  <c r="AC224" i="57" a="1"/>
  <c r="AC224" i="57" s="1"/>
  <c r="T103" i="47" s="1"/>
  <c r="K176" i="57"/>
  <c r="AD181" i="57"/>
  <c r="AD182" i="57" s="1"/>
  <c r="I153" i="57"/>
  <c r="I190" i="57" s="1"/>
  <c r="AH204" i="57" s="1" a="1"/>
  <c r="AH204" i="57" s="1"/>
  <c r="AI204" i="57" s="1" a="1"/>
  <c r="AI204" i="57" s="1"/>
  <c r="AJ204" i="57" s="1" a="1"/>
  <c r="AJ204" i="57" s="1"/>
  <c r="AK204" i="57" s="1" a="1"/>
  <c r="AK204" i="57" s="1"/>
  <c r="AL204" i="57" s="1" a="1"/>
  <c r="AL204" i="57" s="1"/>
  <c r="AC165" i="57"/>
  <c r="K152" i="57"/>
  <c r="K189" i="57" s="1"/>
  <c r="AV203" i="57" s="1" a="1"/>
  <c r="AV203" i="57" s="1"/>
  <c r="AU203" i="57" s="1"/>
  <c r="AE164" i="57"/>
  <c r="L154" i="57"/>
  <c r="L191" i="57" s="1"/>
  <c r="AW205" i="57" s="1" a="1"/>
  <c r="AW205" i="57" s="1"/>
  <c r="AF166" i="57"/>
  <c r="I155" i="57"/>
  <c r="I192" i="57" s="1"/>
  <c r="AH206" i="57" s="1" a="1"/>
  <c r="AH206" i="57" s="1"/>
  <c r="AI206" i="57" s="1" a="1"/>
  <c r="AI206" i="57" s="1"/>
  <c r="AJ206" i="57" s="1" a="1"/>
  <c r="AJ206" i="57" s="1"/>
  <c r="AK206" i="57" s="1" a="1"/>
  <c r="AK206" i="57" s="1"/>
  <c r="AL206" i="57" s="1" a="1"/>
  <c r="AL206" i="57" s="1"/>
  <c r="AC167" i="57"/>
  <c r="K155" i="57"/>
  <c r="K192" i="57" s="1"/>
  <c r="AV206" i="57" s="1" a="1"/>
  <c r="AV206" i="57" s="1"/>
  <c r="AU206" i="57" s="1"/>
  <c r="AE167" i="57"/>
  <c r="I166" i="57"/>
  <c r="I152" i="57"/>
  <c r="I189" i="57" s="1"/>
  <c r="AC164" i="57"/>
  <c r="K153" i="57"/>
  <c r="K190" i="57" s="1"/>
  <c r="AV204" i="57" s="1" a="1"/>
  <c r="AV204" i="57" s="1"/>
  <c r="AU204" i="57" s="1"/>
  <c r="AE165" i="57"/>
  <c r="L173" i="57"/>
  <c r="L172" i="57"/>
  <c r="L179" i="57"/>
  <c r="L174" i="57"/>
  <c r="L177" i="57"/>
  <c r="J176" i="57"/>
  <c r="J179" i="57"/>
  <c r="J172" i="57"/>
  <c r="J174" i="57"/>
  <c r="J173" i="57"/>
  <c r="J177" i="57"/>
  <c r="J178" i="57"/>
  <c r="L178" i="57"/>
  <c r="L175" i="57"/>
  <c r="K178" i="57"/>
  <c r="K179" i="57"/>
  <c r="K174" i="57"/>
  <c r="K173" i="57"/>
  <c r="K172" i="57"/>
  <c r="K177" i="57"/>
  <c r="S224" i="57" a="1"/>
  <c r="S224" i="57" s="1"/>
  <c r="L103" i="47" s="1"/>
  <c r="AF153" i="57"/>
  <c r="AF152" i="57"/>
  <c r="AF155" i="57"/>
  <c r="W155" i="57"/>
  <c r="W167" i="57" s="1"/>
  <c r="W152" i="57"/>
  <c r="W164" i="57" s="1"/>
  <c r="W153" i="57"/>
  <c r="W165" i="57" s="1"/>
  <c r="V169" i="57"/>
  <c r="V170" i="57" s="1"/>
  <c r="AF103" i="47"/>
  <c r="AR224" i="57"/>
  <c r="AE103" i="47" s="1"/>
  <c r="AG85" i="57"/>
  <c r="AG121" i="57" s="1"/>
  <c r="AG129" i="57" s="1"/>
  <c r="M83" i="57"/>
  <c r="AG119" i="57"/>
  <c r="AG127" i="57" s="1"/>
  <c r="AG154" i="57" s="1"/>
  <c r="AI180" i="57"/>
  <c r="AK175" i="57" s="1"/>
  <c r="AL175" i="57" s="1"/>
  <c r="S181" i="57"/>
  <c r="S182" i="57" s="1"/>
  <c r="U181" i="57"/>
  <c r="U182" i="57" s="1"/>
  <c r="AM205" i="57" a="1"/>
  <c r="AM205" i="57" s="1"/>
  <c r="AO205" i="57" s="1" a="1"/>
  <c r="AO205" i="57" s="1"/>
  <c r="AN205" i="57" a="1"/>
  <c r="AN205" i="57" s="1"/>
  <c r="W206" i="57" a="1"/>
  <c r="W206" i="57" s="1"/>
  <c r="R225" i="57" a="1"/>
  <c r="R225" i="57" s="1"/>
  <c r="K107" i="47" s="1"/>
  <c r="W203" i="57" a="1"/>
  <c r="W203" i="57" s="1"/>
  <c r="X203" i="57" s="1" a="1"/>
  <c r="X203" i="57" s="1"/>
  <c r="Y203" i="57" s="1" a="1"/>
  <c r="Y203" i="57" s="1"/>
  <c r="Z203" i="57" s="1" a="1"/>
  <c r="Z203" i="57" s="1"/>
  <c r="AA203" i="57" s="1" a="1"/>
  <c r="AA203" i="57" s="1"/>
  <c r="AB203" i="57" s="1" a="1"/>
  <c r="AB203" i="57" s="1"/>
  <c r="AC203" i="57" s="1" a="1"/>
  <c r="AC203" i="57" s="1"/>
  <c r="AD203" i="57" s="1" a="1"/>
  <c r="AD203" i="57" s="1"/>
  <c r="R222" i="57" a="1"/>
  <c r="R222" i="57" s="1"/>
  <c r="K104" i="47" s="1"/>
  <c r="AB167" i="57"/>
  <c r="H167" i="57" s="1"/>
  <c r="X238" i="57" a="1"/>
  <c r="X238" i="57" s="1"/>
  <c r="Y238" i="57" s="1" a="1"/>
  <c r="Y238" i="57" s="1"/>
  <c r="Z238" i="57" s="1" a="1"/>
  <c r="Z238" i="57" s="1"/>
  <c r="V238" i="57" a="1"/>
  <c r="V238" i="57" s="1"/>
  <c r="W238" i="57" s="1" a="1"/>
  <c r="W238" i="57" s="1"/>
  <c r="R169" i="57"/>
  <c r="AB164" i="57"/>
  <c r="T181" i="57"/>
  <c r="T182" i="57" s="1"/>
  <c r="I127" i="57"/>
  <c r="L257" i="57" s="1"/>
  <c r="W204" i="57" a="1"/>
  <c r="W204" i="57" s="1"/>
  <c r="R223" i="57" a="1"/>
  <c r="R223" i="57" s="1"/>
  <c r="K106" i="47" s="1"/>
  <c r="AH203" i="57" a="1"/>
  <c r="AH203" i="57" s="1"/>
  <c r="AI203" i="57" s="1" a="1"/>
  <c r="AI203" i="57" s="1"/>
  <c r="AJ203" i="57" s="1" a="1"/>
  <c r="AJ203" i="57" s="1"/>
  <c r="AK203" i="57" s="1" a="1"/>
  <c r="AK203" i="57" s="1"/>
  <c r="AL203" i="57" s="1" a="1"/>
  <c r="AL203" i="57" s="1"/>
  <c r="AC222" i="57" a="1"/>
  <c r="AC222" i="57" s="1"/>
  <c r="T104" i="47" s="1"/>
  <c r="AB165" i="57"/>
  <c r="H165" i="57" s="1"/>
  <c r="AC223" i="57" a="1"/>
  <c r="AC223" i="57" s="1"/>
  <c r="T106" i="47" s="1"/>
  <c r="X204" i="57" l="1" a="1"/>
  <c r="X204" i="57" s="1"/>
  <c r="Y204" i="57" s="1" a="1"/>
  <c r="Y204" i="57" s="1"/>
  <c r="Z204" i="57" s="1" a="1"/>
  <c r="Z204" i="57" s="1"/>
  <c r="AA204" i="57" s="1" a="1"/>
  <c r="AA204" i="57" s="1"/>
  <c r="AB204" i="57" s="1" a="1"/>
  <c r="AB204" i="57" s="1"/>
  <c r="AC204" i="57" s="1" a="1"/>
  <c r="AC204" i="57" s="1"/>
  <c r="AD204" i="57" s="1" a="1"/>
  <c r="AD204" i="57" s="1"/>
  <c r="AS223" i="57" a="1"/>
  <c r="AS223" i="57" s="1"/>
  <c r="AD224" i="57" a="1"/>
  <c r="AD224" i="57" s="1"/>
  <c r="U103" i="47" s="1"/>
  <c r="AG205" i="57" a="1"/>
  <c r="AG205" i="57" s="1"/>
  <c r="U224" i="57" a="1"/>
  <c r="U224" i="57" s="1"/>
  <c r="AE205" i="57" a="1"/>
  <c r="AE205" i="57" s="1"/>
  <c r="AS222" i="57" a="1"/>
  <c r="AS222" i="57" s="1"/>
  <c r="AF104" i="47" s="1"/>
  <c r="AC225" i="57" a="1"/>
  <c r="AC225" i="57" s="1"/>
  <c r="T107" i="47" s="1"/>
  <c r="AT224" i="57" a="1"/>
  <c r="AT224" i="57" s="1"/>
  <c r="AG103" i="47" s="1"/>
  <c r="AS225" i="57" a="1"/>
  <c r="AS225" i="57" s="1"/>
  <c r="AF107" i="47" s="1"/>
  <c r="AC169" i="57"/>
  <c r="AC175" i="57" s="1"/>
  <c r="I164" i="57"/>
  <c r="AJ238" i="57" a="1"/>
  <c r="AJ238" i="57" s="1"/>
  <c r="AK238" i="57" s="1" a="1"/>
  <c r="AK238" i="57" s="1"/>
  <c r="X206" i="57" a="1"/>
  <c r="X206" i="57" s="1"/>
  <c r="Y206" i="57" s="1" a="1"/>
  <c r="Y206" i="57" s="1"/>
  <c r="Z206" i="57" s="1" a="1"/>
  <c r="Z206" i="57" s="1"/>
  <c r="AA206" i="57" s="1" a="1"/>
  <c r="AA206" i="57" s="1"/>
  <c r="AB206" i="57" s="1" a="1"/>
  <c r="AB206" i="57" s="1"/>
  <c r="AC206" i="57" s="1" a="1"/>
  <c r="AC206" i="57" s="1"/>
  <c r="AD206" i="57" s="1" a="1"/>
  <c r="AD206" i="57" s="1"/>
  <c r="AE206" i="57" s="1" a="1"/>
  <c r="AE206" i="57" s="1"/>
  <c r="AE169" i="57"/>
  <c r="AE178" i="57" s="1"/>
  <c r="M154" i="57"/>
  <c r="M191" i="57" s="1"/>
  <c r="AU224" i="57" s="1" a="1"/>
  <c r="AU224" i="57" s="1"/>
  <c r="AH103" i="47" s="1"/>
  <c r="AJ103" i="47" s="1"/>
  <c r="AG166" i="57"/>
  <c r="L153" i="57"/>
  <c r="L190" i="57" s="1"/>
  <c r="AW204" i="57" s="1" a="1"/>
  <c r="AW204" i="57" s="1"/>
  <c r="AF165" i="57"/>
  <c r="L155" i="57"/>
  <c r="L192" i="57" s="1"/>
  <c r="AT225" i="57" s="1" a="1"/>
  <c r="AT225" i="57" s="1"/>
  <c r="AG107" i="47" s="1"/>
  <c r="AF167" i="57"/>
  <c r="I165" i="57"/>
  <c r="L152" i="57"/>
  <c r="L189" i="57" s="1"/>
  <c r="AW203" i="57" s="1" a="1"/>
  <c r="AW203" i="57" s="1"/>
  <c r="AF164" i="57"/>
  <c r="I167" i="57"/>
  <c r="T224" i="57" a="1"/>
  <c r="T224" i="57" s="1"/>
  <c r="M103" i="47" s="1"/>
  <c r="K181" i="57"/>
  <c r="K182" i="57" s="1"/>
  <c r="AF224" i="57" a="1"/>
  <c r="AF224" i="57" s="1"/>
  <c r="AG224" i="57" a="1"/>
  <c r="AG224" i="57" s="1"/>
  <c r="R178" i="57"/>
  <c r="AB178" i="57" s="1"/>
  <c r="R170" i="57"/>
  <c r="AE224" i="57" a="1"/>
  <c r="AE224" i="57" s="1"/>
  <c r="V103" i="47" s="1"/>
  <c r="L181" i="57"/>
  <c r="L182" i="57" s="1"/>
  <c r="V224" i="57" a="1"/>
  <c r="V224" i="57" s="1"/>
  <c r="J181" i="57"/>
  <c r="J182" i="57" s="1"/>
  <c r="AK179" i="57"/>
  <c r="AM179" i="57" s="1"/>
  <c r="AM168" i="57" s="1"/>
  <c r="AK178" i="57"/>
  <c r="AQ178" i="57" s="1"/>
  <c r="AM175" i="57"/>
  <c r="AM164" i="57" s="1"/>
  <c r="S225" i="57" a="1"/>
  <c r="S225" i="57" s="1"/>
  <c r="L107" i="47" s="1"/>
  <c r="M119" i="57"/>
  <c r="M127" i="57" s="1"/>
  <c r="M85" i="57"/>
  <c r="M121" i="57" s="1"/>
  <c r="M129" i="57" s="1"/>
  <c r="AG152" i="57"/>
  <c r="AG155" i="57"/>
  <c r="AG153" i="57"/>
  <c r="AQ175" i="57"/>
  <c r="AQ164" i="57" s="1"/>
  <c r="V176" i="57"/>
  <c r="V174" i="57"/>
  <c r="V179" i="57"/>
  <c r="V173" i="57"/>
  <c r="V172" i="57"/>
  <c r="V177" i="57"/>
  <c r="V175" i="57"/>
  <c r="V178" i="57"/>
  <c r="AK164" i="57"/>
  <c r="W169" i="57"/>
  <c r="W170" i="57" s="1"/>
  <c r="AK177" i="57"/>
  <c r="AL177" i="57" s="1"/>
  <c r="AF106" i="47"/>
  <c r="AR223" i="57"/>
  <c r="AE106" i="47" s="1"/>
  <c r="AD223" i="57" a="1"/>
  <c r="AD223" i="57" s="1"/>
  <c r="U106" i="47" s="1"/>
  <c r="S222" i="57" a="1"/>
  <c r="S222" i="57" s="1"/>
  <c r="L104" i="47" s="1"/>
  <c r="S223" i="57" a="1"/>
  <c r="S223" i="57" s="1"/>
  <c r="L106" i="47" s="1"/>
  <c r="R176" i="57"/>
  <c r="AB176" i="57" s="1"/>
  <c r="AM203" i="57" a="1"/>
  <c r="AM203" i="57" s="1"/>
  <c r="AO203" i="57" s="1" a="1"/>
  <c r="AO203" i="57" s="1"/>
  <c r="AN203" i="57" a="1"/>
  <c r="AN203" i="57" s="1"/>
  <c r="AN206" i="57" a="1"/>
  <c r="AN206" i="57" s="1"/>
  <c r="AM206" i="57" a="1"/>
  <c r="AM206" i="57" s="1"/>
  <c r="AO206" i="57" s="1" a="1"/>
  <c r="AO206" i="57" s="1"/>
  <c r="AM204" i="57" a="1"/>
  <c r="AM204" i="57" s="1"/>
  <c r="AO204" i="57" s="1" a="1"/>
  <c r="AO204" i="57" s="1"/>
  <c r="AN204" i="57" a="1"/>
  <c r="AN204" i="57" s="1"/>
  <c r="AG204" i="57" a="1"/>
  <c r="AG204" i="57" s="1"/>
  <c r="AE204" i="57" a="1"/>
  <c r="AE204" i="57" s="1"/>
  <c r="AF204" i="57" a="1"/>
  <c r="AF204" i="57" s="1"/>
  <c r="AJ264" i="57" a="1"/>
  <c r="AJ264" i="57" s="1"/>
  <c r="AK264" i="57" s="1" a="1"/>
  <c r="AK264" i="57" s="1"/>
  <c r="Y264" i="57" a="1"/>
  <c r="Y264" i="57" s="1"/>
  <c r="Z264" i="57" s="1" a="1"/>
  <c r="Z264" i="57" s="1"/>
  <c r="AF203" i="57" a="1"/>
  <c r="AF203" i="57" s="1"/>
  <c r="AE203" i="57" a="1"/>
  <c r="AE203" i="57" s="1"/>
  <c r="AG203" i="57" a="1"/>
  <c r="AG203" i="57" s="1"/>
  <c r="AC238" i="57" a="1"/>
  <c r="AC238" i="57" s="1"/>
  <c r="AB238" i="57" a="1"/>
  <c r="AB238" i="57" s="1"/>
  <c r="AA238" i="57" a="1"/>
  <c r="AA238" i="57" s="1"/>
  <c r="AD238" i="57" s="1" a="1"/>
  <c r="AD238" i="57" s="1"/>
  <c r="AE238" i="57" s="1" a="1"/>
  <c r="AE238" i="57" s="1"/>
  <c r="AF238" i="57" s="1" a="1"/>
  <c r="AF238" i="57" s="1"/>
  <c r="AG238" i="57" s="1" a="1"/>
  <c r="AG238" i="57" s="1"/>
  <c r="AH238" i="57" s="1" a="1"/>
  <c r="AH238" i="57" s="1"/>
  <c r="AI238" i="57" s="1" a="1"/>
  <c r="AI238" i="57" s="1"/>
  <c r="V239" i="57" a="1"/>
  <c r="V239" i="57" s="1"/>
  <c r="W239" i="57" s="1" a="1"/>
  <c r="W239" i="57" s="1"/>
  <c r="X239" i="57" a="1"/>
  <c r="X239" i="57" s="1"/>
  <c r="X237" i="57" a="1"/>
  <c r="X237" i="57" s="1"/>
  <c r="V237" i="57" a="1"/>
  <c r="V237" i="57" s="1"/>
  <c r="W237" i="57" s="1" a="1"/>
  <c r="W237" i="57" s="1"/>
  <c r="AB169" i="57"/>
  <c r="AB170" i="57" s="1"/>
  <c r="H164" i="57"/>
  <c r="R179" i="57"/>
  <c r="AB179" i="57" s="1"/>
  <c r="R172" i="57"/>
  <c r="R173" i="57"/>
  <c r="AB173" i="57" s="1"/>
  <c r="R174" i="57"/>
  <c r="AB174" i="57" s="1"/>
  <c r="R177" i="57"/>
  <c r="AB177" i="57" s="1"/>
  <c r="R175" i="57"/>
  <c r="AB175" i="57" s="1"/>
  <c r="AQ205" i="57" a="1"/>
  <c r="AQ205" i="57" s="1"/>
  <c r="AR205" i="57" s="1" a="1"/>
  <c r="AR205" i="57" s="1"/>
  <c r="AS205" i="57" s="1" a="1"/>
  <c r="AS205" i="57" s="1"/>
  <c r="AP205" i="57" a="1"/>
  <c r="AP205" i="57" s="1"/>
  <c r="AN175" i="57"/>
  <c r="AL164" i="57"/>
  <c r="AR175" i="57"/>
  <c r="L258" i="57"/>
  <c r="L256" i="57"/>
  <c r="AD222" i="57" a="1"/>
  <c r="AD222" i="57" s="1"/>
  <c r="Y237" i="57" l="1" a="1"/>
  <c r="Y237" i="57" s="1"/>
  <c r="Z237" i="57" s="1" a="1"/>
  <c r="Z237" i="57" s="1"/>
  <c r="AR225" i="57"/>
  <c r="AE107" i="47" s="1"/>
  <c r="AK168" i="57"/>
  <c r="AM177" i="57"/>
  <c r="AR222" i="57"/>
  <c r="AE104" i="47" s="1"/>
  <c r="AD225" i="57" a="1"/>
  <c r="AD225" i="57" s="1"/>
  <c r="U107" i="47" s="1"/>
  <c r="AU175" i="57"/>
  <c r="AU164" i="57" s="1"/>
  <c r="AT222" i="57" a="1"/>
  <c r="AT222" i="57" s="1"/>
  <c r="AG104" i="47" s="1"/>
  <c r="AC178" i="57"/>
  <c r="AL179" i="57"/>
  <c r="AN179" i="57" s="1"/>
  <c r="AX205" i="57" a="1"/>
  <c r="AX205" i="57" s="1"/>
  <c r="AQ179" i="57"/>
  <c r="AU179" i="57" s="1"/>
  <c r="AU168" i="57" s="1"/>
  <c r="Y239" i="57" a="1"/>
  <c r="Y239" i="57" s="1"/>
  <c r="Z239" i="57" s="1" a="1"/>
  <c r="Z239" i="57" s="1"/>
  <c r="AC239" i="57" s="1" a="1"/>
  <c r="AC239" i="57" s="1"/>
  <c r="AL178" i="57"/>
  <c r="AL167" i="57" s="1"/>
  <c r="AM178" i="57"/>
  <c r="AM167" i="57" s="1"/>
  <c r="AE175" i="57"/>
  <c r="AK166" i="57"/>
  <c r="AQ177" i="57"/>
  <c r="AQ166" i="57" s="1"/>
  <c r="AC176" i="57"/>
  <c r="AE176" i="57"/>
  <c r="AW206" i="57" a="1"/>
  <c r="AW206" i="57" s="1"/>
  <c r="AG206" i="57" a="1"/>
  <c r="AG206" i="57" s="1"/>
  <c r="AT223" i="57" a="1"/>
  <c r="AT223" i="57" s="1"/>
  <c r="AG106" i="47" s="1"/>
  <c r="M153" i="57"/>
  <c r="M190" i="57" s="1"/>
  <c r="AX204" i="57" s="1" a="1"/>
  <c r="AX204" i="57" s="1"/>
  <c r="AG165" i="57"/>
  <c r="AJ237" i="57" a="1"/>
  <c r="AJ237" i="57" s="1"/>
  <c r="AK237" i="57" s="1" a="1"/>
  <c r="AK237" i="57" s="1"/>
  <c r="AL238" i="57" a="1"/>
  <c r="AL238" i="57" s="1"/>
  <c r="AO238" i="57" s="1" a="1"/>
  <c r="AO238" i="57" s="1"/>
  <c r="AP238" i="57" s="1" a="1"/>
  <c r="AP238" i="57" s="1"/>
  <c r="AQ238" i="57" s="1" a="1"/>
  <c r="AQ238" i="57" s="1"/>
  <c r="AR238" i="57" s="1" a="1"/>
  <c r="AR238" i="57" s="1"/>
  <c r="AS238" i="57" s="1" a="1"/>
  <c r="AS238" i="57" s="1"/>
  <c r="AN238" i="57" a="1"/>
  <c r="AN238" i="57" s="1"/>
  <c r="AM238" i="57" a="1"/>
  <c r="AM238" i="57" s="1"/>
  <c r="AF206" i="57" a="1"/>
  <c r="AF206" i="57" s="1"/>
  <c r="M155" i="57"/>
  <c r="M192" i="57" s="1"/>
  <c r="AU225" i="57" s="1" a="1"/>
  <c r="AU225" i="57" s="1"/>
  <c r="AH107" i="47" s="1"/>
  <c r="AJ107" i="47" s="1"/>
  <c r="AG167" i="57"/>
  <c r="M166" i="57"/>
  <c r="AF169" i="57"/>
  <c r="AF175" i="57" s="1"/>
  <c r="M152" i="57"/>
  <c r="M189" i="57" s="1"/>
  <c r="AX203" i="57" s="1" a="1"/>
  <c r="AX203" i="57" s="1"/>
  <c r="AG164" i="57"/>
  <c r="AJ236" i="57" a="1"/>
  <c r="AJ236" i="57" s="1"/>
  <c r="AK236" i="57" s="1" a="1"/>
  <c r="AK236" i="57" s="1"/>
  <c r="I169" i="57"/>
  <c r="I176" i="57" s="1"/>
  <c r="AJ239" i="57" a="1"/>
  <c r="AJ239" i="57" s="1"/>
  <c r="AK239" i="57" s="1" a="1"/>
  <c r="AK239" i="57" s="1"/>
  <c r="AE174" i="57"/>
  <c r="AE170" i="57"/>
  <c r="AE172" i="57"/>
  <c r="AE173" i="57"/>
  <c r="AE179" i="57"/>
  <c r="AE177" i="57"/>
  <c r="AC170" i="57"/>
  <c r="AC174" i="57"/>
  <c r="AC172" i="57"/>
  <c r="AC173" i="57"/>
  <c r="AC179" i="57"/>
  <c r="AC177" i="57"/>
  <c r="T222" i="57" a="1"/>
  <c r="T222" i="57" s="1"/>
  <c r="W222" i="57" s="1" a="1"/>
  <c r="W222" i="57" s="1"/>
  <c r="V222" i="57" a="1"/>
  <c r="V222" i="57" s="1"/>
  <c r="AE223" i="57" a="1"/>
  <c r="AE223" i="57" s="1"/>
  <c r="V106" i="47" s="1"/>
  <c r="U225" i="57" a="1"/>
  <c r="U225" i="57" s="1"/>
  <c r="AF223" i="57" a="1"/>
  <c r="AF223" i="57" s="1"/>
  <c r="U222" i="57" a="1"/>
  <c r="U222" i="57" s="1"/>
  <c r="V225" i="57" a="1"/>
  <c r="V225" i="57" s="1"/>
  <c r="W224" i="57" a="1"/>
  <c r="W224" i="57" s="1"/>
  <c r="X224" i="57" s="1" a="1"/>
  <c r="X224" i="57" s="1"/>
  <c r="AG223" i="57" a="1"/>
  <c r="AG223" i="57" s="1"/>
  <c r="N256" i="57"/>
  <c r="AH224" i="57" a="1"/>
  <c r="AH224" i="57" s="1"/>
  <c r="AI224" i="57" s="1" a="1"/>
  <c r="AI224" i="57" s="1"/>
  <c r="X103" i="47" s="1"/>
  <c r="N258" i="57"/>
  <c r="O258" i="57"/>
  <c r="O256" i="57"/>
  <c r="AE225" i="57" a="1"/>
  <c r="AE225" i="57" s="1"/>
  <c r="V107" i="47" s="1"/>
  <c r="AK167" i="57"/>
  <c r="AK176" i="57"/>
  <c r="AQ176" i="57" s="1"/>
  <c r="T225" i="57" a="1"/>
  <c r="T225" i="57" s="1"/>
  <c r="M107" i="47" s="1"/>
  <c r="O257" i="57"/>
  <c r="W176" i="57"/>
  <c r="W177" i="57"/>
  <c r="W175" i="57"/>
  <c r="W178" i="57"/>
  <c r="W172" i="57"/>
  <c r="W173" i="57"/>
  <c r="W174" i="57"/>
  <c r="W179" i="57"/>
  <c r="AX206" i="57" a="1"/>
  <c r="AX206" i="57" s="1"/>
  <c r="U223" i="57" a="1"/>
  <c r="U223" i="57" s="1"/>
  <c r="V223" i="57" a="1"/>
  <c r="V223" i="57" s="1"/>
  <c r="V181" i="57"/>
  <c r="V182" i="57" s="1"/>
  <c r="N257" i="57"/>
  <c r="T223" i="57" a="1"/>
  <c r="T223" i="57" s="1"/>
  <c r="M106" i="47" s="1"/>
  <c r="AB237" i="57" a="1"/>
  <c r="AB237" i="57" s="1"/>
  <c r="AC237" i="57" a="1"/>
  <c r="AC237" i="57" s="1"/>
  <c r="AA237" i="57" a="1"/>
  <c r="AA237" i="57" s="1"/>
  <c r="AD237" i="57" s="1" a="1"/>
  <c r="AD237" i="57" s="1"/>
  <c r="AE237" i="57" s="1" a="1"/>
  <c r="AE237" i="57" s="1"/>
  <c r="AF237" i="57" s="1" a="1"/>
  <c r="AF237" i="57" s="1"/>
  <c r="AG237" i="57" s="1" a="1"/>
  <c r="AG237" i="57" s="1"/>
  <c r="AH237" i="57" s="1" a="1"/>
  <c r="AH237" i="57" s="1"/>
  <c r="AI237" i="57" s="1" a="1"/>
  <c r="AI237" i="57" s="1"/>
  <c r="AA264" i="57" a="1"/>
  <c r="AA264" i="57" s="1"/>
  <c r="AD264" i="57" s="1" a="1"/>
  <c r="AD264" i="57" s="1"/>
  <c r="AE264" i="57" s="1" a="1"/>
  <c r="AE264" i="57" s="1"/>
  <c r="AF264" i="57" s="1" a="1"/>
  <c r="AF264" i="57" s="1"/>
  <c r="AG264" i="57" s="1" a="1"/>
  <c r="AG264" i="57" s="1"/>
  <c r="AH264" i="57" s="1" a="1"/>
  <c r="AH264" i="57" s="1"/>
  <c r="AI264" i="57" s="1" a="1"/>
  <c r="AI264" i="57" s="1"/>
  <c r="AC264" i="57" a="1"/>
  <c r="AC264" i="57" s="1"/>
  <c r="AB264" i="57" a="1"/>
  <c r="AB264" i="57" s="1"/>
  <c r="Y263" i="57" a="1"/>
  <c r="Y263" i="57" s="1"/>
  <c r="Z263" i="57" s="1" a="1"/>
  <c r="Z263" i="57" s="1"/>
  <c r="AA263" i="57" s="1" a="1"/>
  <c r="AA263" i="57" s="1"/>
  <c r="AD263" i="57" s="1" a="1"/>
  <c r="AD263" i="57" s="1"/>
  <c r="AE263" i="57" s="1" a="1"/>
  <c r="AE263" i="57" s="1"/>
  <c r="AF263" i="57" s="1" a="1"/>
  <c r="AF263" i="57" s="1"/>
  <c r="AG263" i="57" s="1" a="1"/>
  <c r="AG263" i="57" s="1"/>
  <c r="AH263" i="57" s="1" a="1"/>
  <c r="AH263" i="57" s="1"/>
  <c r="AI263" i="57" s="1" a="1"/>
  <c r="AI263" i="57" s="1"/>
  <c r="AJ263" i="57" a="1"/>
  <c r="AJ263" i="57" s="1"/>
  <c r="AK263" i="57" s="1" a="1"/>
  <c r="AK263" i="57" s="1"/>
  <c r="AN264" i="57" a="1"/>
  <c r="AN264" i="57" s="1"/>
  <c r="AM264" i="57" a="1"/>
  <c r="AM264" i="57" s="1"/>
  <c r="AL264" i="57" a="1"/>
  <c r="AL264" i="57" s="1"/>
  <c r="AO264" i="57" s="1" a="1"/>
  <c r="AO264" i="57" s="1"/>
  <c r="AP264" i="57" s="1" a="1"/>
  <c r="AP264" i="57" s="1"/>
  <c r="AQ264" i="57" s="1" a="1"/>
  <c r="AQ264" i="57" s="1"/>
  <c r="AR264" i="57" s="1" a="1"/>
  <c r="AR264" i="57" s="1"/>
  <c r="AS264" i="57" s="1" a="1"/>
  <c r="AS264" i="57" s="1"/>
  <c r="AR164" i="57"/>
  <c r="AV175" i="57"/>
  <c r="AV164" i="57" s="1"/>
  <c r="AM166" i="57"/>
  <c r="Y265" i="57" a="1"/>
  <c r="Y265" i="57" s="1"/>
  <c r="Z265" i="57" s="1" a="1"/>
  <c r="Z265" i="57" s="1"/>
  <c r="AB265" i="57" s="1" a="1"/>
  <c r="AB265" i="57" s="1"/>
  <c r="AJ265" i="57" a="1"/>
  <c r="AJ265" i="57" s="1"/>
  <c r="AK265" i="57" s="1" a="1"/>
  <c r="AK265" i="57" s="1"/>
  <c r="AO175" i="57"/>
  <c r="AO164" i="57" s="1"/>
  <c r="AS175" i="57"/>
  <c r="AN164" i="57"/>
  <c r="AQ204" i="57" a="1"/>
  <c r="AQ204" i="57" s="1"/>
  <c r="AR204" i="57" s="1" a="1"/>
  <c r="AR204" i="57" s="1"/>
  <c r="AS204" i="57" s="1" a="1"/>
  <c r="AS204" i="57" s="1"/>
  <c r="AP204" i="57" a="1"/>
  <c r="AP204" i="57" s="1"/>
  <c r="U104" i="47"/>
  <c r="AG222" i="57" a="1"/>
  <c r="AG222" i="57" s="1"/>
  <c r="AE222" i="57" a="1"/>
  <c r="AE222" i="57" s="1"/>
  <c r="AF222" i="57" a="1"/>
  <c r="AF222" i="57" s="1"/>
  <c r="AQ206" i="57" a="1"/>
  <c r="AQ206" i="57" s="1"/>
  <c r="AR206" i="57" s="1" a="1"/>
  <c r="AR206" i="57" s="1"/>
  <c r="AS206" i="57" s="1" a="1"/>
  <c r="AS206" i="57" s="1"/>
  <c r="AP206" i="57" a="1"/>
  <c r="AP206" i="57" s="1"/>
  <c r="AU178" i="57"/>
  <c r="AU167" i="57" s="1"/>
  <c r="AQ167" i="57"/>
  <c r="R181" i="57"/>
  <c r="AB172" i="57"/>
  <c r="AL166" i="57"/>
  <c r="AR177" i="57"/>
  <c r="AN177" i="57"/>
  <c r="V236" i="57" a="1"/>
  <c r="V236" i="57" s="1"/>
  <c r="W236" i="57" s="1" a="1"/>
  <c r="W236" i="57" s="1"/>
  <c r="H169" i="57"/>
  <c r="H175" i="57" s="1"/>
  <c r="X236" i="57" a="1"/>
  <c r="X236" i="57" s="1"/>
  <c r="Y236" i="57" s="1" a="1"/>
  <c r="Y236" i="57" s="1"/>
  <c r="Z236" i="57" s="1" a="1"/>
  <c r="Z236" i="57" s="1"/>
  <c r="AP203" i="57" a="1"/>
  <c r="AP203" i="57" s="1"/>
  <c r="AQ203" i="57" a="1"/>
  <c r="AQ203" i="57" s="1"/>
  <c r="AR203" i="57" s="1" a="1"/>
  <c r="AR203" i="57" s="1"/>
  <c r="AS203" i="57" s="1" a="1"/>
  <c r="AS203" i="57" s="1"/>
  <c r="AL176" i="57" l="1"/>
  <c r="AR176" i="57" s="1"/>
  <c r="AQ168" i="57"/>
  <c r="AG225" i="57" a="1"/>
  <c r="AG225" i="57" s="1"/>
  <c r="AF225" i="57" a="1"/>
  <c r="AF225" i="57" s="1"/>
  <c r="AB239" i="57" a="1"/>
  <c r="AB239" i="57" s="1"/>
  <c r="AA239" i="57" a="1"/>
  <c r="AA239" i="57" s="1"/>
  <c r="AD239" i="57" s="1" a="1"/>
  <c r="AD239" i="57" s="1"/>
  <c r="AE239" i="57" s="1" a="1"/>
  <c r="AE239" i="57" s="1"/>
  <c r="AF239" i="57" s="1" a="1"/>
  <c r="AF239" i="57" s="1"/>
  <c r="AG239" i="57" s="1" a="1"/>
  <c r="AG239" i="57" s="1"/>
  <c r="AH239" i="57" s="1" a="1"/>
  <c r="AH239" i="57" s="1"/>
  <c r="AI239" i="57" s="1" a="1"/>
  <c r="AI239" i="57" s="1"/>
  <c r="AN178" i="57"/>
  <c r="AN176" i="57" s="1"/>
  <c r="AR178" i="57"/>
  <c r="AR167" i="57" s="1"/>
  <c r="AL168" i="57"/>
  <c r="AR179" i="57"/>
  <c r="AV179" i="57" s="1"/>
  <c r="AV168" i="57" s="1"/>
  <c r="AM176" i="57"/>
  <c r="AM165" i="57" s="1"/>
  <c r="AF176" i="57"/>
  <c r="AU177" i="57"/>
  <c r="AU166" i="57" s="1"/>
  <c r="N103" i="47"/>
  <c r="AU222" i="57" a="1"/>
  <c r="AU222" i="57" s="1"/>
  <c r="AH104" i="47" s="1"/>
  <c r="AJ104" i="47" s="1"/>
  <c r="AU223" i="57" a="1"/>
  <c r="AU223" i="57" s="1"/>
  <c r="AH106" i="47" s="1"/>
  <c r="AJ106" i="47" s="1"/>
  <c r="W223" i="57" a="1"/>
  <c r="W223" i="57" s="1"/>
  <c r="N106" i="47" s="1"/>
  <c r="M104" i="47"/>
  <c r="I178" i="57"/>
  <c r="AM239" i="57" a="1"/>
  <c r="AM239" i="57" s="1"/>
  <c r="AL239" i="57" a="1"/>
  <c r="AL239" i="57" s="1"/>
  <c r="AO239" i="57" s="1" a="1"/>
  <c r="AO239" i="57" s="1"/>
  <c r="AP239" i="57" s="1" a="1"/>
  <c r="AP239" i="57" s="1"/>
  <c r="AQ239" i="57" s="1" a="1"/>
  <c r="AQ239" i="57" s="1"/>
  <c r="AR239" i="57" s="1" a="1"/>
  <c r="AR239" i="57" s="1"/>
  <c r="AS239" i="57" s="1" a="1"/>
  <c r="AS239" i="57" s="1"/>
  <c r="AN239" i="57" a="1"/>
  <c r="AN239" i="57" s="1"/>
  <c r="AF170" i="57"/>
  <c r="AF173" i="57"/>
  <c r="AF174" i="57"/>
  <c r="AF172" i="57"/>
  <c r="AF179" i="57"/>
  <c r="AF177" i="57"/>
  <c r="AU238" i="57" a="1"/>
  <c r="AU238" i="57" s="1"/>
  <c r="AT238" i="57" a="1"/>
  <c r="AT238" i="57" s="1"/>
  <c r="AV238" i="57" s="1" a="1"/>
  <c r="AV238" i="57" s="1"/>
  <c r="I175" i="57"/>
  <c r="I179" i="57"/>
  <c r="I172" i="57"/>
  <c r="I173" i="57"/>
  <c r="I174" i="57"/>
  <c r="I177" i="57"/>
  <c r="AM237" i="57" a="1"/>
  <c r="AM237" i="57" s="1"/>
  <c r="AN237" i="57" a="1"/>
  <c r="AN237" i="57" s="1"/>
  <c r="AL237" i="57" a="1"/>
  <c r="AL237" i="57" s="1"/>
  <c r="AO237" i="57" s="1" a="1"/>
  <c r="AO237" i="57" s="1"/>
  <c r="AP237" i="57" s="1" a="1"/>
  <c r="AP237" i="57" s="1"/>
  <c r="AQ237" i="57" s="1" a="1"/>
  <c r="AQ237" i="57" s="1"/>
  <c r="AR237" i="57" s="1" a="1"/>
  <c r="AR237" i="57" s="1"/>
  <c r="AS237" i="57" s="1" a="1"/>
  <c r="AS237" i="57" s="1"/>
  <c r="AL236" i="57" a="1"/>
  <c r="AL236" i="57" s="1"/>
  <c r="AO236" i="57" s="1" a="1"/>
  <c r="AO236" i="57" s="1"/>
  <c r="AP236" i="57" s="1" a="1"/>
  <c r="AP236" i="57" s="1"/>
  <c r="AQ236" i="57" s="1" a="1"/>
  <c r="AQ236" i="57" s="1"/>
  <c r="AR236" i="57" s="1" a="1"/>
  <c r="AR236" i="57" s="1"/>
  <c r="AS236" i="57" s="1" a="1"/>
  <c r="AS236" i="57" s="1"/>
  <c r="AN236" i="57" a="1"/>
  <c r="AN236" i="57" s="1"/>
  <c r="AM236" i="57" a="1"/>
  <c r="AM236" i="57" s="1"/>
  <c r="M167" i="57"/>
  <c r="M165" i="57"/>
  <c r="AE181" i="57"/>
  <c r="AE182" i="57" s="1"/>
  <c r="AF178" i="57"/>
  <c r="AH223" i="57" a="1"/>
  <c r="AH223" i="57" s="1"/>
  <c r="W106" i="47" s="1"/>
  <c r="AC181" i="57"/>
  <c r="AC182" i="57" s="1"/>
  <c r="AG169" i="57"/>
  <c r="M164" i="57"/>
  <c r="AH225" i="57" a="1"/>
  <c r="AH225" i="57" s="1"/>
  <c r="AI225" i="57" s="1" a="1"/>
  <c r="AI225" i="57" s="1"/>
  <c r="W103" i="47"/>
  <c r="AJ224" i="57" a="1"/>
  <c r="AJ224" i="57" s="1"/>
  <c r="Y103" i="47" s="1"/>
  <c r="AK165" i="57"/>
  <c r="W225" i="57" a="1"/>
  <c r="W225" i="57" s="1"/>
  <c r="N107" i="47" s="1"/>
  <c r="W181" i="57"/>
  <c r="W182" i="57" s="1"/>
  <c r="AC263" i="57" a="1"/>
  <c r="AC263" i="57" s="1"/>
  <c r="AB263" i="57" a="1"/>
  <c r="AB263" i="57" s="1"/>
  <c r="AC236" i="57" a="1"/>
  <c r="AC236" i="57" s="1"/>
  <c r="AA236" i="57" a="1"/>
  <c r="AA236" i="57" s="1"/>
  <c r="AD236" i="57" s="1" a="1"/>
  <c r="AD236" i="57" s="1"/>
  <c r="AE236" i="57" s="1" a="1"/>
  <c r="AE236" i="57" s="1"/>
  <c r="AF236" i="57" s="1" a="1"/>
  <c r="AF236" i="57" s="1"/>
  <c r="AG236" i="57" s="1" a="1"/>
  <c r="AG236" i="57" s="1"/>
  <c r="AH236" i="57" s="1" a="1"/>
  <c r="AH236" i="57" s="1"/>
  <c r="AI236" i="57" s="1" a="1"/>
  <c r="AI236" i="57" s="1"/>
  <c r="AB236" i="57" a="1"/>
  <c r="AB236" i="57" s="1"/>
  <c r="AC265" i="57" a="1"/>
  <c r="AC265" i="57" s="1"/>
  <c r="AV177" i="57"/>
  <c r="AV166" i="57" s="1"/>
  <c r="AR166" i="57"/>
  <c r="N104" i="47"/>
  <c r="X222" i="57" a="1"/>
  <c r="X222" i="57" s="1"/>
  <c r="AA265" i="57" a="1"/>
  <c r="AA265" i="57" s="1"/>
  <c r="AD265" i="57" s="1" a="1"/>
  <c r="AD265" i="57" s="1"/>
  <c r="AE265" i="57" s="1" a="1"/>
  <c r="AE265" i="57" s="1"/>
  <c r="AF265" i="57" s="1" a="1"/>
  <c r="AF265" i="57" s="1"/>
  <c r="AG265" i="57" s="1" a="1"/>
  <c r="AG265" i="57" s="1"/>
  <c r="AH265" i="57" s="1" a="1"/>
  <c r="AH265" i="57" s="1"/>
  <c r="AI265" i="57" s="1" a="1"/>
  <c r="AI265" i="57" s="1"/>
  <c r="AO179" i="57"/>
  <c r="AO168" i="57" s="1"/>
  <c r="AS179" i="57"/>
  <c r="AN168" i="57"/>
  <c r="AL263" i="57" a="1"/>
  <c r="AL263" i="57" s="1"/>
  <c r="AO263" i="57" s="1" a="1"/>
  <c r="AO263" i="57" s="1"/>
  <c r="AP263" i="57" s="1" a="1"/>
  <c r="AP263" i="57" s="1"/>
  <c r="AQ263" i="57" s="1" a="1"/>
  <c r="AQ263" i="57" s="1"/>
  <c r="AR263" i="57" s="1" a="1"/>
  <c r="AR263" i="57" s="1"/>
  <c r="AS263" i="57" s="1" a="1"/>
  <c r="AS263" i="57" s="1"/>
  <c r="AN263" i="57" a="1"/>
  <c r="AN263" i="57" s="1"/>
  <c r="AM263" i="57" a="1"/>
  <c r="AM263" i="57" s="1"/>
  <c r="AB181" i="57"/>
  <c r="R182" i="57"/>
  <c r="AB182" i="57" s="1"/>
  <c r="AM265" i="57" a="1"/>
  <c r="AM265" i="57" s="1"/>
  <c r="AN265" i="57" a="1"/>
  <c r="AN265" i="57" s="1"/>
  <c r="AL265" i="57" a="1"/>
  <c r="AL265" i="57" s="1"/>
  <c r="AO265" i="57" s="1" a="1"/>
  <c r="AO265" i="57" s="1"/>
  <c r="AP265" i="57" s="1" a="1"/>
  <c r="AP265" i="57" s="1"/>
  <c r="AQ265" i="57" s="1" a="1"/>
  <c r="AQ265" i="57" s="1"/>
  <c r="AR265" i="57" s="1" a="1"/>
  <c r="AR265" i="57" s="1"/>
  <c r="AS265" i="57" s="1" a="1"/>
  <c r="AS265" i="57" s="1"/>
  <c r="V104" i="47"/>
  <c r="AH222" i="57" a="1"/>
  <c r="AH222" i="57" s="1"/>
  <c r="AU264" i="57" a="1"/>
  <c r="AU264" i="57" s="1"/>
  <c r="AT264" i="57" a="1"/>
  <c r="AT264" i="57" s="1"/>
  <c r="AV264" i="57" s="1" a="1"/>
  <c r="AV264" i="57" s="1"/>
  <c r="AW175" i="57"/>
  <c r="AW164" i="57" s="1"/>
  <c r="AS164" i="57"/>
  <c r="AU176" i="57"/>
  <c r="AU165" i="57" s="1"/>
  <c r="AQ165" i="57"/>
  <c r="H173" i="57"/>
  <c r="H174" i="57"/>
  <c r="H179" i="57"/>
  <c r="H172" i="57"/>
  <c r="H177" i="57"/>
  <c r="H178" i="57"/>
  <c r="H176" i="57"/>
  <c r="AO177" i="57"/>
  <c r="AN166" i="57"/>
  <c r="AS177" i="57"/>
  <c r="O103" i="47"/>
  <c r="Y224" i="57" a="1"/>
  <c r="Y224" i="57" s="1"/>
  <c r="AO178" i="57" l="1"/>
  <c r="AO167" i="57" s="1"/>
  <c r="AL165" i="57"/>
  <c r="AS178" i="57"/>
  <c r="AN167" i="57"/>
  <c r="AR168" i="57"/>
  <c r="AV178" i="57"/>
  <c r="AV167" i="57" s="1"/>
  <c r="M169" i="57"/>
  <c r="M177" i="57" s="1"/>
  <c r="X223" i="57" a="1"/>
  <c r="X223" i="57" s="1"/>
  <c r="O106" i="47" s="1"/>
  <c r="AI223" i="57" a="1"/>
  <c r="AI223" i="57" s="1"/>
  <c r="AJ223" i="57" s="1" a="1"/>
  <c r="AJ223" i="57" s="1"/>
  <c r="AK224" i="57" a="1"/>
  <c r="AK224" i="57" s="1"/>
  <c r="Z103" i="47" s="1"/>
  <c r="AF181" i="57"/>
  <c r="AF182" i="57" s="1"/>
  <c r="AG170" i="57"/>
  <c r="AG172" i="57"/>
  <c r="AG173" i="57"/>
  <c r="AG174" i="57"/>
  <c r="AG179" i="57"/>
  <c r="AG177" i="57"/>
  <c r="AG178" i="57"/>
  <c r="I181" i="57"/>
  <c r="I182" i="57" s="1"/>
  <c r="AT236" i="57" a="1"/>
  <c r="AT236" i="57" s="1"/>
  <c r="AV236" i="57" s="1" a="1"/>
  <c r="AV236" i="57" s="1"/>
  <c r="AU236" i="57" a="1"/>
  <c r="AU236" i="57" s="1"/>
  <c r="AT237" i="57" a="1"/>
  <c r="AT237" i="57" s="1"/>
  <c r="AV237" i="57" s="1" a="1"/>
  <c r="AV237" i="57" s="1"/>
  <c r="AU237" i="57" a="1"/>
  <c r="AU237" i="57" s="1"/>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W238" i="57" a="1"/>
  <c r="AW238" i="57" s="1"/>
  <c r="AG176" i="57"/>
  <c r="AU239" i="57" a="1"/>
  <c r="AU239" i="57" s="1"/>
  <c r="AT239" i="57" a="1"/>
  <c r="AT239" i="57" s="1"/>
  <c r="AV239" i="57" s="1" a="1"/>
  <c r="AV239" i="57" s="1"/>
  <c r="AG175" i="57"/>
  <c r="W107" i="47"/>
  <c r="X225" i="57" a="1"/>
  <c r="X225" i="57" s="1"/>
  <c r="X107" i="47"/>
  <c r="AJ225" i="57" a="1"/>
  <c r="AJ225" i="57" s="1"/>
  <c r="W104" i="47"/>
  <c r="AI222" i="57" a="1"/>
  <c r="AI222" i="57" s="1"/>
  <c r="AU265" i="57" a="1"/>
  <c r="AU265" i="57" s="1"/>
  <c r="AT265" i="57" a="1"/>
  <c r="AT265" i="57" s="1"/>
  <c r="AV265" i="57" s="1" a="1"/>
  <c r="AV265" i="57" s="1"/>
  <c r="AS166" i="57"/>
  <c r="AW177" i="57"/>
  <c r="AW166" i="57" s="1"/>
  <c r="AW179" i="57"/>
  <c r="AW168" i="57" s="1"/>
  <c r="AS168" i="57"/>
  <c r="AS176" i="57"/>
  <c r="AN165" i="57"/>
  <c r="AV176" i="57"/>
  <c r="AV165" i="57" s="1"/>
  <c r="AR165" i="57"/>
  <c r="P103" i="47"/>
  <c r="Z224" i="57" a="1"/>
  <c r="Z224" i="57" s="1"/>
  <c r="Y223" i="57" a="1"/>
  <c r="Y223" i="57" s="1"/>
  <c r="O104" i="47"/>
  <c r="Y222" i="57" a="1"/>
  <c r="Y222" i="57" s="1"/>
  <c r="AO176" i="57"/>
  <c r="AO165" i="57" s="1"/>
  <c r="AO166" i="57"/>
  <c r="AU263" i="57" a="1"/>
  <c r="AU263" i="57" s="1"/>
  <c r="AT263" i="57" a="1"/>
  <c r="AT263" i="57" s="1"/>
  <c r="AV263" i="57" s="1" a="1"/>
  <c r="AV263" i="57" s="1"/>
  <c r="AW264" i="57" a="1"/>
  <c r="AW264" i="57" s="1"/>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H181" i="57"/>
  <c r="H182" i="57" s="1"/>
  <c r="AS167" i="57"/>
  <c r="AW178" i="57"/>
  <c r="AW167" i="57" s="1"/>
  <c r="X106" i="47" l="1"/>
  <c r="M174" i="57"/>
  <c r="AL224" i="57" a="1"/>
  <c r="AL224" i="57" s="1"/>
  <c r="M172" i="57"/>
  <c r="M175" i="57"/>
  <c r="M178" i="57"/>
  <c r="M176" i="57"/>
  <c r="M173" i="57"/>
  <c r="M179" i="57"/>
  <c r="AG181" i="57"/>
  <c r="AG182" i="57" s="1"/>
  <c r="AW239" i="57" a="1"/>
  <c r="AW239" i="57" s="1"/>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W237" i="57" a="1"/>
  <c r="AW237" i="57" s="1"/>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W236" i="57" a="1"/>
  <c r="AW236" i="57" s="1"/>
  <c r="Y225" i="57" a="1"/>
  <c r="Y225" i="57" s="1"/>
  <c r="O107" i="47"/>
  <c r="AA103" i="47"/>
  <c r="AN224" i="57" a="1"/>
  <c r="AN224" i="57" s="1"/>
  <c r="AM224" i="57" a="1"/>
  <c r="AM224" i="57" s="1"/>
  <c r="P104" i="47"/>
  <c r="Z222" i="57" a="1"/>
  <c r="Z222" i="57" s="1"/>
  <c r="P106" i="47"/>
  <c r="Z223" i="57" a="1"/>
  <c r="Z223" i="57" s="1"/>
  <c r="AW265" i="57" a="1"/>
  <c r="AW265" i="57" s="1"/>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AW176" i="57"/>
  <c r="AW165" i="57" s="1"/>
  <c r="AS165" i="57"/>
  <c r="Y106" i="47"/>
  <c r="AK223" i="57" a="1"/>
  <c r="AK223" i="57" s="1"/>
  <c r="X104" i="47"/>
  <c r="AJ222" i="57" a="1"/>
  <c r="AJ222" i="57" s="1"/>
  <c r="Q103" i="47"/>
  <c r="AA224" i="57" a="1"/>
  <c r="AA224" i="57" s="1"/>
  <c r="Y107" i="47"/>
  <c r="AK225" i="57" a="1"/>
  <c r="AK225" i="57" s="1"/>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M181" i="57" l="1"/>
  <c r="M182" i="57" s="1"/>
  <c r="P107" i="47"/>
  <c r="Z225" i="57" a="1"/>
  <c r="Z225" i="57" s="1"/>
  <c r="Q106" i="47"/>
  <c r="AA223" i="57" a="1"/>
  <c r="AA223" i="57" s="1"/>
  <c r="Z107" i="47"/>
  <c r="AL225" i="57" a="1"/>
  <c r="AL225" i="57" s="1"/>
  <c r="Q104" i="47"/>
  <c r="AA222" i="57" a="1"/>
  <c r="AA222" i="57" s="1"/>
  <c r="Y104" i="47"/>
  <c r="AK222" i="57" a="1"/>
  <c r="AK222" i="57" s="1"/>
  <c r="AB103" i="47"/>
  <c r="AO224" i="57" a="1"/>
  <c r="AO224" i="57" s="1"/>
  <c r="AC103" i="47" s="1"/>
  <c r="R103" i="47"/>
  <c r="AB224" i="57" a="1"/>
  <c r="AB224" i="57" s="1"/>
  <c r="S103" i="47" s="1"/>
  <c r="Z106" i="47"/>
  <c r="AL223" i="57" a="1"/>
  <c r="AL223" i="57" s="1"/>
  <c r="AA225" i="57" l="1" a="1"/>
  <c r="AA225" i="57" s="1"/>
  <c r="Q107" i="47"/>
  <c r="Z104" i="47"/>
  <c r="AL222" i="57" a="1"/>
  <c r="AL222" i="57" s="1"/>
  <c r="AA107" i="47"/>
  <c r="AN225" i="57" a="1"/>
  <c r="AN225" i="57" s="1"/>
  <c r="AM225" i="57" a="1"/>
  <c r="AM225" i="57" s="1"/>
  <c r="R104" i="47"/>
  <c r="AB222" i="57" a="1"/>
  <c r="AB222" i="57" s="1"/>
  <c r="S104" i="47" s="1"/>
  <c r="R106" i="47"/>
  <c r="AB223" i="57" a="1"/>
  <c r="AB223" i="57" s="1"/>
  <c r="S106" i="47" s="1"/>
  <c r="AA106" i="47"/>
  <c r="AM223" i="57" a="1"/>
  <c r="AM223" i="57" s="1"/>
  <c r="AN223" i="57" a="1"/>
  <c r="AN223" i="57" s="1"/>
  <c r="R107" i="47" l="1"/>
  <c r="AB225" i="57" a="1"/>
  <c r="AB225" i="57" s="1"/>
  <c r="S107" i="47" s="1"/>
  <c r="AB106" i="47"/>
  <c r="AO223" i="57" a="1"/>
  <c r="AO223" i="57" s="1"/>
  <c r="AC106" i="47" s="1"/>
  <c r="AA104" i="47"/>
  <c r="AM222" i="57" a="1"/>
  <c r="AM222" i="57" s="1"/>
  <c r="AN222" i="57" a="1"/>
  <c r="AN222" i="57" s="1"/>
  <c r="AB107" i="47"/>
  <c r="AO225" i="57" a="1"/>
  <c r="AO225" i="57" s="1"/>
  <c r="AC107" i="47" s="1"/>
  <c r="AB104" i="47" l="1"/>
  <c r="AO222" i="57" a="1"/>
  <c r="AO222" i="57" s="1"/>
  <c r="AC104" i="4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tc={265657B1-FF8B-41BB-A508-A4FDB500BE3D}</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O23" authorId="0" shapeId="0" xr:uid="{59A0E19D-30DA-41B4-AF79-8601570C1996}">
      <text>
        <r>
          <rPr>
            <b/>
            <sz val="9"/>
            <color indexed="81"/>
            <rFont val="Tahoma"/>
            <family val="2"/>
          </rPr>
          <t>bruno merven:</t>
        </r>
        <r>
          <rPr>
            <sz val="9"/>
            <color indexed="81"/>
            <rFont val="Tahoma"/>
            <family val="2"/>
          </rPr>
          <t xml:space="preserve">
historical</t>
        </r>
      </text>
    </comment>
    <comment ref="P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N57" authorId="2" shapeId="0" xr:uid="{9E8A773D-F1A7-41AC-99C9-A0428C6E91C5}">
      <text>
        <r>
          <rPr>
            <b/>
            <sz val="9"/>
            <color indexed="81"/>
            <rFont val="Calibri"/>
            <family val="2"/>
          </rPr>
          <t>ERC:</t>
        </r>
        <r>
          <rPr>
            <sz val="9"/>
            <color indexed="81"/>
            <rFont val="Calibri"/>
            <family val="2"/>
          </rPr>
          <t xml:space="preserve">
Check that this is the right link</t>
        </r>
      </text>
    </comment>
    <comment ref="F116" authorId="3" shapeId="0" xr:uid="{265657B1-FF8B-41BB-A508-A4FDB500BE3D}">
      <text>
        <t xml:space="preserve">[Threaded comment]
Your version of Excel allows you to read this threaded comment; however, any edits to it will get removed if the file is opened in a newer version of Excel. Learn more: https://go.microsoft.com/fwlink/?linkid=870924
Comment:
    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25" authorId="1"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2"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tc={D9902DC5-DD9B-4A3B-BD8C-8CBCA2382B45}</author>
    <author>Bruno Merven</author>
    <author>tc={4CF9E40C-9597-4637-B016-2BDD5D7DD8AB}</author>
    <author>tc={C6BA0230-1B27-4726-BB16-135DAA6A5150}</author>
    <author>Fadiel</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E35" authorId="3"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5"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6"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7"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7" shapeId="0" xr:uid="{48CF8539-165E-4953-9802-A2266282C685}">
      <text/>
    </comment>
    <comment ref="E139" authorId="7" shapeId="0" xr:uid="{C94DF54F-C4A2-448F-B91C-AFC8BB0423F0}">
      <text>
        <r>
          <rPr>
            <b/>
            <sz val="9"/>
            <color indexed="81"/>
            <rFont val="Tahoma"/>
            <family val="2"/>
          </rPr>
          <t>Fadiel:</t>
        </r>
        <r>
          <rPr>
            <sz val="9"/>
            <color indexed="81"/>
            <rFont val="Tahoma"/>
            <family val="2"/>
          </rPr>
          <t xml:space="preserve">
from GHS 2018 statssa (2019)</t>
        </r>
      </text>
    </comment>
    <comment ref="O139" authorId="7" shapeId="0" xr:uid="{5B21F091-F42F-4A99-AC82-622C1F4A6D30}">
      <text>
        <r>
          <rPr>
            <b/>
            <sz val="9"/>
            <color indexed="81"/>
            <rFont val="Tahoma"/>
            <family val="2"/>
          </rPr>
          <t>Fadiel:</t>
        </r>
        <r>
          <rPr>
            <sz val="9"/>
            <color indexed="81"/>
            <rFont val="Tahoma"/>
            <family val="2"/>
          </rPr>
          <t xml:space="preserve">
from GHS 2018 statssa (2019)</t>
        </r>
      </text>
    </comment>
    <comment ref="D141" authorId="7" shapeId="0" xr:uid="{5E8D7E90-B9E7-4FED-BA44-0755A9096DFE}">
      <text>
        <r>
          <rPr>
            <b/>
            <sz val="9"/>
            <color indexed="81"/>
            <rFont val="Tahoma"/>
            <family val="2"/>
          </rPr>
          <t>Fadiel:</t>
        </r>
        <r>
          <rPr>
            <sz val="9"/>
            <color indexed="81"/>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7" shapeId="0" xr:uid="{B462126C-51DE-471A-BBC5-F6FBF37623C9}">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<sst xmlns="http://schemas.openxmlformats.org/spreadsheetml/2006/main" count="4625" uniqueCount="802">
  <si>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</si>
  <si>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</si>
  <si>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</si>
  <si>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</si>
  <si>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</si>
  <si>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</si>
  <si>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</si>
  <si>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</si>
  <si>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</si>
  <si>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</si>
  <si>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</si>
  <si>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</si>
  <si>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</si>
  <si>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</si>
  <si>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</si>
  <si>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</si>
  <si>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</si>
  <si>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</si>
  <si>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</si>
  <si>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</si>
  <si>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</si>
  <si>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</si>
  <si>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</si>
  <si>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</si>
  <si>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</si>
  <si>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</si>
  <si>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</si>
  <si>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</si>
  <si>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</si>
  <si>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</si>
  <si>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</si>
  <si>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</si>
  <si>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</si>
  <si>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</si>
  <si>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</si>
  <si>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</si>
  <si>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</si>
  <si>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</si>
  <si>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</si>
  <si>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</si>
  <si>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</si>
  <si>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</si>
  <si>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</si>
  <si>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</si>
  <si>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</si>
  <si>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</si>
  <si>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</si>
  <si>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</si>
  <si>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</si>
  <si>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</si>
  <si>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</si>
  <si>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</si>
  <si>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</si>
  <si>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</si>
  <si>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</si>
  <si>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</si>
  <si>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</si>
  <si>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</si>
  <si>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</si>
  <si>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</si>
  <si>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</si>
  <si>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</si>
  <si>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</si>
  <si>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</si>
  <si>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</si>
  <si>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</si>
  <si>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</si>
  <si>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</si>
  <si>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</si>
  <si>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</si>
  <si>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</si>
  <si>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</si>
  <si>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</si>
  <si>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</si>
  <si>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</si>
  <si>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</si>
  <si>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</si>
  <si>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</si>
  <si>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</si>
  <si>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</si>
  <si>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</si>
  <si>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</si>
  <si>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</si>
  <si>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</si>
  <si>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</si>
  <si>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</si>
  <si>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</si>
  <si>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</si>
  <si>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</si>
  <si>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</si>
  <si>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</si>
  <si>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</si>
  <si>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</si>
  <si>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</si>
  <si>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</si>
  <si>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</si>
  <si>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</si>
  <si>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</si>
  <si>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</si>
  <si>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</si>
  <si>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</si>
  <si>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</si>
  <si>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</si>
  <si>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</si>
  <si>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</si>
  <si>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</si>
  <si>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</si>
  <si>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</si>
  <si>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</si>
  <si>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</si>
  <si>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</si>
  <si>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</si>
  <si>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</si>
  <si>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</si>
  <si>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</si>
  <si>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</si>
  <si>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</si>
  <si>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</si>
  <si>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</si>
  <si>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</si>
  <si>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</si>
  <si>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</si>
  <si>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</si>
  <si>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</si>
  <si>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</si>
  <si>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</si>
  <si>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</si>
  <si>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</si>
  <si>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</si>
  <si>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</si>
  <si>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</si>
  <si>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</si>
  <si>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</si>
  <si>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</si>
  <si>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</si>
  <si>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</si>
  <si>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</si>
  <si>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</si>
  <si>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</si>
  <si>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</si>
  <si>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</si>
  <si>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</si>
  <si>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</si>
  <si>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</si>
  <si>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</si>
  <si>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</si>
  <si>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</si>
  <si>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</si>
  <si>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</si>
  <si>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</si>
  <si>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</si>
  <si>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</si>
  <si>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</si>
  <si>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</si>
  <si>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</si>
  <si>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</si>
  <si>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</si>
  <si>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</si>
  <si>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</si>
  <si>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</si>
  <si>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</si>
  <si>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</si>
  <si>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</si>
  <si>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</si>
  <si>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</si>
  <si>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</si>
  <si>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</si>
  <si>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</si>
  <si>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</si>
  <si>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</si>
  <si>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</si>
  <si>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</si>
  <si>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</si>
  <si>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</si>
  <si>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</si>
  <si>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</si>
  <si>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</si>
  <si>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</si>
  <si>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</si>
  <si>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</si>
  <si>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</si>
  <si>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</si>
  <si>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</si>
  <si>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</si>
  <si>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</si>
  <si>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</si>
  <si>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</si>
  <si>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same as above</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</si>
  <si>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</si>
  <si>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</si>
  <si>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</si>
  <si>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</si>
  <si>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</si>
  <si>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</si>
  <si>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</si>
  <si>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</si>
  <si>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</si>
  <si>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</si>
  <si>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</si>
  <si>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</si>
  <si>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</si>
  <si>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</si>
  <si>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</si>
  <si>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</si>
  <si>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</si>
  <si>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</si>
  <si>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</si>
  <si>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</si>
  <si>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</si>
  <si>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</si>
  <si>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</si>
  <si>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</si>
  <si>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</si>
  <si>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</si>
  <si>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</si>
  <si>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</si>
  <si>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</si>
  <si>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</si>
  <si>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</si>
  <si>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</si>
  <si>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</si>
  <si>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</si>
  <si>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</si>
  <si>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</si>
  <si>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</si>
  <si>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</si>
  <si>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</si>
  <si>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</si>
  <si>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</si>
  <si>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</si>
  <si>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</si>
  <si>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</si>
  <si>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</si>
  <si>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</si>
  <si>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</si>
  <si>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</si>
  <si>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</si>
  <si>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</si>
  <si>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</si>
  <si>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</si>
  <si>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</si>
  <si>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</si>
  <si>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</si>
  <si>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</si>
  <si>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</si>
  <si>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</si>
  <si>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</si>
  <si>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</si>
  <si>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</si>
  <si>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</si>
  <si>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</si>
  <si>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</si>
  <si>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</si>
  <si>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</si>
  <si>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</si>
  <si>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</si>
  <si>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</si>
  <si>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</si>
  <si>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</si>
  <si>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</si>
  <si>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</si>
  <si>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</si>
  <si>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</si>
  <si>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</si>
  <si>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</si>
  <si>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</si>
  <si>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</si>
  <si>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</si>
  <si>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</si>
  <si>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</si>
  <si>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</si>
  <si>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</si>
  <si>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</si>
  <si>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</si>
  <si>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</si>
  <si>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</si>
  <si>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</si>
  <si>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</si>
  <si>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</si>
  <si>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</si>
  <si>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</si>
  <si>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</si>
  <si>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</si>
  <si>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</si>
  <si>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</si>
  <si>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</si>
  <si>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</si>
  <si>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</si>
  <si>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</si>
  <si>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</si>
  <si>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</si>
  <si>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</si>
  <si>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</si>
  <si>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</si>
  <si>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</si>
  <si>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</si>
  <si>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</si>
  <si>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</si>
  <si>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</si>
  <si>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</si>
  <si>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</si>
  <si>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</si>
  <si>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</si>
  <si>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</si>
  <si>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</si>
  <si>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</si>
  <si>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</si>
  <si>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</si>
  <si>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</si>
  <si>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</si>
  <si>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</si>
  <si>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</si>
  <si>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</si>
  <si>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</si>
  <si>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</si>
  <si>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</si>
  <si>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</si>
  <si>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</si>
  <si>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</si>
  <si>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</si>
  <si>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</si>
  <si>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</si>
  <si>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</si>
  <si>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</si>
  <si>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</si>
  <si>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</si>
  <si>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</si>
  <si>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</si>
  <si>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</si>
  <si>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</si>
  <si>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</si>
  <si>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</si>
  <si>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</si>
  <si>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</si>
  <si>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</si>
  <si>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</si>
  <si>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</si>
  <si>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</si>
  <si>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</si>
  <si>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</si>
  <si>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</si>
  <si>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</si>
  <si>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</si>
  <si>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</si>
  <si>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</si>
  <si>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</si>
  <si>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</si>
  <si>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</si>
  <si>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</si>
  <si>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</si>
  <si>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</si>
  <si>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</si>
  <si>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</si>
  <si>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</si>
  <si>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</si>
  <si>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</si>
  <si>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</si>
  <si>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</si>
  <si>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</si>
  <si>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</si>
  <si>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</si>
  <si>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</si>
  <si>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</si>
  <si>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</si>
  <si>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</si>
  <si>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</si>
  <si>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</si>
  <si>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</si>
  <si>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</si>
  <si>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</si>
  <si>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</si>
  <si>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</si>
  <si>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</si>
  <si>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</si>
  <si>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</si>
  <si>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</si>
  <si>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</si>
  <si>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</si>
  <si>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</si>
  <si>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</si>
  <si>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</si>
  <si>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</si>
  <si>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</si>
  <si>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</si>
  <si>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</si>
  <si>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</si>
  <si>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</si>
  <si>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</si>
  <si>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</si>
  <si>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</si>
  <si>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</si>
  <si>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</si>
  <si>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</si>
  <si>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</si>
  <si>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</si>
  <si>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</si>
  <si>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</si>
  <si>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</si>
  <si>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</si>
  <si>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</si>
  <si>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</si>
  <si>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</si>
  <si>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</si>
  <si>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</si>
  <si>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</si>
  <si>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</si>
  <si>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</si>
  <si>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</si>
  <si>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</si>
  <si>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</si>
  <si>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</si>
  <si>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</si>
  <si>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</si>
  <si>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</si>
  <si>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</si>
  <si>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</si>
  <si>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</si>
  <si>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</si>
  <si>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</si>
  <si>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</si>
  <si>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</si>
  <si>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</si>
  <si>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</si>
  <si>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</si>
  <si>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</si>
  <si>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</si>
  <si>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</si>
  <si>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</si>
  <si>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</si>
  <si>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</si>
  <si>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</si>
  <si>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</si>
  <si>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</si>
  <si>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</si>
  <si>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</si>
  <si>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</si>
  <si>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</si>
  <si>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</si>
  <si>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</si>
  <si>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</si>
  <si>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</si>
  <si>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</si>
  <si>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</si>
  <si>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</si>
  <si>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</si>
  <si>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</si>
  <si>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</si>
  <si>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</si>
  <si>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</si>
  <si>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</si>
  <si>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</si>
  <si>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</si>
  <si>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</si>
  <si>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</si>
  <si>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</si>
  <si>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</si>
  <si>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</si>
  <si>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</si>
  <si>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</si>
  <si>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</si>
  <si>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</si>
  <si>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</si>
  <si>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</si>
  <si>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</si>
  <si>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</si>
  <si>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</si>
  <si>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</si>
  <si>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</si>
  <si>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</si>
  <si>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</si>
  <si>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</si>
  <si>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</si>
  <si>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</si>
  <si>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</si>
  <si>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</si>
  <si>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</si>
  <si>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</si>
  <si>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</si>
  <si>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</si>
  <si>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</si>
  <si>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</si>
  <si>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</si>
  <si>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</si>
  <si>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</si>
  <si>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</si>
  <si>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</si>
  <si>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</si>
  <si>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</si>
  <si>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</si>
  <si>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</si>
  <si>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</si>
  <si>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</si>
  <si>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</si>
  <si>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</si>
  <si>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</si>
  <si>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</si>
  <si>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</si>
  <si>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</si>
  <si>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</si>
  <si>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</si>
  <si>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</si>
  <si>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</si>
  <si>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</si>
  <si>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</si>
  <si>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</si>
  <si>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</si>
  <si>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</si>
  <si>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</si>
  <si>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</si>
  <si>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</si>
  <si>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</si>
  <si>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</si>
  <si>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</si>
  <si>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</si>
  <si>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</si>
  <si>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</si>
  <si>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</si>
  <si>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</si>
  <si>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</si>
  <si>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</si>
  <si>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</si>
  <si>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</si>
  <si>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</si>
  <si>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</si>
  <si>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</si>
  <si>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</si>
  <si>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</si>
  <si>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</si>
  <si>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</si>
  <si>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</si>
  <si>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</si>
  <si>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</si>
  <si>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</si>
  <si>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</si>
  <si>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</si>
  <si>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</si>
  <si>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</si>
  <si>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</si>
  <si>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</si>
  <si>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</si>
  <si>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</si>
  <si>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</si>
  <si>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</si>
  <si>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</si>
  <si>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</si>
  <si>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</si>
  <si>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</si>
  <si>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</si>
  <si>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</si>
  <si>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</si>
  <si>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</si>
  <si>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</si>
  <si>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</si>
  <si>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</si>
  <si>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</si>
  <si>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</si>
  <si>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</si>
  <si>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</si>
  <si>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</si>
  <si>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</si>
  <si>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</si>
  <si>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</si>
  <si>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</si>
  <si>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</si>
  <si>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</si>
  <si>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</si>
  <si>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</si>
  <si>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</si>
  <si>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</si>
  <si>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</si>
  <si>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</si>
  <si>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</si>
  <si>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</si>
  <si>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</si>
  <si>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</si>
  <si>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</si>
  <si>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</si>
  <si>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</si>
  <si>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</si>
  <si>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</si>
  <si>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</si>
  <si>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</si>
  <si>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</si>
  <si>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</si>
  <si>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</si>
  <si>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</si>
  <si>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</si>
  <si>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</si>
  <si>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</si>
  <si>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</si>
  <si>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</si>
  <si>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</si>
  <si>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</si>
  <si>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</si>
  <si>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</si>
  <si>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</si>
  <si>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</si>
  <si>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</si>
  <si>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</si>
  <si>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</si>
  <si>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</si>
  <si>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</si>
  <si>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</si>
  <si>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</si>
  <si>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</si>
  <si>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</si>
  <si>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</si>
  <si>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</si>
  <si>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</si>
  <si>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</si>
  <si>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</si>
  <si>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</si>
  <si>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</si>
  <si>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</si>
  <si>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</si>
  <si>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</si>
  <si>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</si>
  <si>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</si>
  <si>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</si>
  <si>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</si>
  <si>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</si>
  <si>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</si>
  <si>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</si>
  <si>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</si>
  <si>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</si>
  <si>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</si>
  <si>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</si>
  <si>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</si>
  <si>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</si>
  <si>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</si>
  <si>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</si>
  <si>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</si>
  <si>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</si>
  <si>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</si>
  <si>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</si>
  <si>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</si>
  <si>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</si>
  <si>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</si>
  <si>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</si>
  <si>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</si>
  <si>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</si>
  <si>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</si>
  <si>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</si>
  <si>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</si>
  <si>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</si>
  <si>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</si>
  <si>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</si>
  <si>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</si>
  <si>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</si>
  <si>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</si>
  <si>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</si>
  <si>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</si>
  <si>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</si>
  <si>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</si>
  <si>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</si>
  <si>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</si>
  <si>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</si>
  <si>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</si>
  <si>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</si>
  <si>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</si>
  <si>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</si>
  <si>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</si>
  <si>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</si>
  <si>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</si>
  <si>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</si>
  <si>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</si>
  <si>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</si>
  <si>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</si>
  <si>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</si>
  <si>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</si>
  <si>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</si>
  <si>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</si>
  <si>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</si>
  <si>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</si>
  <si>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</si>
  <si>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</si>
  <si>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</si>
  <si>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</si>
  <si>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</si>
  <si>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</si>
  <si>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</si>
  <si>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</si>
  <si>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</si>
  <si>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</si>
  <si>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</si>
  <si>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</si>
  <si>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</si>
  <si>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</si>
  <si>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</si>
  <si>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</si>
  <si>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</si>
  <si>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</si>
  <si>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</si>
  <si>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</si>
  <si>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</si>
  <si>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</si>
  <si>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</si>
  <si>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</si>
  <si>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</si>
  <si>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</si>
  <si>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</si>
  <si>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</si>
  <si>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</si>
  <si>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</si>
  <si>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</si>
  <si>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</si>
  <si>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</si>
  <si>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</si>
  <si>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</si>
  <si>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</si>
  <si>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</si>
  <si>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</si>
  <si>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</si>
  <si>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</si>
  <si>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</si>
  <si>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</si>
  <si>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</si>
  <si>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</si>
  <si>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</si>
  <si>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</si>
  <si>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</si>
  <si>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</si>
  <si>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</si>
  <si>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</si>
  <si>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</si>
  <si>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</si>
  <si>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</si>
  <si>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</si>
  <si>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</si>
  <si>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</si>
  <si>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</si>
  <si>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</si>
  <si>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</si>
  <si>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</si>
  <si>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</si>
  <si>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</si>
  <si>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</si>
  <si>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</si>
  <si>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</si>
  <si>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</si>
  <si>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</si>
  <si>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</si>
  <si>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</si>
  <si>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</si>
  <si>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</si>
  <si>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</si>
  <si>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</si>
  <si>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</si>
  <si>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</si>
  <si>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</si>
  <si>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</si>
  <si>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</si>
  <si>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</si>
  <si>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</si>
  <si>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</si>
  <si>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</si>
  <si>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</si>
  <si>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</si>
  <si>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</si>
  <si>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</si>
  <si>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</si>
  <si>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</si>
  <si>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</si>
  <si>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</si>
  <si>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</si>
  <si>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</si>
  <si>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</si>
  <si>
    <t>2018-2030</t>
  </si>
  <si>
    <t xml:space="preserve">half - adjusted NEES </t>
  </si>
  <si>
    <t>Assumptions</t>
  </si>
  <si>
    <t>2030 onwards</t>
  </si>
  <si>
    <t>2040-2070</t>
  </si>
  <si>
    <t>Energy Intensity Reduction</t>
  </si>
  <si>
    <t>total efficiency gain:</t>
  </si>
  <si>
    <t>sector total increase of 37% efficiency ~ 27% reduction in energy intensity of new buildings relative to 2015</t>
  </si>
  <si>
    <t>non nees efficiency gain</t>
  </si>
  <si>
    <t>Energy Intensity Reduction total relative to 2015</t>
  </si>
  <si>
    <t>Energy Intensity Reduction  relative to 2040</t>
  </si>
  <si>
    <t>Energy Intensity Reduction  relative to 2030</t>
  </si>
  <si>
    <t>sector total increase of 117% efficiency ~ 54% reduction in energy intensity of new buildings relative to 2015</t>
  </si>
  <si>
    <t>sector total increase of 233% efficiency ~ 70% reduction in energy intensity of new buildings relative to 2015</t>
  </si>
  <si>
    <t>reduction from previous year</t>
  </si>
  <si>
    <t>Precalculated in Drivers workbook</t>
  </si>
  <si>
    <t>Public share</t>
  </si>
  <si>
    <t>pkm graph below</t>
  </si>
  <si>
    <t>* vehicle by income group graph below</t>
  </si>
  <si>
    <t>* sumproduct: occupancy * mileage * income group * split between cars, SUVS and motorbikes</t>
  </si>
  <si>
    <t>*priv pkms</t>
  </si>
  <si>
    <t>* pub road pkms</t>
  </si>
  <si>
    <t>* pub rail pkms</t>
  </si>
  <si>
    <t>* occupancy * veh km</t>
  </si>
  <si>
    <t>* pkm from above</t>
  </si>
  <si>
    <t>* calc: pop * prv veh ownership * veh/pers</t>
  </si>
  <si>
    <t>* from other calc row 49 above</t>
  </si>
  <si>
    <t>* keep constant for now</t>
  </si>
  <si>
    <t>* Story: special lanes for higher occupancy vehicles increases average occupancy</t>
  </si>
  <si>
    <t>* decadal growth set to zero for now - see sheet drivers above</t>
  </si>
  <si>
    <t>PTRA SHEET DEMAND DRIVERS</t>
  </si>
  <si>
    <r>
      <t>*</t>
    </r>
    <r>
      <rPr>
        <sz val="11"/>
        <color rgb="FF7030A0"/>
        <rFont val="Calibri"/>
        <family val="2"/>
        <scheme val="minor"/>
      </rPr>
      <t xml:space="preserve"> adjusted by sheet drivers</t>
    </r>
  </si>
  <si>
    <t>* calc corrected, adjusting pub transport switch down</t>
  </si>
  <si>
    <r>
      <t xml:space="preserve">Story: Public transport </t>
    </r>
    <r>
      <rPr>
        <b/>
        <sz val="11"/>
        <color rgb="FF7030A0"/>
        <rFont val="Calibri"/>
        <family val="2"/>
        <scheme val="minor"/>
      </rPr>
      <t>SLIGHT ENCOURAGEMENT</t>
    </r>
    <r>
      <rPr>
        <sz val="11"/>
        <color theme="1"/>
        <rFont val="Calibri"/>
        <family val="2"/>
        <scheme val="minor"/>
      </rPr>
      <t xml:space="preserve"> through taxing of private veh or further subsidy of public transport or both results in lower car ownership</t>
    </r>
  </si>
  <si>
    <t>trana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</si>
</sst>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 numFmtId="189" formatCode="0.000%"/>
    <numFmt numFmtId="190" formatCode="0.0000%"/>
  </numFmts>
  <fonts count="175">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
      <sz val="9"/>
      <color theme="1"/>
      <name val="Calibri"/>
      <family val="2"/>
      <scheme val="minor"/>
    </font>
    <font>
      <sz val="11"/>
      <color rgb="FF7030A0"/>
      <name val="Calibri"/>
      <family val="2"/>
      <scheme val="minor"/>
    </font>
    <font>
      <b/>
      <sz val="11"/>
      <color rgb="FF7030A0"/>
      <name val="Calibri"/>
      <family val="2"/>
      <scheme val="minor"/>
    </font>
    <font>
      <b/>
      <sz val="16"/>
      <color rgb="FF7030A0"/>
      <name val="Calibri"/>
      <family val="2"/>
      <scheme val="minor"/>
    </font>
    <font>
      <strike/>
      <sz val="11"/>
      <color theme="1"/>
      <name val="Calibri"/>
      <family val="2"/>
      <scheme val="minor"/>
    </font>
  </fonts>
  <fills count="88">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9" tint="-0.499984740745262"/>
        <bgColor indexed="64"/>
      </patternFill>
    </fill>
    <fill>
      <patternFill patternType="solid">
        <fgColor theme="6" tint="0.79998168889431442"/>
        <bgColor indexed="64"/>
      </patternFill>
    </fill>
  </fills>
  <borders count="83">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ck">
        <color rgb="FF7030A0"/>
      </left>
      <right/>
      <top style="thick">
        <color rgb="FF7030A0"/>
      </top>
      <bottom/>
      <diagonal/>
    </border>
    <border>
      <left/>
      <right/>
      <top style="thick">
        <color rgb="FF7030A0"/>
      </top>
      <bottom/>
      <diagonal/>
    </border>
    <border>
      <left/>
      <right style="thick">
        <color rgb="FF7030A0"/>
      </right>
      <top style="thick">
        <color rgb="FF7030A0"/>
      </top>
      <bottom/>
      <diagonal/>
    </border>
    <border>
      <left style="thick">
        <color rgb="FF7030A0"/>
      </left>
      <right/>
      <top/>
      <bottom/>
      <diagonal/>
    </border>
    <border>
      <left/>
      <right style="thick">
        <color rgb="FF7030A0"/>
      </right>
      <top/>
      <bottom/>
      <diagonal/>
    </border>
    <border>
      <left style="thick">
        <color rgb="FF7030A0"/>
      </left>
      <right/>
      <top/>
      <bottom style="thick">
        <color rgb="FF7030A0"/>
      </bottom>
      <diagonal/>
    </border>
    <border>
      <left/>
      <right/>
      <top/>
      <bottom style="thick">
        <color rgb="FF7030A0"/>
      </bottom>
      <diagonal/>
    </border>
    <border>
      <left/>
      <right style="thick">
        <color rgb="FF7030A0"/>
      </right>
      <top/>
      <bottom style="thick">
        <color rgb="FF7030A0"/>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rgb="FF7F7F7F"/>
      </top>
      <bottom style="thin">
        <color rgb="FF7F7F7F"/>
      </bottom>
      <diagonal/>
    </border>
    <border>
      <left/>
      <right/>
      <top style="thin">
        <color rgb="FF7F7F7F"/>
      </top>
      <bottom style="thick">
        <color rgb="FF7030A0"/>
      </bottom>
      <diagonal/>
    </border>
    <border>
      <left style="medium">
        <color indexed="64"/>
      </left>
      <right style="medium">
        <color indexed="64"/>
      </right>
      <top style="medium">
        <color indexed="64"/>
      </top>
      <bottom/>
      <diagonal/>
    </border>
    <border>
      <left style="medium">
        <color indexed="64"/>
      </left>
      <right style="medium">
        <color indexed="64"/>
      </right>
      <top style="thin">
        <color rgb="FF7F7F7F"/>
      </top>
      <bottom style="medium">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6" fillId="4" borderId="0" applyNumberFormat="0" applyBorder="0" applyAlignment="0" applyProtection="0"/>
    <xf numFmtId="0" fontId="16" fillId="4" borderId="0" applyNumberFormat="0" applyBorder="0" applyAlignment="0" applyProtection="0"/>
    <xf numFmtId="0" fontId="17" fillId="0" borderId="0" applyNumberFormat="0" applyFill="0" applyBorder="0" applyAlignment="0" applyProtection="0"/>
    <xf numFmtId="0" fontId="18"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0" fontId="5" fillId="0" borderId="0" applyNumberFormat="0">
      <alignment horizontal="right"/>
    </xf>
    <xf numFmtId="0" fontId="2" fillId="0" borderId="2"/>
    <xf numFmtId="169" fontId="19" fillId="0" borderId="0"/>
    <xf numFmtId="0" fontId="1" fillId="0" borderId="0"/>
    <xf numFmtId="170" fontId="20" fillId="0" borderId="0"/>
    <xf numFmtId="4" fontId="21" fillId="0" borderId="0" applyNumberFormat="0" applyFill="0" applyBorder="0" applyAlignment="0" applyProtection="0">
      <alignment horizontal="center"/>
    </xf>
    <xf numFmtId="4" fontId="22" fillId="0" borderId="0" applyNumberFormat="0" applyFill="0" applyBorder="0" applyAlignment="0" applyProtection="0">
      <alignment horizontal="center"/>
    </xf>
    <xf numFmtId="0" fontId="23" fillId="0" borderId="0">
      <alignment horizontal="center"/>
    </xf>
    <xf numFmtId="0" fontId="24" fillId="0" borderId="6" applyNumberFormat="0" applyFill="0" applyAlignment="0" applyProtection="0"/>
    <xf numFmtId="0" fontId="25" fillId="0" borderId="7" applyNumberFormat="0" applyFill="0" applyAlignment="0" applyProtection="0"/>
    <xf numFmtId="0" fontId="25" fillId="0" borderId="7" applyNumberFormat="0" applyFill="0" applyAlignment="0" applyProtection="0"/>
    <xf numFmtId="0" fontId="25" fillId="0" borderId="0" applyNumberFormat="0" applyFill="0" applyBorder="0" applyAlignment="0" applyProtection="0"/>
    <xf numFmtId="0" fontId="23" fillId="0" borderId="0">
      <alignment horizontal="center" textRotation="90"/>
    </xf>
    <xf numFmtId="0" fontId="3" fillId="0" borderId="0" applyNumberFormat="0" applyFill="0" applyBorder="0" applyAlignment="0" applyProtection="0"/>
    <xf numFmtId="0" fontId="26" fillId="0" borderId="0" applyNumberFormat="0" applyFill="0" applyBorder="0" applyAlignment="0" applyProtection="0">
      <alignment vertical="top"/>
      <protection locked="0"/>
    </xf>
    <xf numFmtId="0" fontId="27" fillId="6" borderId="5" applyNumberFormat="0" applyAlignment="0" applyProtection="0"/>
    <xf numFmtId="0" fontId="27" fillId="6" borderId="5" applyNumberFormat="0" applyAlignment="0" applyProtection="0"/>
    <xf numFmtId="0" fontId="28" fillId="0" borderId="0" applyNumberFormat="0" applyFill="0" applyBorder="0" applyAlignment="0" applyProtection="0"/>
    <xf numFmtId="0" fontId="29" fillId="7" borderId="0" applyNumberFormat="0" applyBorder="0" applyAlignment="0" applyProtection="0"/>
    <xf numFmtId="0" fontId="15" fillId="0" borderId="0"/>
    <xf numFmtId="0" fontId="1" fillId="0" borderId="0"/>
    <xf numFmtId="0" fontId="2" fillId="0" borderId="0"/>
    <xf numFmtId="0" fontId="2" fillId="0" borderId="0"/>
    <xf numFmtId="0" fontId="30" fillId="0" borderId="0"/>
    <xf numFmtId="0" fontId="2" fillId="0" borderId="0"/>
    <xf numFmtId="0" fontId="15" fillId="0" borderId="0"/>
    <xf numFmtId="0" fontId="2" fillId="0" borderId="0"/>
    <xf numFmtId="0" fontId="15" fillId="0" borderId="0"/>
    <xf numFmtId="0" fontId="31" fillId="0" borderId="0"/>
    <xf numFmtId="0" fontId="2" fillId="0" borderId="0"/>
    <xf numFmtId="0" fontId="2" fillId="3" borderId="0" applyNumberFormat="0" applyFont="0" applyBorder="0" applyAlignment="0" applyProtection="0"/>
    <xf numFmtId="0" fontId="2" fillId="0" borderId="0"/>
    <xf numFmtId="0" fontId="15" fillId="8" borderId="8" applyNumberFormat="0" applyFont="0" applyAlignment="0" applyProtection="0"/>
    <xf numFmtId="9" fontId="15"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0" fontId="32" fillId="0" borderId="0"/>
    <xf numFmtId="171" fontId="32" fillId="0" borderId="0"/>
    <xf numFmtId="0" fontId="6" fillId="0" borderId="0"/>
    <xf numFmtId="0" fontId="15" fillId="0" borderId="0"/>
    <xf numFmtId="0" fontId="43" fillId="0" borderId="20" applyNumberFormat="0" applyFill="0" applyAlignment="0" applyProtection="0"/>
    <xf numFmtId="0" fontId="47" fillId="0" borderId="0"/>
    <xf numFmtId="0" fontId="49" fillId="0" borderId="20" applyNumberFormat="0" applyFill="0" applyAlignment="0" applyProtection="0"/>
    <xf numFmtId="180" fontId="50" fillId="0" borderId="0" applyFont="0" applyFill="0" applyBorder="0" applyAlignment="0" applyProtection="0"/>
    <xf numFmtId="0" fontId="15" fillId="0" borderId="0"/>
    <xf numFmtId="0" fontId="47" fillId="0" borderId="0"/>
    <xf numFmtId="0" fontId="2" fillId="39" borderId="25" applyNumberFormat="0" applyFont="0" applyAlignment="0"/>
    <xf numFmtId="9" fontId="15" fillId="0" borderId="0" applyFont="0" applyFill="0" applyBorder="0" applyAlignment="0" applyProtection="0"/>
    <xf numFmtId="0" fontId="15" fillId="0" borderId="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4" fillId="46" borderId="0" applyNumberFormat="0" applyBorder="0" applyAlignment="0" applyProtection="0">
      <alignment vertical="center"/>
    </xf>
    <xf numFmtId="171" fontId="54" fillId="46" borderId="0" applyNumberFormat="0" applyBorder="0" applyAlignment="0" applyProtection="0">
      <alignment vertical="center"/>
    </xf>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5" fillId="17"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5" fillId="2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5" fillId="25"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5" fillId="2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5" fillId="37"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5" fillId="14"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5" fillId="18"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5" fillId="22"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4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8" fillId="52" borderId="0" applyNumberFormat="0" applyBorder="0" applyAlignment="0" applyProtection="0"/>
    <xf numFmtId="0" fontId="55" fillId="26"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0"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4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8" fillId="58" borderId="0" applyNumberFormat="0" applyBorder="0" applyAlignment="0" applyProtection="0"/>
    <xf numFmtId="0" fontId="55" fillId="34"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6" fillId="4" borderId="0" applyNumberFormat="0" applyBorder="0" applyAlignment="0" applyProtection="0"/>
    <xf numFmtId="171" fontId="16" fillId="61" borderId="0" applyNumberFormat="0" applyBorder="0" applyAlignment="0" applyProtection="0"/>
    <xf numFmtId="171" fontId="59" fillId="62" borderId="0" applyNumberFormat="0" applyBorder="0" applyAlignment="0" applyProtection="0"/>
    <xf numFmtId="171" fontId="59" fillId="62" borderId="0" applyNumberFormat="0" applyBorder="0" applyAlignment="0" applyProtection="0"/>
    <xf numFmtId="171" fontId="60" fillId="62"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0" fontId="60" fillId="41" borderId="0" applyNumberFormat="0" applyBorder="0" applyAlignment="0" applyProtection="0"/>
    <xf numFmtId="0" fontId="16" fillId="4" borderId="0" applyNumberFormat="0" applyBorder="0" applyAlignment="0" applyProtection="0"/>
    <xf numFmtId="171" fontId="16" fillId="4" borderId="0" applyNumberFormat="0" applyBorder="0" applyAlignment="0" applyProtection="0"/>
    <xf numFmtId="171" fontId="59" fillId="41" borderId="0" applyNumberFormat="0" applyBorder="0" applyAlignment="0" applyProtection="0"/>
    <xf numFmtId="171" fontId="59" fillId="41" borderId="0" applyNumberFormat="0" applyBorder="0" applyAlignment="0" applyProtection="0"/>
    <xf numFmtId="171" fontId="60"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60" fillId="41" borderId="0" applyNumberFormat="0" applyBorder="0" applyAlignment="0" applyProtection="0"/>
    <xf numFmtId="0" fontId="61" fillId="4"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7"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8" fillId="5" borderId="5"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6" fillId="65" borderId="29" applyNumberFormat="0" applyAlignment="0" applyProtection="0"/>
    <xf numFmtId="171" fontId="18" fillId="5" borderId="5"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6" fillId="65" borderId="29" applyNumberFormat="0" applyAlignment="0" applyProtection="0"/>
    <xf numFmtId="0" fontId="67" fillId="5" borderId="5"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9" fillId="13" borderId="23"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65" fontId="47"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8" fontId="4" fillId="0" borderId="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4" fontId="51"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83" fontId="47"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3" fillId="0" borderId="0" applyFont="0" applyFill="0" applyBorder="0" applyAlignment="0" applyProtection="0">
      <alignment vertical="center"/>
    </xf>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74" fillId="0" borderId="0" applyFont="0" applyFill="0" applyBorder="0" applyAlignment="0" applyProtection="0"/>
    <xf numFmtId="164" fontId="2" fillId="0" borderId="0" applyFont="0" applyFill="0" applyBorder="0" applyAlignment="0" applyProtection="0"/>
    <xf numFmtId="164" fontId="74"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3" fontId="75" fillId="0" borderId="0" applyFont="0" applyFill="0" applyBorder="0" applyAlignment="0" applyProtection="0"/>
    <xf numFmtId="184" fontId="47"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5" fontId="2" fillId="0" borderId="0" applyFont="0" applyFill="0" applyBorder="0" applyAlignment="0" applyProtection="0"/>
    <xf numFmtId="171" fontId="75" fillId="0" borderId="0" applyFont="0" applyFill="0" applyBorder="0" applyAlignment="0" applyProtection="0"/>
    <xf numFmtId="0" fontId="1" fillId="0" borderId="0"/>
    <xf numFmtId="169" fontId="19" fillId="0" borderId="0"/>
    <xf numFmtId="169" fontId="76" fillId="0" borderId="0"/>
    <xf numFmtId="169" fontId="76" fillId="0" borderId="0"/>
    <xf numFmtId="169" fontId="76" fillId="0" borderId="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171" fontId="82" fillId="0" borderId="0">
      <protection locked="0"/>
    </xf>
    <xf numFmtId="171" fontId="82" fillId="0" borderId="0">
      <protection locked="0"/>
    </xf>
    <xf numFmtId="171" fontId="83" fillId="0" borderId="0">
      <protection locked="0"/>
    </xf>
    <xf numFmtId="171" fontId="82" fillId="0" borderId="0">
      <protection locked="0"/>
    </xf>
    <xf numFmtId="171" fontId="82" fillId="0" borderId="0">
      <protection locked="0"/>
    </xf>
    <xf numFmtId="171" fontId="82" fillId="0" borderId="0">
      <protection locked="0"/>
    </xf>
    <xf numFmtId="171" fontId="83" fillId="0" borderId="0">
      <protection locked="0"/>
    </xf>
    <xf numFmtId="2" fontId="75"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1" fontId="44" fillId="67" borderId="0" applyNumberFormat="0" applyBorder="0" applyAlignment="0" applyProtection="0"/>
    <xf numFmtId="0" fontId="44" fillId="12" borderId="0" applyNumberFormat="0" applyBorder="0" applyAlignment="0" applyProtection="0"/>
    <xf numFmtId="0" fontId="85" fillId="42" borderId="0" applyNumberFormat="0" applyBorder="0" applyAlignment="0" applyProtection="0"/>
    <xf numFmtId="0" fontId="85" fillId="42" borderId="0" applyNumberFormat="0" applyBorder="0" applyAlignment="0" applyProtection="0"/>
    <xf numFmtId="0" fontId="86" fillId="42" borderId="0" applyNumberFormat="0" applyBorder="0" applyAlignment="0" applyProtection="0"/>
    <xf numFmtId="171" fontId="85" fillId="68" borderId="0" applyNumberFormat="0" applyBorder="0" applyAlignment="0" applyProtection="0"/>
    <xf numFmtId="171" fontId="85" fillId="68" borderId="0" applyNumberFormat="0" applyBorder="0" applyAlignment="0" applyProtection="0"/>
    <xf numFmtId="171" fontId="86" fillId="68" borderId="0" applyNumberFormat="0" applyBorder="0" applyAlignment="0" applyProtection="0"/>
    <xf numFmtId="0" fontId="87" fillId="1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171" fontId="89" fillId="0" borderId="31" applyNumberFormat="0" applyAlignment="0" applyProtection="0">
      <alignment horizontal="left" vertical="center"/>
    </xf>
    <xf numFmtId="171" fontId="89" fillId="0" borderId="31" applyNumberFormat="0" applyAlignment="0" applyProtection="0">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0" fontId="43" fillId="0" borderId="20" applyNumberFormat="0" applyFill="0" applyAlignment="0" applyProtection="0"/>
    <xf numFmtId="171" fontId="90" fillId="0" borderId="33" applyNumberFormat="0" applyFill="0" applyAlignment="0" applyProtection="0"/>
    <xf numFmtId="0" fontId="90"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71" fontId="92" fillId="0" borderId="33" applyNumberFormat="0" applyFill="0" applyAlignment="0" applyProtection="0"/>
    <xf numFmtId="171" fontId="43" fillId="0" borderId="20"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71" fontId="92"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24" fillId="0" borderId="6" applyNumberFormat="0" applyFill="0" applyAlignment="0" applyProtection="0"/>
    <xf numFmtId="0" fontId="94" fillId="0" borderId="6"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0" fontId="96" fillId="0" borderId="34" applyNumberFormat="0" applyFill="0" applyAlignment="0" applyProtection="0"/>
    <xf numFmtId="171" fontId="24" fillId="0" borderId="6" applyNumberFormat="0" applyFill="0" applyAlignment="0" applyProtection="0"/>
    <xf numFmtId="171" fontId="95" fillId="0" borderId="34" applyNumberFormat="0" applyFill="0" applyAlignment="0" applyProtection="0"/>
    <xf numFmtId="171" fontId="95" fillId="0" borderId="34" applyNumberFormat="0" applyFill="0" applyAlignment="0" applyProtection="0"/>
    <xf numFmtId="171" fontId="96" fillId="0" borderId="34" applyNumberFormat="0" applyFill="0" applyAlignment="0" applyProtection="0"/>
    <xf numFmtId="0" fontId="97" fillId="0" borderId="6"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11" fillId="0" borderId="35" applyNumberFormat="0" applyFill="0" applyAlignment="0" applyProtection="0"/>
    <xf numFmtId="0" fontId="11" fillId="0" borderId="35" applyNumberFormat="0" applyFill="0" applyAlignment="0" applyProtection="0"/>
    <xf numFmtId="0" fontId="99" fillId="0" borderId="35" applyNumberFormat="0" applyFill="0" applyAlignment="0" applyProtection="0"/>
    <xf numFmtId="171" fontId="25" fillId="0" borderId="7" applyNumberFormat="0" applyFill="0" applyAlignment="0" applyProtection="0"/>
    <xf numFmtId="171" fontId="11" fillId="0" borderId="35" applyNumberFormat="0" applyFill="0" applyAlignment="0" applyProtection="0"/>
    <xf numFmtId="171" fontId="11" fillId="0" borderId="35" applyNumberFormat="0" applyFill="0" applyAlignment="0" applyProtection="0"/>
    <xf numFmtId="171" fontId="99" fillId="0" borderId="35" applyNumberFormat="0" applyFill="0" applyAlignment="0" applyProtection="0"/>
    <xf numFmtId="0" fontId="100" fillId="0" borderId="7"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25" fillId="0" borderId="0" applyNumberFormat="0" applyFill="0" applyBorder="0" applyAlignment="0" applyProtection="0"/>
    <xf numFmtId="0" fontId="10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9"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23" fillId="0" borderId="0">
      <alignment horizontal="center"/>
    </xf>
    <xf numFmtId="0" fontId="103" fillId="0" borderId="0">
      <alignment horizontal="center"/>
    </xf>
    <xf numFmtId="0" fontId="23" fillId="0" borderId="0">
      <alignment horizontal="center" textRotation="90"/>
    </xf>
    <xf numFmtId="0" fontId="103" fillId="0" borderId="0">
      <alignment horizontal="center" textRotation="90"/>
    </xf>
    <xf numFmtId="0" fontId="103" fillId="0" borderId="0">
      <alignment horizontal="center" textRotation="90"/>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alignment vertical="top"/>
      <protection locked="0"/>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181"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171" fontId="111" fillId="0" borderId="0" applyNumberFormat="0" applyFill="0" applyBorder="0" applyAlignment="0" applyProtection="0">
      <alignment vertical="top"/>
      <protection locked="0"/>
    </xf>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181" fontId="27" fillId="6" borderId="5" applyNumberFormat="0" applyAlignment="0" applyProtection="0"/>
    <xf numFmtId="171" fontId="27" fillId="69" borderId="5"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3" fillId="46" borderId="29" applyNumberFormat="0" applyAlignment="0" applyProtection="0"/>
    <xf numFmtId="0" fontId="27" fillId="6" borderId="5"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3"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0" fontId="113" fillId="45" borderId="29" applyNumberFormat="0" applyAlignment="0" applyProtection="0"/>
    <xf numFmtId="171" fontId="27" fillId="6" borderId="5" applyNumberFormat="0" applyAlignment="0" applyProtection="0"/>
    <xf numFmtId="0" fontId="27" fillId="6" borderId="5"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171" fontId="113" fillId="45" borderId="29" applyNumberFormat="0" applyAlignment="0" applyProtection="0"/>
    <xf numFmtId="0" fontId="114" fillId="6" borderId="5"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8" fillId="0" borderId="0" applyNumberFormat="0" applyFill="0" applyBorder="0" applyAlignment="0" applyProtection="0"/>
    <xf numFmtId="0" fontId="115"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7" fillId="0" borderId="22"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29" fillId="7" borderId="0" applyNumberFormat="0" applyBorder="0" applyAlignment="0" applyProtection="0"/>
    <xf numFmtId="0" fontId="119" fillId="73" borderId="0" applyNumberFormat="0" applyBorder="0" applyAlignment="0" applyProtection="0"/>
    <xf numFmtId="0" fontId="119" fillId="73" borderId="0" applyNumberFormat="0" applyBorder="0" applyAlignment="0" applyProtection="0"/>
    <xf numFmtId="0" fontId="120" fillId="73" borderId="0" applyNumberFormat="0" applyBorder="0" applyAlignment="0" applyProtection="0"/>
    <xf numFmtId="171" fontId="29" fillId="7" borderId="0" applyNumberFormat="0" applyBorder="0" applyAlignment="0" applyProtection="0"/>
    <xf numFmtId="171" fontId="119" fillId="73" borderId="0" applyNumberFormat="0" applyBorder="0" applyAlignment="0" applyProtection="0"/>
    <xf numFmtId="171" fontId="119" fillId="73" borderId="0" applyNumberFormat="0" applyBorder="0" applyAlignment="0" applyProtection="0"/>
    <xf numFmtId="171" fontId="120" fillId="73" borderId="0" applyNumberFormat="0" applyBorder="0" applyAlignment="0" applyProtection="0"/>
    <xf numFmtId="0" fontId="121" fillId="7"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179" fontId="12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47"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30" fillId="0" borderId="0"/>
    <xf numFmtId="0" fontId="51" fillId="0" borderId="0"/>
    <xf numFmtId="181" fontId="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181" fontId="2" fillId="0" borderId="0"/>
    <xf numFmtId="181" fontId="2" fillId="0" borderId="0"/>
    <xf numFmtId="181" fontId="2" fillId="0" borderId="0"/>
    <xf numFmtId="181" fontId="2"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52" fillId="0" borderId="0"/>
    <xf numFmtId="181" fontId="2" fillId="0" borderId="0"/>
    <xf numFmtId="0" fontId="125" fillId="0" borderId="0"/>
    <xf numFmtId="0" fontId="125" fillId="0" borderId="0"/>
    <xf numFmtId="0" fontId="125" fillId="0" borderId="0"/>
    <xf numFmtId="0" fontId="1" fillId="0" borderId="0"/>
    <xf numFmtId="0" fontId="126" fillId="0" borderId="0">
      <alignment vertical="center"/>
    </xf>
    <xf numFmtId="171" fontId="126" fillId="0" borderId="0">
      <alignment vertical="center"/>
    </xf>
    <xf numFmtId="171" fontId="2" fillId="0" borderId="0"/>
    <xf numFmtId="0" fontId="30" fillId="0" borderId="0"/>
    <xf numFmtId="0" fontId="30" fillId="0" borderId="0"/>
    <xf numFmtId="171"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3" fillId="0" borderId="0">
      <alignment vertical="center"/>
    </xf>
    <xf numFmtId="171" fontId="73"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15" fillId="0" borderId="0"/>
    <xf numFmtId="0" fontId="15" fillId="0" borderId="0"/>
    <xf numFmtId="0" fontId="15" fillId="0" borderId="0"/>
    <xf numFmtId="0" fontId="15" fillId="0" borderId="0"/>
    <xf numFmtId="181" fontId="15" fillId="0" borderId="0"/>
    <xf numFmtId="18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15" fillId="0" borderId="0"/>
    <xf numFmtId="0" fontId="1" fillId="0" borderId="0"/>
    <xf numFmtId="0" fontId="15" fillId="0" borderId="0"/>
    <xf numFmtId="0" fontId="15" fillId="0" borderId="0"/>
    <xf numFmtId="0" fontId="15" fillId="0" borderId="0"/>
    <xf numFmtId="171" fontId="47" fillId="0" borderId="0"/>
    <xf numFmtId="0" fontId="15" fillId="0" borderId="0"/>
    <xf numFmtId="0" fontId="15" fillId="0" borderId="0"/>
    <xf numFmtId="0" fontId="15" fillId="0" borderId="0"/>
    <xf numFmtId="0" fontId="15" fillId="0" borderId="0"/>
    <xf numFmtId="0" fontId="15" fillId="0" borderId="0"/>
    <xf numFmtId="181" fontId="15" fillId="0" borderId="0"/>
    <xf numFmtId="0" fontId="31" fillId="0" borderId="0"/>
    <xf numFmtId="0" fontId="127" fillId="0" borderId="0"/>
    <xf numFmtId="0" fontId="127" fillId="0" borderId="0"/>
    <xf numFmtId="0" fontId="128" fillId="0" borderId="0"/>
    <xf numFmtId="0" fontId="2" fillId="0" borderId="0"/>
    <xf numFmtId="0" fontId="51" fillId="0" borderId="0"/>
    <xf numFmtId="0" fontId="52" fillId="0" borderId="0"/>
    <xf numFmtId="0" fontId="52" fillId="0" borderId="0"/>
    <xf numFmtId="0" fontId="52" fillId="0" borderId="0"/>
    <xf numFmtId="171" fontId="15" fillId="0" borderId="0"/>
    <xf numFmtId="171" fontId="15" fillId="0" borderId="0"/>
    <xf numFmtId="0" fontId="15" fillId="0" borderId="0"/>
    <xf numFmtId="0" fontId="15" fillId="0" borderId="0"/>
    <xf numFmtId="0" fontId="15" fillId="0" borderId="0"/>
    <xf numFmtId="0" fontId="52" fillId="0" borderId="0"/>
    <xf numFmtId="0" fontId="15" fillId="0" borderId="0"/>
    <xf numFmtId="0" fontId="15" fillId="0" borderId="0"/>
    <xf numFmtId="0" fontId="15" fillId="0" borderId="0"/>
    <xf numFmtId="0" fontId="15" fillId="0" borderId="0"/>
    <xf numFmtId="0" fontId="2" fillId="0" borderId="0"/>
    <xf numFmtId="0" fontId="2" fillId="0" borderId="0"/>
    <xf numFmtId="0" fontId="2" fillId="0" borderId="0"/>
    <xf numFmtId="0" fontId="2" fillId="0" borderId="0"/>
    <xf numFmtId="0" fontId="2" fillId="0" borderId="0"/>
    <xf numFmtId="0" fontId="15" fillId="0" borderId="0"/>
    <xf numFmtId="181" fontId="15" fillId="0" borderId="0"/>
    <xf numFmtId="181" fontId="15" fillId="0" borderId="0"/>
    <xf numFmtId="0" fontId="2" fillId="0" borderId="0"/>
    <xf numFmtId="0" fontId="1" fillId="0" borderId="0"/>
    <xf numFmtId="0" fontId="1" fillId="0" borderId="0"/>
    <xf numFmtId="0" fontId="51" fillId="0" borderId="0"/>
    <xf numFmtId="0" fontId="52" fillId="0" borderId="0"/>
    <xf numFmtId="0" fontId="52" fillId="0" borderId="0"/>
    <xf numFmtId="0" fontId="52" fillId="0" borderId="0"/>
    <xf numFmtId="0" fontId="15" fillId="0" borderId="0"/>
    <xf numFmtId="0" fontId="52" fillId="0" borderId="0"/>
    <xf numFmtId="181" fontId="15" fillId="0" borderId="0"/>
    <xf numFmtId="181" fontId="15" fillId="0" borderId="0"/>
    <xf numFmtId="181" fontId="15" fillId="0" borderId="0"/>
    <xf numFmtId="0" fontId="52" fillId="0" borderId="0"/>
    <xf numFmtId="17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171" fontId="15" fillId="0" borderId="0"/>
    <xf numFmtId="171" fontId="15" fillId="0" borderId="0"/>
    <xf numFmtId="171"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29" fillId="0" borderId="0">
      <alignment vertical="center"/>
    </xf>
    <xf numFmtId="171" fontId="129" fillId="0" borderId="0">
      <alignment vertical="center"/>
    </xf>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53" fillId="0" borderId="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51"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87" fontId="130" fillId="0" borderId="0" applyNumberFormat="0" applyFill="0" applyBorder="0" applyAlignment="0" applyProtection="0"/>
    <xf numFmtId="0" fontId="131" fillId="0" borderId="0" applyNumberFormat="0" applyFill="0" applyBorder="0" applyAlignment="0" applyProtection="0">
      <alignment vertical="center"/>
    </xf>
    <xf numFmtId="171" fontId="131" fillId="0" borderId="0" applyNumberFormat="0" applyFill="0" applyBorder="0" applyAlignment="0" applyProtection="0">
      <alignment vertical="center"/>
    </xf>
    <xf numFmtId="187" fontId="132" fillId="0" borderId="0" applyNumberFormat="0" applyFill="0" applyBorder="0" applyAlignment="0" applyProtection="0"/>
    <xf numFmtId="187" fontId="132" fillId="0" borderId="0" applyNumberFormat="0" applyFill="0" applyBorder="0" applyAlignment="0" applyProtection="0"/>
    <xf numFmtId="187" fontId="133" fillId="0" borderId="0" applyNumberFormat="0" applyFill="0" applyBorder="0" applyAlignment="0" applyProtection="0"/>
    <xf numFmtId="171" fontId="45" fillId="5" borderId="21" applyNumberFormat="0" applyAlignment="0" applyProtection="0"/>
    <xf numFmtId="0" fontId="45" fillId="5" borderId="21"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5"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5" fillId="65" borderId="40" applyNumberFormat="0" applyAlignment="0" applyProtection="0"/>
    <xf numFmtId="0" fontId="136" fillId="5" borderId="21"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50"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ill="0" applyBorder="0" applyAlignment="0" applyProtection="0"/>
    <xf numFmtId="180" fontId="73" fillId="0" borderId="0" applyFont="0" applyFill="0" applyBorder="0" applyAlignment="0" applyProtection="0">
      <alignment vertical="center"/>
    </xf>
    <xf numFmtId="180" fontId="138"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73"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7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74" fillId="0" borderId="0" applyFont="0" applyFill="0" applyBorder="0" applyAlignment="0" applyProtection="0"/>
    <xf numFmtId="9" fontId="2" fillId="0" borderId="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2" fillId="0" borderId="0"/>
    <xf numFmtId="0" fontId="139" fillId="0" borderId="0"/>
    <xf numFmtId="0" fontId="139" fillId="0" borderId="0"/>
    <xf numFmtId="171" fontId="139" fillId="0" borderId="0"/>
    <xf numFmtId="171" fontId="139" fillId="0" borderId="0"/>
    <xf numFmtId="171" fontId="139" fillId="0" borderId="0"/>
    <xf numFmtId="171" fontId="2" fillId="0" borderId="0"/>
    <xf numFmtId="0" fontId="140" fillId="0" borderId="0" applyFill="0" applyBorder="0"/>
    <xf numFmtId="0" fontId="141" fillId="0" borderId="0" applyFill="0" applyBorder="0"/>
    <xf numFmtId="0" fontId="141" fillId="0" borderId="0" applyFill="0" applyBorder="0"/>
    <xf numFmtId="0" fontId="142" fillId="0" borderId="0" applyFill="0" applyBorder="0"/>
    <xf numFmtId="0" fontId="48" fillId="0" borderId="41" applyNumberFormat="0">
      <alignment horizontal="left" vertical="center"/>
    </xf>
    <xf numFmtId="0" fontId="143" fillId="0" borderId="0" applyNumberFormat="0" applyFill="0" applyBorder="0" applyAlignment="0" applyProtection="0">
      <alignment vertical="center"/>
    </xf>
    <xf numFmtId="0" fontId="144" fillId="0" borderId="24"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171" fontId="146" fillId="0" borderId="0">
      <alignment vertical="top"/>
    </xf>
    <xf numFmtId="0" fontId="147"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171" fontId="149" fillId="0" borderId="0">
      <alignment vertical="center"/>
    </xf>
    <xf numFmtId="171" fontId="150" fillId="0" borderId="0"/>
    <xf numFmtId="167" fontId="15" fillId="0" borderId="0" applyFon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5" fillId="65" borderId="54" applyNumberFormat="0" applyAlignment="0" applyProtection="0"/>
    <xf numFmtId="0" fontId="65" fillId="65" borderId="54" applyNumberFormat="0" applyAlignment="0" applyProtection="0"/>
    <xf numFmtId="0"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166" fontId="47" fillId="0" borderId="0" applyFont="0" applyFill="0" applyBorder="0" applyAlignment="0" applyProtection="0"/>
    <xf numFmtId="166" fontId="72" fillId="0" borderId="0" applyFont="0" applyFill="0" applyBorder="0" applyAlignment="0" applyProtection="0"/>
    <xf numFmtId="166" fontId="7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74" fillId="0" borderId="0" applyFont="0" applyFill="0" applyBorder="0" applyAlignment="0" applyProtection="0"/>
    <xf numFmtId="167" fontId="2" fillId="0" borderId="0" applyFont="0" applyFill="0" applyBorder="0" applyAlignment="0" applyProtection="0"/>
    <xf numFmtId="167" fontId="74"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171" fontId="112" fillId="45" borderId="51" applyNumberFormat="0" applyAlignment="0" applyProtection="0"/>
    <xf numFmtId="171" fontId="112" fillId="45" borderId="51" applyNumberFormat="0" applyAlignment="0" applyProtection="0"/>
    <xf numFmtId="171"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4" applyNumberFormat="0" applyAlignment="0" applyProtection="0"/>
    <xf numFmtId="171" fontId="112" fillId="46" borderId="54" applyNumberFormat="0" applyAlignment="0" applyProtection="0"/>
    <xf numFmtId="171" fontId="112" fillId="46"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134" fillId="65" borderId="57" applyNumberFormat="0" applyAlignment="0" applyProtection="0"/>
    <xf numFmtId="0" fontId="134" fillId="65" borderId="57" applyNumberFormat="0" applyAlignment="0" applyProtection="0"/>
    <xf numFmtId="0"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171" fontId="65" fillId="65" borderId="51" applyNumberFormat="0" applyAlignment="0" applyProtection="0"/>
    <xf numFmtId="171" fontId="65" fillId="65" borderId="51" applyNumberFormat="0" applyAlignment="0" applyProtection="0"/>
    <xf numFmtId="171"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5" fillId="0" borderId="0" applyFont="0" applyFill="0" applyBorder="0" applyAlignment="0" applyProtection="0"/>
    <xf numFmtId="167" fontId="15" fillId="0" borderId="0" applyFont="0" applyFill="0" applyBorder="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167" fontId="15" fillId="0" borderId="0" applyFont="0" applyFill="0" applyBorder="0" applyAlignment="0" applyProtection="0"/>
    <xf numFmtId="0" fontId="46" fillId="34" borderId="0" applyNumberFormat="0" applyBorder="0" applyAlignment="0" applyProtection="0"/>
    <xf numFmtId="0" fontId="50" fillId="0" borderId="0"/>
    <xf numFmtId="0" fontId="15" fillId="79" borderId="0" applyNumberFormat="0" applyBorder="0" applyAlignment="0" applyProtection="0"/>
    <xf numFmtId="167" fontId="50" fillId="0" borderId="0" applyFont="0" applyFill="0" applyBorder="0" applyAlignment="0" applyProtection="0"/>
    <xf numFmtId="0" fontId="31" fillId="0" borderId="0"/>
    <xf numFmtId="0" fontId="163" fillId="0" borderId="0"/>
    <xf numFmtId="0" fontId="155" fillId="0" borderId="0" applyNumberFormat="0" applyFill="0" applyBorder="0" applyAlignment="0" applyProtection="0"/>
    <xf numFmtId="0" fontId="15" fillId="15" borderId="0" applyNumberFormat="0" applyBorder="0" applyAlignment="0" applyProtection="0"/>
    <xf numFmtId="0" fontId="15" fillId="19" borderId="0" applyNumberFormat="0" applyBorder="0" applyAlignment="0" applyProtection="0"/>
  </cellStyleXfs>
  <cellXfs count="373">
    <xf numFmtId="0" fontId="0" fillId="0" borderId="0" xfId="0"/>
    <xf numFmtId="2" fontId="33" fillId="0" borderId="0" xfId="0" applyNumberFormat="1" applyFont="1"/>
    <xf numFmtId="0" fontId="33" fillId="0" borderId="0" xfId="0" applyFont="1"/>
    <xf numFmtId="2" fontId="0" fillId="0" borderId="0" xfId="0" applyNumberFormat="1"/>
    <xf numFmtId="0" fontId="35" fillId="0" borderId="0" xfId="0" applyFont="1"/>
    <xf numFmtId="1" fontId="0" fillId="0" borderId="0" xfId="0" applyNumberFormat="1"/>
    <xf numFmtId="173" fontId="0" fillId="0" borderId="0" xfId="0" applyNumberFormat="1"/>
    <xf numFmtId="3" fontId="0" fillId="0" borderId="0" xfId="0" applyNumberFormat="1"/>
    <xf numFmtId="0" fontId="16" fillId="4" borderId="0" xfId="3"/>
    <xf numFmtId="0" fontId="25" fillId="0" borderId="7" xfId="21"/>
    <xf numFmtId="0" fontId="9" fillId="0" borderId="0" xfId="33" applyFont="1"/>
    <xf numFmtId="0" fontId="9" fillId="0" borderId="0" xfId="33" applyFont="1" applyAlignment="1">
      <alignment horizontal="center" wrapText="1"/>
    </xf>
    <xf numFmtId="0" fontId="10" fillId="0" borderId="0" xfId="33" applyFont="1"/>
    <xf numFmtId="0" fontId="25" fillId="0" borderId="7" xfId="21" applyAlignment="1">
      <alignment horizontal="left"/>
    </xf>
    <xf numFmtId="0" fontId="2" fillId="0" borderId="0" xfId="0" applyFont="1" applyAlignment="1">
      <alignment horizontal="center"/>
    </xf>
    <xf numFmtId="0" fontId="37" fillId="0" borderId="0" xfId="0" applyFont="1"/>
    <xf numFmtId="0" fontId="38" fillId="0" borderId="0" xfId="0" applyFont="1"/>
    <xf numFmtId="174" fontId="0" fillId="0" borderId="0" xfId="0" applyNumberFormat="1"/>
    <xf numFmtId="0" fontId="2" fillId="0" borderId="0" xfId="0" applyFont="1" applyAlignment="1">
      <alignment horizontal="left"/>
    </xf>
    <xf numFmtId="0" fontId="0" fillId="0" borderId="0" xfId="0" applyAlignment="1">
      <alignment horizontal="center"/>
    </xf>
    <xf numFmtId="0" fontId="27"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7" fillId="6" borderId="5" xfId="27" applyNumberFormat="1"/>
    <xf numFmtId="0" fontId="0" fillId="0" borderId="0" xfId="0" quotePrefix="1"/>
    <xf numFmtId="175" fontId="0" fillId="0" borderId="0" xfId="0" applyNumberFormat="1"/>
    <xf numFmtId="0" fontId="24" fillId="0" borderId="6" xfId="20"/>
    <xf numFmtId="0" fontId="25" fillId="0" borderId="0" xfId="23"/>
    <xf numFmtId="11" fontId="0" fillId="0" borderId="4" xfId="0" applyNumberFormat="1" applyBorder="1"/>
    <xf numFmtId="0" fontId="0" fillId="0" borderId="4" xfId="0" applyBorder="1"/>
    <xf numFmtId="2" fontId="0" fillId="0" borderId="4" xfId="0" applyNumberFormat="1" applyBorder="1"/>
    <xf numFmtId="173" fontId="0" fillId="0" borderId="4" xfId="0" applyNumberFormat="1" applyBorder="1"/>
    <xf numFmtId="2" fontId="27" fillId="6" borderId="5" xfId="27" applyNumberFormat="1"/>
    <xf numFmtId="173" fontId="33" fillId="0" borderId="0" xfId="0" applyNumberFormat="1" applyFont="1"/>
    <xf numFmtId="172" fontId="27" fillId="6" borderId="5" xfId="27" applyNumberFormat="1"/>
    <xf numFmtId="2" fontId="27" fillId="8" borderId="8" xfId="44" applyNumberFormat="1" applyFont="1"/>
    <xf numFmtId="173" fontId="18" fillId="5" borderId="5" xfId="6" applyNumberFormat="1"/>
    <xf numFmtId="175" fontId="0" fillId="0" borderId="4" xfId="0" applyNumberFormat="1" applyBorder="1"/>
    <xf numFmtId="0" fontId="25" fillId="0" borderId="0" xfId="21" applyBorder="1"/>
    <xf numFmtId="0" fontId="36" fillId="0" borderId="0" xfId="21" applyFont="1" applyBorder="1"/>
    <xf numFmtId="0" fontId="25" fillId="0" borderId="7" xfId="21" applyAlignment="1"/>
    <xf numFmtId="2" fontId="37" fillId="0" borderId="0" xfId="0" applyNumberFormat="1" applyFont="1"/>
    <xf numFmtId="2" fontId="15" fillId="8" borderId="8" xfId="44" applyNumberFormat="1" applyFont="1"/>
    <xf numFmtId="172" fontId="15" fillId="0" borderId="0" xfId="45" applyNumberFormat="1" applyFont="1"/>
    <xf numFmtId="1" fontId="27" fillId="6" borderId="5" xfId="27" applyNumberFormat="1"/>
    <xf numFmtId="2" fontId="27" fillId="0" borderId="5" xfId="27" applyNumberFormat="1" applyFill="1"/>
    <xf numFmtId="9" fontId="27" fillId="0" borderId="5" xfId="27" applyNumberFormat="1" applyFill="1"/>
    <xf numFmtId="0" fontId="24" fillId="0" borderId="6" xfId="20" applyAlignment="1">
      <alignment horizontal="left"/>
    </xf>
    <xf numFmtId="1" fontId="27" fillId="8" borderId="8" xfId="44" applyNumberFormat="1" applyFont="1"/>
    <xf numFmtId="9" fontId="27" fillId="8" borderId="8" xfId="45" applyFont="1" applyFill="1" applyBorder="1"/>
    <xf numFmtId="9" fontId="27" fillId="6" borderId="5" xfId="45" applyFont="1" applyFill="1" applyBorder="1"/>
    <xf numFmtId="0" fontId="25" fillId="0" borderId="0" xfId="21" applyBorder="1" applyAlignment="1">
      <alignment horizontal="left"/>
    </xf>
    <xf numFmtId="9" fontId="34" fillId="6" borderId="5" xfId="27" applyNumberFormat="1" applyFont="1"/>
    <xf numFmtId="2" fontId="34" fillId="6" borderId="5" xfId="27" applyNumberFormat="1" applyFont="1"/>
    <xf numFmtId="172" fontId="34" fillId="6" borderId="5" xfId="27" applyNumberFormat="1" applyFont="1"/>
    <xf numFmtId="173" fontId="27" fillId="0" borderId="5" xfId="27" applyNumberFormat="1" applyFill="1"/>
    <xf numFmtId="1" fontId="27" fillId="0" borderId="5" xfId="27" applyNumberFormat="1" applyFill="1"/>
    <xf numFmtId="9" fontId="34" fillId="6" borderId="5" xfId="45" applyFont="1" applyFill="1" applyBorder="1"/>
    <xf numFmtId="173" fontId="34" fillId="6" borderId="5" xfId="27" applyNumberFormat="1" applyFont="1"/>
    <xf numFmtId="2" fontId="40" fillId="0" borderId="5" xfId="27" applyNumberFormat="1" applyFont="1" applyFill="1"/>
    <xf numFmtId="1" fontId="33" fillId="0" borderId="0" xfId="0" applyNumberFormat="1" applyFont="1"/>
    <xf numFmtId="9" fontId="15" fillId="0" borderId="0" xfId="45" applyFont="1"/>
    <xf numFmtId="0" fontId="0" fillId="0" borderId="0" xfId="0" applyAlignment="1">
      <alignment wrapText="1"/>
    </xf>
    <xf numFmtId="14" fontId="0" fillId="0" borderId="0" xfId="0" applyNumberFormat="1"/>
    <xf numFmtId="0" fontId="33" fillId="0" borderId="3" xfId="0" applyFont="1" applyBorder="1"/>
    <xf numFmtId="0" fontId="25" fillId="0" borderId="7" xfId="22" applyAlignment="1">
      <alignment horizontal="left"/>
    </xf>
    <xf numFmtId="0" fontId="25" fillId="0" borderId="7" xfId="22"/>
    <xf numFmtId="0" fontId="15" fillId="0" borderId="4" xfId="31" applyBorder="1"/>
    <xf numFmtId="0" fontId="15" fillId="0" borderId="0" xfId="31"/>
    <xf numFmtId="2" fontId="15" fillId="0" borderId="4" xfId="31" applyNumberFormat="1" applyBorder="1"/>
    <xf numFmtId="2" fontId="15" fillId="0" borderId="0" xfId="31" applyNumberFormat="1"/>
    <xf numFmtId="0" fontId="2" fillId="10" borderId="0" xfId="31" applyFont="1" applyFill="1" applyAlignment="1">
      <alignment horizontal="left"/>
    </xf>
    <xf numFmtId="0" fontId="15" fillId="10" borderId="0" xfId="31" applyFill="1"/>
    <xf numFmtId="0" fontId="15" fillId="11" borderId="0" xfId="31" applyFill="1"/>
    <xf numFmtId="9" fontId="15" fillId="11" borderId="0" xfId="31" applyNumberFormat="1" applyFill="1"/>
    <xf numFmtId="173" fontId="15" fillId="0" borderId="0" xfId="31" applyNumberFormat="1"/>
    <xf numFmtId="1" fontId="15" fillId="0" borderId="4" xfId="31" applyNumberFormat="1" applyBorder="1"/>
    <xf numFmtId="1" fontId="15" fillId="0" borderId="0" xfId="31" applyNumberFormat="1"/>
    <xf numFmtId="0" fontId="15" fillId="0" borderId="9" xfId="31" applyBorder="1"/>
    <xf numFmtId="173" fontId="15" fillId="0" borderId="4" xfId="31" applyNumberFormat="1" applyBorder="1"/>
    <xf numFmtId="2" fontId="27" fillId="11" borderId="5" xfId="28" applyNumberFormat="1" applyFill="1"/>
    <xf numFmtId="2" fontId="15" fillId="10" borderId="0" xfId="31" applyNumberFormat="1" applyFill="1"/>
    <xf numFmtId="2" fontId="15" fillId="10" borderId="4" xfId="31" applyNumberFormat="1" applyFill="1" applyBorder="1"/>
    <xf numFmtId="3" fontId="15" fillId="0" borderId="0" xfId="31" applyNumberFormat="1"/>
    <xf numFmtId="0" fontId="41" fillId="0" borderId="7" xfId="22" applyFont="1" applyAlignment="1">
      <alignment horizontal="left"/>
    </xf>
    <xf numFmtId="1" fontId="27" fillId="6" borderId="5" xfId="28" applyNumberFormat="1"/>
    <xf numFmtId="173" fontId="27" fillId="6" borderId="5" xfId="28" applyNumberFormat="1"/>
    <xf numFmtId="174" fontId="15" fillId="0" borderId="0" xfId="31" applyNumberFormat="1"/>
    <xf numFmtId="0" fontId="33" fillId="0" borderId="0" xfId="31" applyFont="1"/>
    <xf numFmtId="2" fontId="27" fillId="6" borderId="5" xfId="28" applyNumberFormat="1"/>
    <xf numFmtId="172" fontId="0" fillId="0" borderId="0" xfId="45" applyNumberFormat="1" applyFont="1"/>
    <xf numFmtId="0" fontId="42" fillId="4" borderId="0" xfId="3" applyFont="1"/>
    <xf numFmtId="0" fontId="37" fillId="0" borderId="0" xfId="0" applyFont="1" applyAlignment="1">
      <alignment horizontal="center"/>
    </xf>
    <xf numFmtId="9" fontId="27" fillId="6" borderId="10" xfId="27" applyNumberFormat="1" applyBorder="1"/>
    <xf numFmtId="175" fontId="15"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7" fillId="0" borderId="15" xfId="0" applyFont="1" applyBorder="1"/>
    <xf numFmtId="177" fontId="0" fillId="0" borderId="0" xfId="0" applyNumberFormat="1"/>
    <xf numFmtId="177" fontId="33"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7" fillId="0" borderId="15" xfId="0" applyNumberFormat="1" applyFont="1" applyBorder="1"/>
    <xf numFmtId="0" fontId="74" fillId="0" borderId="0" xfId="0" applyFont="1"/>
    <xf numFmtId="0" fontId="0" fillId="0" borderId="0" xfId="0" applyAlignment="1">
      <alignment horizontal="right"/>
    </xf>
    <xf numFmtId="172" fontId="27" fillId="0" borderId="5" xfId="27" applyNumberFormat="1" applyFill="1"/>
    <xf numFmtId="10" fontId="27" fillId="0" borderId="5" xfId="27" applyNumberFormat="1" applyFill="1"/>
    <xf numFmtId="172" fontId="0" fillId="0" borderId="4" xfId="0" applyNumberFormat="1" applyBorder="1"/>
    <xf numFmtId="2" fontId="42" fillId="4" borderId="0" xfId="3" applyNumberFormat="1" applyFont="1"/>
    <xf numFmtId="167" fontId="42" fillId="4" borderId="0" xfId="3" applyNumberFormat="1" applyFont="1"/>
    <xf numFmtId="15" fontId="0" fillId="0" borderId="0" xfId="0" applyNumberFormat="1"/>
    <xf numFmtId="0" fontId="0" fillId="0" borderId="0" xfId="31" applyFont="1"/>
    <xf numFmtId="9" fontId="15" fillId="0" borderId="0" xfId="31" applyNumberFormat="1"/>
    <xf numFmtId="10" fontId="16" fillId="4" borderId="0" xfId="3" applyNumberFormat="1"/>
    <xf numFmtId="167" fontId="2" fillId="0" borderId="0" xfId="11" applyNumberFormat="1" applyFill="1" applyBorder="1"/>
    <xf numFmtId="2" fontId="0" fillId="0" borderId="15" xfId="0" applyNumberFormat="1" applyBorder="1"/>
    <xf numFmtId="0" fontId="25" fillId="0" borderId="43" xfId="21" applyBorder="1"/>
    <xf numFmtId="0" fontId="25" fillId="9" borderId="7" xfId="22" applyFill="1" applyAlignment="1">
      <alignment horizontal="left"/>
    </xf>
    <xf numFmtId="0" fontId="25" fillId="9" borderId="7" xfId="22" applyFill="1"/>
    <xf numFmtId="1" fontId="27" fillId="6" borderId="44" xfId="28" applyNumberFormat="1" applyBorder="1"/>
    <xf numFmtId="0" fontId="15" fillId="0" borderId="15" xfId="31" applyBorder="1"/>
    <xf numFmtId="0" fontId="25" fillId="0" borderId="43" xfId="22" applyBorder="1"/>
    <xf numFmtId="2" fontId="27" fillId="6" borderId="46" xfId="28" applyNumberFormat="1" applyBorder="1"/>
    <xf numFmtId="0" fontId="33" fillId="0" borderId="15" xfId="31" applyFont="1" applyBorder="1"/>
    <xf numFmtId="0" fontId="151" fillId="0" borderId="7" xfId="22" applyFont="1"/>
    <xf numFmtId="176" fontId="15" fillId="0" borderId="0" xfId="3924" applyNumberFormat="1" applyBorder="1"/>
    <xf numFmtId="0" fontId="25" fillId="0" borderId="15" xfId="22" applyBorder="1"/>
    <xf numFmtId="0" fontId="25" fillId="0" borderId="0" xfId="22" applyBorder="1"/>
    <xf numFmtId="0" fontId="152" fillId="0" borderId="7" xfId="22" applyFont="1"/>
    <xf numFmtId="0" fontId="152" fillId="0" borderId="0" xfId="22" applyFont="1" applyBorder="1" applyAlignment="1">
      <alignment horizontal="left"/>
    </xf>
    <xf numFmtId="173" fontId="33" fillId="0" borderId="32" xfId="31" applyNumberFormat="1" applyFont="1" applyBorder="1"/>
    <xf numFmtId="0" fontId="153" fillId="0" borderId="0" xfId="33" applyFont="1"/>
    <xf numFmtId="0" fontId="15" fillId="0" borderId="3" xfId="31" applyBorder="1"/>
    <xf numFmtId="2" fontId="15" fillId="0" borderId="15" xfId="31" applyNumberFormat="1" applyBorder="1"/>
    <xf numFmtId="0" fontId="152" fillId="0" borderId="7" xfId="22" applyFont="1" applyAlignment="1">
      <alignment horizontal="left"/>
    </xf>
    <xf numFmtId="1" fontId="33" fillId="0" borderId="0" xfId="31" applyNumberFormat="1" applyFont="1"/>
    <xf numFmtId="1" fontId="40" fillId="6" borderId="5" xfId="28" applyNumberFormat="1" applyFont="1"/>
    <xf numFmtId="1" fontId="40" fillId="6" borderId="44" xfId="28" applyNumberFormat="1" applyFont="1" applyBorder="1"/>
    <xf numFmtId="0" fontId="15" fillId="0" borderId="47" xfId="31" applyBorder="1"/>
    <xf numFmtId="1" fontId="15" fillId="0" borderId="15" xfId="31" applyNumberFormat="1" applyBorder="1"/>
    <xf numFmtId="0" fontId="15" fillId="0" borderId="45" xfId="31" applyBorder="1"/>
    <xf numFmtId="1" fontId="33" fillId="75" borderId="0" xfId="31" applyNumberFormat="1" applyFont="1" applyFill="1"/>
    <xf numFmtId="174" fontId="15" fillId="8" borderId="8" xfId="44" applyNumberFormat="1" applyFont="1"/>
    <xf numFmtId="9" fontId="15" fillId="0" borderId="0" xfId="45" applyFill="1" applyBorder="1"/>
    <xf numFmtId="9" fontId="15" fillId="0" borderId="15" xfId="45" applyFill="1" applyBorder="1"/>
    <xf numFmtId="0" fontId="0" fillId="10" borderId="0" xfId="31" applyFont="1" applyFill="1"/>
    <xf numFmtId="9" fontId="15" fillId="10" borderId="0" xfId="31" applyNumberFormat="1" applyFill="1"/>
    <xf numFmtId="2" fontId="159" fillId="6" borderId="5" xfId="27" applyNumberFormat="1" applyFont="1"/>
    <xf numFmtId="9" fontId="0" fillId="10" borderId="0" xfId="0" applyNumberFormat="1" applyFill="1"/>
    <xf numFmtId="0" fontId="39"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0" fillId="76" borderId="5" xfId="30" applyFont="1" applyFill="1" applyBorder="1" applyAlignment="1">
      <alignment horizontal="center"/>
    </xf>
    <xf numFmtId="0" fontId="161" fillId="7" borderId="5" xfId="30" applyFont="1" applyBorder="1" applyAlignment="1">
      <alignment horizontal="center"/>
    </xf>
    <xf numFmtId="0" fontId="0" fillId="0" borderId="0" xfId="0" quotePrefix="1" applyAlignment="1">
      <alignment horizontal="center"/>
    </xf>
    <xf numFmtId="9" fontId="15" fillId="10" borderId="0" xfId="45" applyFill="1" applyBorder="1"/>
    <xf numFmtId="173" fontId="27"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2" fillId="77" borderId="0" xfId="0" applyFont="1" applyFill="1"/>
    <xf numFmtId="0" fontId="0" fillId="78" borderId="0" xfId="0" applyFill="1"/>
    <xf numFmtId="2" fontId="0" fillId="78" borderId="0" xfId="0" applyNumberFormat="1" applyFill="1"/>
    <xf numFmtId="9" fontId="46" fillId="34" borderId="0" xfId="4424" applyNumberFormat="1"/>
    <xf numFmtId="0" fontId="46" fillId="34" borderId="0" xfId="4424"/>
    <xf numFmtId="0" fontId="34" fillId="0" borderId="0" xfId="0" applyFont="1"/>
    <xf numFmtId="22" fontId="0" fillId="0" borderId="0" xfId="0" applyNumberFormat="1"/>
    <xf numFmtId="2" fontId="15" fillId="80" borderId="0" xfId="31" applyNumberFormat="1" applyFill="1"/>
    <xf numFmtId="173" fontId="18" fillId="80" borderId="5" xfId="6" applyNumberFormat="1" applyFill="1"/>
    <xf numFmtId="173" fontId="15" fillId="80" borderId="4" xfId="31" applyNumberFormat="1" applyFill="1" applyBorder="1"/>
    <xf numFmtId="2" fontId="34" fillId="0" borderId="0" xfId="31" applyNumberFormat="1" applyFont="1"/>
    <xf numFmtId="0" fontId="34" fillId="10" borderId="0" xfId="31" applyFont="1" applyFill="1"/>
    <xf numFmtId="0" fontId="34" fillId="10" borderId="9" xfId="31" applyFont="1" applyFill="1" applyBorder="1"/>
    <xf numFmtId="0" fontId="164" fillId="0" borderId="0" xfId="0" applyFont="1"/>
    <xf numFmtId="0" fontId="165" fillId="0" borderId="0" xfId="0" applyFont="1"/>
    <xf numFmtId="173" fontId="164" fillId="0" borderId="0" xfId="0" applyNumberFormat="1" applyFont="1"/>
    <xf numFmtId="2" fontId="164" fillId="0" borderId="0" xfId="0" applyNumberFormat="1" applyFont="1"/>
    <xf numFmtId="2" fontId="15" fillId="0" borderId="0" xfId="45" applyNumberFormat="1"/>
    <xf numFmtId="9" fontId="15" fillId="8" borderId="8" xfId="44" applyNumberFormat="1"/>
    <xf numFmtId="9" fontId="27" fillId="0" borderId="5" xfId="45" applyFont="1" applyBorder="1"/>
    <xf numFmtId="9" fontId="15" fillId="0" borderId="0" xfId="45"/>
    <xf numFmtId="173" fontId="15" fillId="0" borderId="0" xfId="45" applyNumberFormat="1"/>
    <xf numFmtId="1" fontId="15" fillId="0" borderId="8" xfId="44" applyNumberFormat="1" applyFill="1"/>
    <xf numFmtId="1" fontId="2" fillId="0" borderId="0" xfId="11" applyNumberFormat="1"/>
    <xf numFmtId="176" fontId="2" fillId="0" borderId="0" xfId="11" applyNumberFormat="1"/>
    <xf numFmtId="9" fontId="15" fillId="0" borderId="4" xfId="45" applyBorder="1"/>
    <xf numFmtId="172" fontId="15" fillId="0" borderId="0" xfId="45" applyNumberFormat="1"/>
    <xf numFmtId="172" fontId="15" fillId="0" borderId="4" xfId="45" applyNumberFormat="1" applyBorder="1"/>
    <xf numFmtId="172" fontId="27" fillId="0" borderId="5" xfId="45" applyNumberFormat="1" applyFont="1" applyBorder="1"/>
    <xf numFmtId="0" fontId="15" fillId="8" borderId="8" xfId="44"/>
    <xf numFmtId="0" fontId="15" fillId="0" borderId="4" xfId="45" applyNumberFormat="1" applyBorder="1"/>
    <xf numFmtId="1" fontId="27" fillId="0" borderId="5" xfId="45" applyNumberFormat="1" applyFont="1" applyBorder="1"/>
    <xf numFmtId="0" fontId="15" fillId="0" borderId="0" xfId="45" applyNumberFormat="1"/>
    <xf numFmtId="173" fontId="15" fillId="0" borderId="4" xfId="45" applyNumberFormat="1" applyBorder="1"/>
    <xf numFmtId="172" fontId="33" fillId="0" borderId="0" xfId="0" applyNumberFormat="1" applyFont="1"/>
    <xf numFmtId="172" fontId="33" fillId="0" borderId="0" xfId="45" applyNumberFormat="1" applyFont="1"/>
    <xf numFmtId="167" fontId="27" fillId="6" borderId="5" xfId="3924" applyFont="1" applyFill="1" applyBorder="1"/>
    <xf numFmtId="10" fontId="0" fillId="10" borderId="0" xfId="0" applyNumberFormat="1" applyFill="1"/>
    <xf numFmtId="9" fontId="15" fillId="8" borderId="8" xfId="45" applyFill="1" applyBorder="1"/>
    <xf numFmtId="9" fontId="18" fillId="5" borderId="5" xfId="45" applyFont="1" applyFill="1" applyBorder="1" applyAlignment="1">
      <alignment horizontal="center"/>
    </xf>
    <xf numFmtId="0" fontId="25" fillId="0" borderId="7" xfId="21" applyAlignment="1">
      <alignment horizontal="center"/>
    </xf>
    <xf numFmtId="10" fontId="34" fillId="6" borderId="5" xfId="27" applyNumberFormat="1" applyFont="1"/>
    <xf numFmtId="0" fontId="33" fillId="0" borderId="0" xfId="0" applyFont="1" applyAlignment="1">
      <alignment horizontal="center"/>
    </xf>
    <xf numFmtId="173" fontId="33" fillId="0" borderId="0" xfId="0" applyNumberFormat="1" applyFont="1" applyAlignment="1">
      <alignment horizontal="center"/>
    </xf>
    <xf numFmtId="173" fontId="167" fillId="0" borderId="0" xfId="0" applyNumberFormat="1" applyFont="1"/>
    <xf numFmtId="0" fontId="155" fillId="0" borderId="0" xfId="4430"/>
    <xf numFmtId="0" fontId="2" fillId="0" borderId="0" xfId="31" applyFont="1" applyAlignment="1">
      <alignment horizontal="left"/>
    </xf>
    <xf numFmtId="0" fontId="15" fillId="10" borderId="4" xfId="31" applyFill="1" applyBorder="1"/>
    <xf numFmtId="9" fontId="15" fillId="9" borderId="0" xfId="31" applyNumberFormat="1" applyFill="1"/>
    <xf numFmtId="0" fontId="154" fillId="0" borderId="3" xfId="31" applyFont="1" applyBorder="1" applyAlignment="1">
      <alignment horizontal="left"/>
    </xf>
    <xf numFmtId="0" fontId="89" fillId="0" borderId="0" xfId="31" applyFont="1" applyAlignment="1">
      <alignment horizontal="left"/>
    </xf>
    <xf numFmtId="0" fontId="154" fillId="0" borderId="0" xfId="31" applyFont="1" applyAlignment="1">
      <alignment horizontal="left"/>
    </xf>
    <xf numFmtId="0" fontId="33" fillId="0" borderId="32" xfId="31" applyFont="1" applyBorder="1"/>
    <xf numFmtId="0" fontId="15" fillId="0" borderId="32" xfId="31" applyBorder="1"/>
    <xf numFmtId="174" fontId="15" fillId="0" borderId="32" xfId="31" applyNumberFormat="1" applyBorder="1"/>
    <xf numFmtId="9" fontId="34" fillId="8" borderId="8" xfId="44" applyNumberFormat="1" applyFont="1"/>
    <xf numFmtId="188" fontId="159" fillId="0" borderId="59" xfId="2765" applyNumberFormat="1" applyFont="1" applyBorder="1" applyAlignment="1">
      <alignment vertical="center" wrapText="1"/>
    </xf>
    <xf numFmtId="174" fontId="159" fillId="0" borderId="0" xfId="0" applyNumberFormat="1" applyFont="1"/>
    <xf numFmtId="2" fontId="159" fillId="0" borderId="0" xfId="0" applyNumberFormat="1" applyFont="1"/>
    <xf numFmtId="9" fontId="27" fillId="38" borderId="5" xfId="27" applyNumberFormat="1" applyFill="1"/>
    <xf numFmtId="9" fontId="27" fillId="38" borderId="5" xfId="45" applyFont="1" applyFill="1" applyBorder="1"/>
    <xf numFmtId="2" fontId="0" fillId="38" borderId="0" xfId="0" applyNumberFormat="1" applyFill="1"/>
    <xf numFmtId="172" fontId="15" fillId="8" borderId="8" xfId="44" applyNumberFormat="1"/>
    <xf numFmtId="10" fontId="27" fillId="0" borderId="5" xfId="45" applyNumberFormat="1" applyFont="1" applyBorder="1"/>
    <xf numFmtId="10" fontId="27" fillId="38" borderId="5" xfId="45" applyNumberFormat="1" applyFont="1" applyFill="1" applyBorder="1"/>
    <xf numFmtId="172" fontId="27" fillId="38" borderId="5" xfId="45" applyNumberFormat="1" applyFont="1" applyFill="1" applyBorder="1"/>
    <xf numFmtId="1" fontId="154" fillId="0" borderId="0" xfId="11" applyNumberFormat="1" applyFont="1"/>
    <xf numFmtId="1" fontId="25" fillId="0" borderId="7" xfId="21" applyNumberFormat="1" applyAlignment="1">
      <alignment horizontal="left"/>
    </xf>
    <xf numFmtId="2" fontId="167" fillId="0" borderId="0" xfId="0" applyNumberFormat="1" applyFont="1"/>
    <xf numFmtId="0" fontId="167" fillId="10" borderId="0" xfId="0" applyFont="1" applyFill="1" applyAlignment="1">
      <alignment horizontal="center"/>
    </xf>
    <xf numFmtId="2" fontId="167" fillId="10" borderId="0" xfId="45" applyNumberFormat="1" applyFont="1" applyFill="1" applyAlignment="1">
      <alignment horizontal="center"/>
    </xf>
    <xf numFmtId="0" fontId="168" fillId="0" borderId="0" xfId="0" applyFont="1"/>
    <xf numFmtId="2" fontId="0" fillId="9" borderId="0" xfId="0" applyNumberFormat="1" applyFill="1"/>
    <xf numFmtId="173" fontId="15" fillId="9" borderId="0" xfId="45" applyNumberFormat="1" applyFill="1"/>
    <xf numFmtId="172" fontId="15"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3" fillId="38" borderId="0" xfId="0" applyNumberFormat="1" applyFont="1" applyFill="1"/>
    <xf numFmtId="0" fontId="0" fillId="81" borderId="0" xfId="0" applyFill="1"/>
    <xf numFmtId="2" fontId="0" fillId="81" borderId="0" xfId="0" applyNumberFormat="1" applyFill="1"/>
    <xf numFmtId="0" fontId="37" fillId="81" borderId="0" xfId="0" applyFont="1" applyFill="1" applyAlignment="1">
      <alignment horizontal="center"/>
    </xf>
    <xf numFmtId="0" fontId="37" fillId="81" borderId="0" xfId="0" applyFont="1" applyFill="1"/>
    <xf numFmtId="0" fontId="34" fillId="81" borderId="0" xfId="0" applyFont="1" applyFill="1"/>
    <xf numFmtId="172" fontId="34" fillId="0" borderId="5" xfId="45" applyNumberFormat="1" applyFont="1" applyBorder="1"/>
    <xf numFmtId="173" fontId="27" fillId="6" borderId="5" xfId="27" applyNumberFormat="1"/>
    <xf numFmtId="173" fontId="34" fillId="0" borderId="5" xfId="27" applyNumberFormat="1" applyFont="1" applyFill="1"/>
    <xf numFmtId="2" fontId="18" fillId="5" borderId="5" xfId="6" applyNumberFormat="1"/>
    <xf numFmtId="173" fontId="51" fillId="15" borderId="5" xfId="65" applyNumberFormat="1" applyBorder="1"/>
    <xf numFmtId="177" fontId="51" fillId="15" borderId="5" xfId="65" applyNumberFormat="1" applyBorder="1"/>
    <xf numFmtId="172" fontId="51" fillId="15" borderId="5" xfId="65" applyNumberFormat="1" applyBorder="1"/>
    <xf numFmtId="174" fontId="51" fillId="15" borderId="5" xfId="65" applyNumberFormat="1" applyBorder="1"/>
    <xf numFmtId="0" fontId="51" fillId="15" borderId="5" xfId="65" applyBorder="1"/>
    <xf numFmtId="2" fontId="0" fillId="0" borderId="0" xfId="0" quotePrefix="1" applyNumberFormat="1"/>
    <xf numFmtId="2" fontId="15" fillId="80" borderId="4" xfId="31" applyNumberFormat="1" applyFill="1" applyBorder="1"/>
    <xf numFmtId="177" fontId="144" fillId="15" borderId="5" xfId="65" applyNumberFormat="1" applyFont="1" applyBorder="1"/>
    <xf numFmtId="173" fontId="144" fillId="15" borderId="5" xfId="65" applyNumberFormat="1" applyFont="1" applyBorder="1"/>
    <xf numFmtId="172" fontId="51" fillId="15" borderId="5" xfId="45" applyNumberFormat="1" applyFont="1" applyFill="1" applyBorder="1"/>
    <xf numFmtId="0" fontId="15" fillId="15" borderId="5" xfId="4431" applyBorder="1"/>
    <xf numFmtId="0" fontId="15" fillId="19" borderId="5" xfId="4432" applyBorder="1"/>
    <xf numFmtId="9" fontId="34" fillId="0" borderId="5" xfId="45" applyFont="1" applyBorder="1"/>
    <xf numFmtId="174" fontId="18"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69" fillId="0" borderId="0" xfId="0" applyFont="1"/>
    <xf numFmtId="0" fontId="0" fillId="0" borderId="60" xfId="0" applyBorder="1"/>
    <xf numFmtId="1" fontId="0" fillId="0" borderId="60" xfId="0" applyNumberFormat="1" applyBorder="1"/>
    <xf numFmtId="2" fontId="0" fillId="0" borderId="60" xfId="0" applyNumberFormat="1" applyBorder="1"/>
    <xf numFmtId="0" fontId="167" fillId="0" borderId="0" xfId="0" applyFont="1"/>
    <xf numFmtId="174" fontId="33" fillId="0" borderId="0" xfId="0" applyNumberFormat="1" applyFont="1"/>
    <xf numFmtId="2" fontId="0" fillId="0" borderId="0" xfId="45" applyNumberFormat="1" applyFont="1"/>
    <xf numFmtId="2" fontId="144" fillId="15" borderId="5" xfId="65" applyNumberFormat="1" applyFont="1" applyBorder="1"/>
    <xf numFmtId="10" fontId="0" fillId="0" borderId="0" xfId="45" applyNumberFormat="1" applyFont="1"/>
    <xf numFmtId="0" fontId="18" fillId="5" borderId="5" xfId="6"/>
    <xf numFmtId="2" fontId="34" fillId="0" borderId="5" xfId="27" applyNumberFormat="1" applyFont="1" applyFill="1"/>
    <xf numFmtId="9" fontId="34" fillId="0" borderId="5" xfId="27" applyNumberFormat="1" applyFont="1" applyFill="1"/>
    <xf numFmtId="174" fontId="15" fillId="0" borderId="0" xfId="45" applyNumberFormat="1"/>
    <xf numFmtId="189" fontId="15" fillId="11" borderId="0" xfId="31" applyNumberFormat="1" applyFill="1"/>
    <xf numFmtId="189" fontId="15" fillId="10" borderId="0" xfId="45" applyNumberFormat="1" applyFill="1"/>
    <xf numFmtId="0" fontId="15" fillId="0" borderId="0" xfId="31" applyAlignment="1">
      <alignment vertical="top" wrapText="1"/>
    </xf>
    <xf numFmtId="189" fontId="15" fillId="0" borderId="0" xfId="45" applyNumberFormat="1"/>
    <xf numFmtId="189" fontId="15" fillId="0" borderId="0" xfId="31" applyNumberFormat="1"/>
    <xf numFmtId="10" fontId="15" fillId="0" borderId="0" xfId="31" applyNumberFormat="1"/>
    <xf numFmtId="9" fontId="15" fillId="0" borderId="0" xfId="45" applyAlignment="1">
      <alignment vertical="top" wrapText="1"/>
    </xf>
    <xf numFmtId="190" fontId="15" fillId="0" borderId="0" xfId="45" applyNumberFormat="1" applyFill="1" applyBorder="1"/>
    <xf numFmtId="174" fontId="27" fillId="6" borderId="46" xfId="28" applyNumberFormat="1" applyBorder="1"/>
    <xf numFmtId="174" fontId="27" fillId="6" borderId="5" xfId="28" applyNumberFormat="1"/>
    <xf numFmtId="0" fontId="170" fillId="10" borderId="0" xfId="0" applyFont="1" applyFill="1" applyAlignment="1">
      <alignment wrapText="1"/>
    </xf>
    <xf numFmtId="173" fontId="18" fillId="5" borderId="10" xfId="6" applyNumberFormat="1" applyBorder="1"/>
    <xf numFmtId="0" fontId="0" fillId="0" borderId="61" xfId="0" applyBorder="1"/>
    <xf numFmtId="0" fontId="0" fillId="0" borderId="62" xfId="0" applyBorder="1"/>
    <xf numFmtId="0" fontId="0" fillId="0" borderId="63" xfId="0" applyBorder="1"/>
    <xf numFmtId="0" fontId="0" fillId="0" borderId="64" xfId="0" applyBorder="1"/>
    <xf numFmtId="0" fontId="0" fillId="0" borderId="65" xfId="0" applyBorder="1"/>
    <xf numFmtId="1" fontId="154" fillId="0" borderId="0" xfId="11" applyNumberFormat="1" applyFont="1" applyBorder="1"/>
    <xf numFmtId="1" fontId="154" fillId="0" borderId="65" xfId="11" applyNumberFormat="1" applyFont="1" applyBorder="1"/>
    <xf numFmtId="173" fontId="0" fillId="9" borderId="0" xfId="0" applyNumberFormat="1" applyFill="1"/>
    <xf numFmtId="0" fontId="0" fillId="0" borderId="66" xfId="0" applyBorder="1"/>
    <xf numFmtId="173" fontId="0" fillId="0" borderId="67" xfId="0" applyNumberFormat="1" applyBorder="1"/>
    <xf numFmtId="0" fontId="172" fillId="0" borderId="61" xfId="0" applyFont="1" applyBorder="1"/>
    <xf numFmtId="2" fontId="27" fillId="0" borderId="10" xfId="27" applyNumberFormat="1" applyFill="1" applyBorder="1"/>
    <xf numFmtId="173" fontId="27" fillId="0" borderId="69" xfId="27" applyNumberFormat="1" applyFill="1" applyBorder="1"/>
    <xf numFmtId="2" fontId="27" fillId="6" borderId="69" xfId="27" applyNumberFormat="1" applyBorder="1"/>
    <xf numFmtId="2" fontId="27" fillId="6" borderId="70" xfId="27" applyNumberFormat="1" applyBorder="1"/>
    <xf numFmtId="2" fontId="0" fillId="0" borderId="64" xfId="0" applyNumberFormat="1" applyBorder="1"/>
    <xf numFmtId="2" fontId="15" fillId="0" borderId="65" xfId="45" applyNumberFormat="1" applyBorder="1"/>
    <xf numFmtId="2" fontId="0" fillId="0" borderId="66" xfId="0" applyNumberFormat="1" applyBorder="1"/>
    <xf numFmtId="2" fontId="0" fillId="0" borderId="67" xfId="0" applyNumberFormat="1" applyBorder="1"/>
    <xf numFmtId="2" fontId="15" fillId="0" borderId="68" xfId="45" applyNumberFormat="1" applyBorder="1"/>
    <xf numFmtId="0" fontId="171" fillId="0" borderId="62" xfId="0" applyFont="1" applyBorder="1"/>
    <xf numFmtId="0" fontId="172" fillId="0" borderId="62" xfId="0" applyFont="1" applyBorder="1"/>
    <xf numFmtId="9" fontId="27" fillId="10" borderId="8" xfId="45" applyFont="1" applyFill="1" applyBorder="1"/>
    <xf numFmtId="172" fontId="27" fillId="10" borderId="8" xfId="45" applyNumberFormat="1" applyFont="1" applyFill="1" applyBorder="1"/>
    <xf numFmtId="9" fontId="34" fillId="10" borderId="5" xfId="45" applyFont="1" applyFill="1" applyBorder="1"/>
    <xf numFmtId="9" fontId="46" fillId="86" borderId="5" xfId="45" applyFont="1" applyFill="1" applyBorder="1"/>
    <xf numFmtId="0" fontId="171" fillId="0" borderId="0" xfId="0" applyFont="1"/>
    <xf numFmtId="2" fontId="27" fillId="81" borderId="5" xfId="27" applyNumberFormat="1" applyFill="1"/>
    <xf numFmtId="2" fontId="0" fillId="81" borderId="67" xfId="0" applyNumberFormat="1" applyFill="1" applyBorder="1"/>
    <xf numFmtId="2" fontId="34" fillId="81" borderId="0" xfId="0" applyNumberFormat="1" applyFont="1" applyFill="1"/>
    <xf numFmtId="173" fontId="0" fillId="84" borderId="0" xfId="0" applyNumberFormat="1" applyFill="1"/>
    <xf numFmtId="173" fontId="0" fillId="84" borderId="67" xfId="0" applyNumberFormat="1" applyFill="1" applyBorder="1"/>
    <xf numFmtId="173" fontId="0" fillId="9" borderId="71" xfId="0" applyNumberFormat="1" applyFill="1" applyBorder="1"/>
    <xf numFmtId="173" fontId="0" fillId="9" borderId="72" xfId="0" applyNumberFormat="1" applyFill="1" applyBorder="1"/>
    <xf numFmtId="173" fontId="0" fillId="9" borderId="73" xfId="0" applyNumberFormat="1" applyFill="1" applyBorder="1"/>
    <xf numFmtId="173" fontId="0" fillId="9" borderId="74" xfId="0" applyNumberFormat="1" applyFill="1" applyBorder="1"/>
    <xf numFmtId="173" fontId="0" fillId="9" borderId="75" xfId="0" applyNumberFormat="1" applyFill="1" applyBorder="1"/>
    <xf numFmtId="173" fontId="0" fillId="9" borderId="76" xfId="0" applyNumberFormat="1" applyFill="1" applyBorder="1"/>
    <xf numFmtId="173" fontId="0" fillId="9" borderId="77" xfId="0" applyNumberFormat="1" applyFill="1" applyBorder="1"/>
    <xf numFmtId="173" fontId="0" fillId="9" borderId="78" xfId="0" applyNumberFormat="1" applyFill="1" applyBorder="1"/>
    <xf numFmtId="0" fontId="0" fillId="9" borderId="0" xfId="0" applyFill="1"/>
    <xf numFmtId="0" fontId="171" fillId="0" borderId="67" xfId="0" applyFont="1" applyBorder="1"/>
    <xf numFmtId="2" fontId="27" fillId="6" borderId="79" xfId="27" applyNumberFormat="1" applyBorder="1"/>
    <xf numFmtId="2" fontId="15" fillId="0" borderId="0" xfId="45" applyNumberFormat="1" applyBorder="1"/>
    <xf numFmtId="2" fontId="27" fillId="38" borderId="80" xfId="27" applyNumberFormat="1" applyFill="1" applyBorder="1"/>
    <xf numFmtId="2" fontId="15" fillId="38" borderId="67" xfId="45" applyNumberFormat="1" applyFill="1" applyBorder="1"/>
    <xf numFmtId="2" fontId="0" fillId="87" borderId="0" xfId="0" applyNumberFormat="1" applyFill="1"/>
    <xf numFmtId="9" fontId="27" fillId="87" borderId="5" xfId="27" applyNumberFormat="1" applyFill="1"/>
    <xf numFmtId="2" fontId="27" fillId="87" borderId="5" xfId="27" applyNumberFormat="1" applyFill="1"/>
    <xf numFmtId="2" fontId="0" fillId="83" borderId="0" xfId="0" applyNumberFormat="1" applyFill="1"/>
    <xf numFmtId="2" fontId="27" fillId="84" borderId="5" xfId="27" applyNumberFormat="1" applyFill="1"/>
    <xf numFmtId="2" fontId="15" fillId="84" borderId="0" xfId="45" applyNumberFormat="1" applyFill="1"/>
    <xf numFmtId="2" fontId="34" fillId="84" borderId="5" xfId="27" applyNumberFormat="1" applyFont="1" applyFill="1"/>
    <xf numFmtId="0" fontId="170" fillId="38" borderId="81" xfId="0" applyFont="1" applyFill="1" applyBorder="1" applyAlignment="1">
      <alignment wrapText="1"/>
    </xf>
    <xf numFmtId="172" fontId="34" fillId="38" borderId="82" xfId="45" applyNumberFormat="1" applyFont="1" applyFill="1" applyBorder="1"/>
    <xf numFmtId="9" fontId="171" fillId="38" borderId="5" xfId="27" applyNumberFormat="1" applyFont="1" applyFill="1"/>
    <xf numFmtId="172" fontId="171" fillId="11" borderId="0" xfId="45" applyNumberFormat="1" applyFont="1" applyFill="1"/>
    <xf numFmtId="9" fontId="171" fillId="11" borderId="0" xfId="45" applyFont="1" applyFill="1"/>
    <xf numFmtId="2" fontId="171" fillId="38" borderId="5" xfId="27" applyNumberFormat="1" applyFont="1" applyFill="1"/>
    <xf numFmtId="2" fontId="171" fillId="0" borderId="0" xfId="45" applyNumberFormat="1" applyFont="1"/>
    <xf numFmtId="0" fontId="174" fillId="0" borderId="0" xfId="0" applyFont="1"/>
    <xf numFmtId="0" fontId="25" fillId="0" borderId="7" xfId="21" applyAlignment="1">
      <alignment horizontal="left"/>
    </xf>
    <xf numFmtId="0" fontId="2" fillId="0" borderId="0" xfId="31" applyFont="1" applyAlignment="1">
      <alignment horizontal="left"/>
    </xf>
    <xf numFmtId="0" fontId="0" fillId="0" borderId="0" xfId="0"/>
    <xf numFmtId="0" fontId="173" fillId="0" borderId="0" xfId="0" applyFont="1" applyAlignment="1">
      <alignment horizontal="center"/>
    </xf>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a:solidFill>
                <a:schemeClr val="accent1"/>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DriversGams!$B$131:$BA$131</c:f>
              <c:numCache>
                <c:formatCode>General</c:formatCode>
                <c:ptCount val="52"/>
                <c:pt idx="0">
                  <c:v>118.318</c:v>
                </c:pt>
                <c:pt idx="1">
                  <c:v>107.464</c:v>
                </c:pt>
                <c:pt idx="2">
                  <c:v>109.577</c:v>
                </c:pt>
                <c:pt idx="3">
                  <c:v>110.503</c:v>
                </c:pt>
                <c:pt idx="4">
                  <c:v>112.52</c:v>
                </c:pt>
                <c:pt idx="5">
                  <c:v>115.176</c:v>
                </c:pt>
                <c:pt idx="6">
                  <c:v>118.041</c:v>
                </c:pt>
                <c:pt idx="7">
                  <c:v>121.706</c:v>
                </c:pt>
                <c:pt idx="8">
                  <c:v>124.937</c:v>
                </c:pt>
                <c:pt idx="9">
                  <c:v>131.876</c:v>
                </c:pt>
                <c:pt idx="10">
                  <c:v>137.161</c:v>
                </c:pt>
                <c:pt idx="11">
                  <c:v>140.69499999999999</c:v>
                </c:pt>
                <c:pt idx="12">
                  <c:v>143.66999999999999</c:v>
                </c:pt>
                <c:pt idx="13">
                  <c:v>146.92400000000001</c:v>
                </c:pt>
                <c:pt idx="14">
                  <c:v>151</c:v>
                </c:pt>
                <c:pt idx="15">
                  <c:v>155.93299999999999</c:v>
                </c:pt>
                <c:pt idx="16">
                  <c:v>166.673</c:v>
                </c:pt>
                <c:pt idx="17">
                  <c:v>175.935</c:v>
                </c:pt>
                <c:pt idx="18">
                  <c:v>179.65</c:v>
                </c:pt>
                <c:pt idx="19">
                  <c:v>183.81800000000001</c:v>
                </c:pt>
                <c:pt idx="20">
                  <c:v>186.33199999999999</c:v>
                </c:pt>
                <c:pt idx="21">
                  <c:v>193.435</c:v>
                </c:pt>
                <c:pt idx="22">
                  <c:v>191.88</c:v>
                </c:pt>
                <c:pt idx="23">
                  <c:v>194.42500000000001</c:v>
                </c:pt>
                <c:pt idx="24">
                  <c:v>199.82900000000001</c:v>
                </c:pt>
                <c:pt idx="25">
                  <c:v>206.40799999999999</c:v>
                </c:pt>
                <c:pt idx="26">
                  <c:v>213.45</c:v>
                </c:pt>
                <c:pt idx="27">
                  <c:v>220.245</c:v>
                </c:pt>
                <c:pt idx="28">
                  <c:v>220.95099999999999</c:v>
                </c:pt>
                <c:pt idx="29">
                  <c:v>223.39599999999999</c:v>
                </c:pt>
                <c:pt idx="30">
                  <c:v>226.07</c:v>
                </c:pt>
                <c:pt idx="31">
                  <c:v>228.876</c:v>
                </c:pt>
                <c:pt idx="32">
                  <c:v>231.71682830981558</c:v>
                </c:pt>
                <c:pt idx="33">
                  <c:v>234.59291722137993</c:v>
                </c:pt>
                <c:pt idx="34">
                  <c:v>237.50470439227036</c:v>
                </c:pt>
                <c:pt idx="35">
                  <c:v>240.45263291230714</c:v>
                </c:pt>
                <c:pt idx="36">
                  <c:v>243.43715137097897</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a:solidFill>
                <a:schemeClr val="accent2"/>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17.754161760858192</c:v>
                </c:pt>
                <c:pt idx="33">
                  <c:v>19.132640960893429</c:v>
                </c:pt>
                <c:pt idx="34">
                  <c:v>20.618148863861805</c:v>
                </c:pt>
                <c:pt idx="35">
                  <c:v>22.218995456052017</c:v>
                </c:pt>
                <c:pt idx="36">
                  <c:v>23.944135932656788</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1677804000"/>
        <c:axId val="1688941984"/>
      </c:lineChart>
      <c:catAx>
        <c:axId val="167780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941984"/>
        <c:crosses val="autoZero"/>
        <c:auto val="1"/>
        <c:lblAlgn val="ctr"/>
        <c:lblOffset val="100"/>
        <c:noMultiLvlLbl val="0"/>
      </c:catAx>
      <c:valAx>
        <c:axId val="168894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0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26.935271889842749</c:v>
                </c:pt>
                <c:pt idx="2">
                  <c:v>24.254173810563351</c:v>
                </c:pt>
                <c:pt idx="3" formatCode="0.000">
                  <c:v>20.518919007461761</c:v>
                </c:pt>
                <c:pt idx="4" formatCode="0.000">
                  <c:v>18.36488084785201</c:v>
                </c:pt>
                <c:pt idx="5" formatCode="0.000">
                  <c:v>16.031979551451432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21.192390664584384</c:v>
                </c:pt>
                <c:pt idx="2">
                  <c:v>24.300912429123557</c:v>
                </c:pt>
                <c:pt idx="3" formatCode="0.000">
                  <c:v>27.961733624598693</c:v>
                </c:pt>
                <c:pt idx="4" formatCode="0.000">
                  <c:v>29.591591812949058</c:v>
                </c:pt>
                <c:pt idx="5" formatCode="0.000">
                  <c:v>31.113528998547864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16.531615445572868</c:v>
                </c:pt>
                <c:pt idx="2">
                  <c:v>21.158850760313094</c:v>
                </c:pt>
                <c:pt idx="3" formatCode="0.000">
                  <c:v>25.049100367939545</c:v>
                </c:pt>
                <c:pt idx="4" formatCode="0.000">
                  <c:v>26.842577339198936</c:v>
                </c:pt>
                <c:pt idx="5" formatCode="0.000">
                  <c:v>28.517689450000706</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8.4672779803590146</c:v>
                </c:pt>
                <c:pt idx="10">
                  <c:v>10.558061530711534</c:v>
                </c:pt>
                <c:pt idx="11">
                  <c:v>11.775012222716072</c:v>
                </c:pt>
                <c:pt idx="12">
                  <c:v>13.405002509672979</c:v>
                </c:pt>
                <c:pt idx="13">
                  <c:v>15.089127718089344</c:v>
                </c:pt>
                <c:pt idx="14">
                  <c:v>16.9323333547046</c:v>
                </c:pt>
                <c:pt idx="15">
                  <c:v>18.88491117910954</c:v>
                </c:pt>
                <c:pt idx="16">
                  <c:v>20.949026708961014</c:v>
                </c:pt>
                <c:pt idx="17">
                  <c:v>23.23527599125326</c:v>
                </c:pt>
                <c:pt idx="18">
                  <c:v>25.757945073160695</c:v>
                </c:pt>
                <c:pt idx="19">
                  <c:v>25.757945073160695</c:v>
                </c:pt>
                <c:pt idx="20">
                  <c:v>25.757945073160695</c:v>
                </c:pt>
                <c:pt idx="21">
                  <c:v>25.757945073160695</c:v>
                </c:pt>
                <c:pt idx="22">
                  <c:v>25.757945073160695</c:v>
                </c:pt>
                <c:pt idx="23">
                  <c:v>25.757945073160695</c:v>
                </c:pt>
                <c:pt idx="24">
                  <c:v>25.757945073160695</c:v>
                </c:pt>
                <c:pt idx="25">
                  <c:v>25.757945073160695</c:v>
                </c:pt>
                <c:pt idx="26">
                  <c:v>25.757945073160695</c:v>
                </c:pt>
                <c:pt idx="27">
                  <c:v>25.757945073160695</c:v>
                </c:pt>
                <c:pt idx="28">
                  <c:v>25.757945073160695</c:v>
                </c:pt>
                <c:pt idx="29">
                  <c:v>25.757945073160695</c:v>
                </c:pt>
                <c:pt idx="30">
                  <c:v>25.757945073160695</c:v>
                </c:pt>
                <c:pt idx="31">
                  <c:v>25.757945073160695</c:v>
                </c:pt>
                <c:pt idx="32">
                  <c:v>25.757945073160695</c:v>
                </c:pt>
                <c:pt idx="33">
                  <c:v>25.757945073160695</c:v>
                </c:pt>
                <c:pt idx="34">
                  <c:v>25.757945073160695</c:v>
                </c:pt>
                <c:pt idx="35">
                  <c:v>25.757945073160695</c:v>
                </c:pt>
                <c:pt idx="36">
                  <c:v>25.757945073160695</c:v>
                </c:pt>
                <c:pt idx="37">
                  <c:v>25.757945073160695</c:v>
                </c:pt>
                <c:pt idx="38">
                  <c:v>25.757945073160695</c:v>
                </c:pt>
                <c:pt idx="39">
                  <c:v>25.757945073160695</c:v>
                </c:pt>
                <c:pt idx="40">
                  <c:v>25.757945073160695</c:v>
                </c:pt>
                <c:pt idx="41">
                  <c:v>25.757945073160695</c:v>
                </c:pt>
                <c:pt idx="42">
                  <c:v>25.757945073160695</c:v>
                </c:pt>
                <c:pt idx="43">
                  <c:v>25.757945073160695</c:v>
                </c:pt>
                <c:pt idx="44">
                  <c:v>25.757945073160695</c:v>
                </c:pt>
                <c:pt idx="45">
                  <c:v>25.757945073160695</c:v>
                </c:pt>
                <c:pt idx="46">
                  <c:v>25.757945073160695</c:v>
                </c:pt>
                <c:pt idx="47">
                  <c:v>25.757945073160695</c:v>
                </c:pt>
                <c:pt idx="48">
                  <c:v>25.757945073160695</c:v>
                </c:pt>
                <c:pt idx="49">
                  <c:v>25.757945073160695</c:v>
                </c:pt>
                <c:pt idx="50">
                  <c:v>25.757945073160695</c:v>
                </c:pt>
                <c:pt idx="51">
                  <c:v>25.757945073160695</c:v>
                </c:pt>
                <c:pt idx="52">
                  <c:v>25.757945073160695</c:v>
                </c:pt>
                <c:pt idx="53">
                  <c:v>25.757945073160695</c:v>
                </c:pt>
                <c:pt idx="54">
                  <c:v>25.757945073160695</c:v>
                </c:pt>
                <c:pt idx="55">
                  <c:v>25.757945073160695</c:v>
                </c:pt>
                <c:pt idx="56">
                  <c:v>25.757945073160695</c:v>
                </c:pt>
                <c:pt idx="57">
                  <c:v>25.757945073160695</c:v>
                </c:pt>
                <c:pt idx="58">
                  <c:v>25.757945073160695</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2.7108208614076297</c:v>
                </c:pt>
                <c:pt idx="20">
                  <c:v>5.4809340723905393</c:v>
                </c:pt>
                <c:pt idx="21">
                  <c:v>8.3233565970567334</c:v>
                </c:pt>
                <c:pt idx="22">
                  <c:v>11.381175986129048</c:v>
                </c:pt>
                <c:pt idx="23">
                  <c:v>14.516773502091507</c:v>
                </c:pt>
                <c:pt idx="24">
                  <c:v>17.732836838953947</c:v>
                </c:pt>
                <c:pt idx="25">
                  <c:v>21.039578982123412</c:v>
                </c:pt>
                <c:pt idx="26">
                  <c:v>24.403302558636465</c:v>
                </c:pt>
                <c:pt idx="27">
                  <c:v>27.755879090065367</c:v>
                </c:pt>
                <c:pt idx="28">
                  <c:v>31.072754469980826</c:v>
                </c:pt>
                <c:pt idx="29">
                  <c:v>31.072754469980826</c:v>
                </c:pt>
                <c:pt idx="30">
                  <c:v>31.072754469980826</c:v>
                </c:pt>
                <c:pt idx="31">
                  <c:v>31.072754469980826</c:v>
                </c:pt>
                <c:pt idx="32">
                  <c:v>31.072754469980826</c:v>
                </c:pt>
                <c:pt idx="33">
                  <c:v>31.072754469980826</c:v>
                </c:pt>
                <c:pt idx="34">
                  <c:v>31.072754469980826</c:v>
                </c:pt>
                <c:pt idx="35">
                  <c:v>31.072754469980826</c:v>
                </c:pt>
                <c:pt idx="36">
                  <c:v>31.072754469980826</c:v>
                </c:pt>
                <c:pt idx="37">
                  <c:v>31.072754469980826</c:v>
                </c:pt>
                <c:pt idx="38">
                  <c:v>31.072754469980826</c:v>
                </c:pt>
                <c:pt idx="39">
                  <c:v>31.072754469980826</c:v>
                </c:pt>
                <c:pt idx="40">
                  <c:v>31.072754469980826</c:v>
                </c:pt>
                <c:pt idx="41">
                  <c:v>31.072754469980826</c:v>
                </c:pt>
                <c:pt idx="42">
                  <c:v>31.072754469980826</c:v>
                </c:pt>
                <c:pt idx="43">
                  <c:v>31.072754469980826</c:v>
                </c:pt>
                <c:pt idx="44">
                  <c:v>31.072754469980826</c:v>
                </c:pt>
                <c:pt idx="45">
                  <c:v>31.072754469980826</c:v>
                </c:pt>
                <c:pt idx="46">
                  <c:v>31.072754469980826</c:v>
                </c:pt>
                <c:pt idx="47">
                  <c:v>31.072754469980826</c:v>
                </c:pt>
                <c:pt idx="48">
                  <c:v>31.072754469980826</c:v>
                </c:pt>
                <c:pt idx="49">
                  <c:v>31.072754469980826</c:v>
                </c:pt>
                <c:pt idx="50">
                  <c:v>31.072754469980826</c:v>
                </c:pt>
                <c:pt idx="51">
                  <c:v>31.072754469980826</c:v>
                </c:pt>
                <c:pt idx="52">
                  <c:v>31.072754469980826</c:v>
                </c:pt>
                <c:pt idx="53">
                  <c:v>31.072754469980826</c:v>
                </c:pt>
                <c:pt idx="54">
                  <c:v>31.072754469980826</c:v>
                </c:pt>
                <c:pt idx="55">
                  <c:v>31.072754469980826</c:v>
                </c:pt>
                <c:pt idx="56">
                  <c:v>31.072754469980826</c:v>
                </c:pt>
                <c:pt idx="57">
                  <c:v>31.072754469980826</c:v>
                </c:pt>
                <c:pt idx="58">
                  <c:v>31.072754469980826</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3.468542591972259</c:v>
                </c:pt>
                <c:pt idx="30">
                  <c:v>6.8899843325682113</c:v>
                </c:pt>
                <c:pt idx="31">
                  <c:v>10.266868019329436</c:v>
                </c:pt>
                <c:pt idx="32">
                  <c:v>13.601518552524851</c:v>
                </c:pt>
                <c:pt idx="33">
                  <c:v>16.896068067714239</c:v>
                </c:pt>
                <c:pt idx="34">
                  <c:v>20.59192868126064</c:v>
                </c:pt>
                <c:pt idx="35">
                  <c:v>24.235353119273213</c:v>
                </c:pt>
                <c:pt idx="36">
                  <c:v>27.829213903896203</c:v>
                </c:pt>
                <c:pt idx="37">
                  <c:v>31.376133903325666</c:v>
                </c:pt>
                <c:pt idx="38">
                  <c:v>34.878515523426984</c:v>
                </c:pt>
                <c:pt idx="39">
                  <c:v>38.208578459534522</c:v>
                </c:pt>
                <c:pt idx="40">
                  <c:v>41.502622785170885</c:v>
                </c:pt>
                <c:pt idx="41">
                  <c:v>44.762238743266764</c:v>
                </c:pt>
                <c:pt idx="42">
                  <c:v>47.988904448016655</c:v>
                </c:pt>
                <c:pt idx="43">
                  <c:v>51.183996588176825</c:v>
                </c:pt>
                <c:pt idx="44">
                  <c:v>54.348799855637878</c:v>
                </c:pt>
                <c:pt idx="45">
                  <c:v>57.484515279688424</c:v>
                </c:pt>
                <c:pt idx="46">
                  <c:v>60.592267618002737</c:v>
                </c:pt>
                <c:pt idx="47">
                  <c:v>63.673111931387751</c:v>
                </c:pt>
                <c:pt idx="48">
                  <c:v>66.728039449612879</c:v>
                </c:pt>
                <c:pt idx="49">
                  <c:v>68.584575062454888</c:v>
                </c:pt>
                <c:pt idx="50">
                  <c:v>70.437438076950201</c:v>
                </c:pt>
                <c:pt idx="51">
                  <c:v>72.286678819999025</c:v>
                </c:pt>
                <c:pt idx="52">
                  <c:v>74.132346495752245</c:v>
                </c:pt>
                <c:pt idx="53">
                  <c:v>75.974489220153913</c:v>
                </c:pt>
                <c:pt idx="54">
                  <c:v>77.813154054133776</c:v>
                </c:pt>
                <c:pt idx="55">
                  <c:v>79.64838703551419</c:v>
                </c:pt>
                <c:pt idx="56">
                  <c:v>81.480233209690823</c:v>
                </c:pt>
                <c:pt idx="57">
                  <c:v>83.308736659144387</c:v>
                </c:pt>
                <c:pt idx="58">
                  <c:v>85.133940531837879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1.6937258662331782</c:v>
                </c:pt>
                <c:pt idx="7">
                  <c:v>3.2631004380656852</c:v>
                </c:pt>
                <c:pt idx="8">
                  <c:v>4.2481843124195784</c:v>
                </c:pt>
                <c:pt idx="9">
                  <c:v>7.2513038866541759</c:v>
                </c:pt>
                <c:pt idx="10">
                  <c:v>8.745787562750623</c:v>
                </c:pt>
                <c:pt idx="11">
                  <c:v>9.4236823396923111</c:v>
                </c:pt>
                <c:pt idx="12">
                  <c:v>10.352310122641784</c:v>
                </c:pt>
                <c:pt idx="13">
                  <c:v>11.229817849504327</c:v>
                </c:pt>
                <c:pt idx="14">
                  <c:v>12.126812934403056</c:v>
                </c:pt>
                <c:pt idx="15">
                  <c:v>12.995706783327593</c:v>
                </c:pt>
                <c:pt idx="16">
                  <c:v>13.82872857875264</c:v>
                </c:pt>
                <c:pt idx="17">
                  <c:v>14.686400677906796</c:v>
                </c:pt>
                <c:pt idx="18">
                  <c:v>15.558666614278101</c:v>
                </c:pt>
                <c:pt idx="19">
                  <c:v>16.982516291115292</c:v>
                </c:pt>
                <c:pt idx="20">
                  <c:v>18.437509078138614</c:v>
                </c:pt>
                <c:pt idx="21">
                  <c:v>19.930482092622192</c:v>
                </c:pt>
                <c:pt idx="22">
                  <c:v>21.536591596551681</c:v>
                </c:pt>
                <c:pt idx="23">
                  <c:v>23.183553803960816</c:v>
                </c:pt>
                <c:pt idx="24">
                  <c:v>24.87278041722427</c:v>
                </c:pt>
                <c:pt idx="25">
                  <c:v>26.60963577309272</c:v>
                </c:pt>
                <c:pt idx="26">
                  <c:v>28.376420438052385</c:v>
                </c:pt>
                <c:pt idx="27">
                  <c:v>30.137350154510393</c:v>
                </c:pt>
                <c:pt idx="28">
                  <c:v>31.879527959409508</c:v>
                </c:pt>
                <c:pt idx="29">
                  <c:v>38.453308535679774</c:v>
                </c:pt>
                <c:pt idx="30">
                  <c:v>45.44976850047189</c:v>
                </c:pt>
                <c:pt idx="31">
                  <c:v>57.841514373554219</c:v>
                </c:pt>
                <c:pt idx="32">
                  <c:v>65.00272812684679</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0.15818291117343533</c:v>
                </c:pt>
                <c:pt idx="7">
                  <c:v>0.3047522252774526</c:v>
                </c:pt>
                <c:pt idx="8">
                  <c:v>0.39675261217704844</c:v>
                </c:pt>
                <c:pt idx="9">
                  <c:v>0.66522669420813563</c:v>
                </c:pt>
                <c:pt idx="10">
                  <c:v>0.78687902352032635</c:v>
                </c:pt>
                <c:pt idx="11">
                  <c:v>0.83005676906906911</c:v>
                </c:pt>
                <c:pt idx="12">
                  <c:v>0.89086163145376862</c:v>
                </c:pt>
                <c:pt idx="13">
                  <c:v>0.94188948561735575</c:v>
                </c:pt>
                <c:pt idx="14">
                  <c:v>0.98861227454724632</c:v>
                </c:pt>
                <c:pt idx="15">
                  <c:v>1.0264023477943514</c:v>
                </c:pt>
                <c:pt idx="16">
                  <c:v>1.0540444928140638</c:v>
                </c:pt>
                <c:pt idx="17">
                  <c:v>1.0753066021771158</c:v>
                </c:pt>
                <c:pt idx="18">
                  <c:v>1.0881027917270423</c:v>
                </c:pt>
                <c:pt idx="19">
                  <c:v>1.1876803999357313</c:v>
                </c:pt>
                <c:pt idx="20">
                  <c:v>1.2894360164517322</c:v>
                </c:pt>
                <c:pt idx="21">
                  <c:v>1.3938477983419562</c:v>
                </c:pt>
                <c:pt idx="22">
                  <c:v>1.5061718347372883</c:v>
                </c:pt>
                <c:pt idx="23">
                  <c:v>1.6213529244912295</c:v>
                </c:pt>
                <c:pt idx="24">
                  <c:v>1.7394897956846007</c:v>
                </c:pt>
                <c:pt idx="25">
                  <c:v>1.8609576057739434</c:v>
                </c:pt>
                <c:pt idx="26">
                  <c:v>1.9845185364104365</c:v>
                </c:pt>
                <c:pt idx="27">
                  <c:v>2.1076699984229137</c:v>
                </c:pt>
                <c:pt idx="28">
                  <c:v>2.2295100365310621</c:v>
                </c:pt>
                <c:pt idx="29">
                  <c:v>2.6892505255184962</c:v>
                </c:pt>
                <c:pt idx="30">
                  <c:v>3.1785512997191914</c:v>
                </c:pt>
                <c:pt idx="31">
                  <c:v>4.0451739746018323</c:v>
                </c:pt>
                <c:pt idx="32">
                  <c:v>4.5459968838067208</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0.11821918095627622</c:v>
                </c:pt>
                <c:pt idx="7">
                  <c:v>0.22775885334036872</c:v>
                </c:pt>
                <c:pt idx="8">
                  <c:v>0.29651603011912847</c:v>
                </c:pt>
                <c:pt idx="9">
                  <c:v>0.50646641489839994</c:v>
                </c:pt>
                <c:pt idx="10">
                  <c:v>0.61128338265642834</c:v>
                </c:pt>
                <c:pt idx="11">
                  <c:v>0.65916606583913251</c:v>
                </c:pt>
                <c:pt idx="12">
                  <c:v>0.72471247549795592</c:v>
                </c:pt>
                <c:pt idx="13">
                  <c:v>0.78683162732447087</c:v>
                </c:pt>
                <c:pt idx="14">
                  <c:v>0.85048339392881778</c:v>
                </c:pt>
                <c:pt idx="15">
                  <c:v>0.91235132951489606</c:v>
                </c:pt>
                <c:pt idx="16">
                  <c:v>0.97190682360806147</c:v>
                </c:pt>
                <c:pt idx="17">
                  <c:v>1.0334272854144815</c:v>
                </c:pt>
                <c:pt idx="18">
                  <c:v>1.0962430715039686</c:v>
                </c:pt>
                <c:pt idx="19">
                  <c:v>1.1965656365278583</c:v>
                </c:pt>
                <c:pt idx="20">
                  <c:v>1.2990825039050935</c:v>
                </c:pt>
                <c:pt idx="21">
                  <c:v>1.4042754078759301</c:v>
                </c:pt>
                <c:pt idx="22">
                  <c:v>1.5174397592570186</c:v>
                </c:pt>
                <c:pt idx="23">
                  <c:v>1.6334825380928526</c:v>
                </c:pt>
                <c:pt idx="24">
                  <c:v>1.7525032110656114</c:v>
                </c:pt>
                <c:pt idx="25">
                  <c:v>1.8748797422477914</c:v>
                </c:pt>
                <c:pt idx="26">
                  <c:v>1.9993650529635618</c:v>
                </c:pt>
                <c:pt idx="27">
                  <c:v>2.1234378317517528</c:v>
                </c:pt>
                <c:pt idx="28">
                  <c:v>2.2461893756530782</c:v>
                </c:pt>
                <c:pt idx="29">
                  <c:v>2.7093692604711204</c:v>
                </c:pt>
                <c:pt idx="30">
                  <c:v>3.2023305759619802</c:v>
                </c:pt>
                <c:pt idx="31">
                  <c:v>4.0754366006606588</c:v>
                </c:pt>
                <c:pt idx="32">
                  <c:v>4.580006250183299</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1.4739325886745098</c:v>
                </c:pt>
                <c:pt idx="7">
                  <c:v>2.8396508382313019</c:v>
                </c:pt>
                <c:pt idx="8">
                  <c:v>3.6969012669663002</c:v>
                </c:pt>
                <c:pt idx="9">
                  <c:v>6.3103087235076201</c:v>
                </c:pt>
                <c:pt idx="10">
                  <c:v>7.6108546013004421</c:v>
                </c:pt>
                <c:pt idx="11">
                  <c:v>8.2007795846442573</c:v>
                </c:pt>
                <c:pt idx="12">
                  <c:v>9.0089001780209408</c:v>
                </c:pt>
                <c:pt idx="13">
                  <c:v>9.772534518867884</c:v>
                </c:pt>
                <c:pt idx="14">
                  <c:v>10.553127360880422</c:v>
                </c:pt>
                <c:pt idx="15">
                  <c:v>11.30926563895782</c:v>
                </c:pt>
                <c:pt idx="16">
                  <c:v>12.034186947554112</c:v>
                </c:pt>
                <c:pt idx="17">
                  <c:v>12.78055971220442</c:v>
                </c:pt>
                <c:pt idx="18">
                  <c:v>13.539632484982953</c:v>
                </c:pt>
                <c:pt idx="19">
                  <c:v>14.778710473873442</c:v>
                </c:pt>
                <c:pt idx="20">
                  <c:v>16.044890159638946</c:v>
                </c:pt>
                <c:pt idx="21">
                  <c:v>17.344121413013461</c:v>
                </c:pt>
                <c:pt idx="22">
                  <c:v>18.741807535671761</c:v>
                </c:pt>
                <c:pt idx="23">
                  <c:v>20.175044943337024</c:v>
                </c:pt>
                <c:pt idx="24">
                  <c:v>21.645062143040406</c:v>
                </c:pt>
                <c:pt idx="25">
                  <c:v>23.156527346392231</c:v>
                </c:pt>
                <c:pt idx="26">
                  <c:v>24.694037959397129</c:v>
                </c:pt>
                <c:pt idx="27">
                  <c:v>26.226453415285022</c:v>
                </c:pt>
                <c:pt idx="28">
                  <c:v>27.742550378258784</c:v>
                </c:pt>
                <c:pt idx="29">
                  <c:v>33.463257380100316</c:v>
                </c:pt>
                <c:pt idx="30">
                  <c:v>39.551793047562285</c:v>
                </c:pt>
                <c:pt idx="31">
                  <c:v>50.335473238695656</c:v>
                </c:pt>
                <c:pt idx="32">
                  <c:v>56.567382744167482</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0.3585549515238371</c:v>
                </c:pt>
                <c:pt idx="7">
                  <c:v>0.69078523432491357</c:v>
                </c:pt>
                <c:pt idx="8">
                  <c:v>0.89932352724323594</c:v>
                </c:pt>
                <c:pt idx="9">
                  <c:v>1.5350718586746517</c:v>
                </c:pt>
                <c:pt idx="10">
                  <c:v>1.8514480401565225</c:v>
                </c:pt>
                <c:pt idx="11">
                  <c:v>1.994955637064844</c:v>
                </c:pt>
                <c:pt idx="12">
                  <c:v>2.1915424025723245</c:v>
                </c:pt>
                <c:pt idx="13">
                  <c:v>2.3773072578772352</c:v>
                </c:pt>
                <c:pt idx="14">
                  <c:v>2.5671975084750289</c:v>
                </c:pt>
                <c:pt idx="15">
                  <c:v>2.7511388404766297</c:v>
                </c:pt>
                <c:pt idx="16">
                  <c:v>2.9274862030762203</c:v>
                </c:pt>
                <c:pt idx="17">
                  <c:v>3.1090519357998345</c:v>
                </c:pt>
                <c:pt idx="18">
                  <c:v>3.2937071251470176</c:v>
                </c:pt>
                <c:pt idx="19">
                  <c:v>3.5951303731670752</c:v>
                </c:pt>
                <c:pt idx="20">
                  <c:v>3.9031464923156367</c:v>
                </c:pt>
                <c:pt idx="21">
                  <c:v>4.2192028728118993</c:v>
                </c:pt>
                <c:pt idx="22">
                  <c:v>4.5592097929424611</c:v>
                </c:pt>
                <c:pt idx="23">
                  <c:v>4.9078650660372141</c:v>
                </c:pt>
                <c:pt idx="24">
                  <c:v>5.2654675438091783</c:v>
                </c:pt>
                <c:pt idx="25">
                  <c:v>5.6331528347661699</c:v>
                </c:pt>
                <c:pt idx="26">
                  <c:v>6.0071740400433509</c:v>
                </c:pt>
                <c:pt idx="27">
                  <c:v>6.3799557762789139</c:v>
                </c:pt>
                <c:pt idx="28">
                  <c:v>6.7487678082819169</c:v>
                </c:pt>
                <c:pt idx="29">
                  <c:v>8.1404107080240085</c:v>
                </c:pt>
                <c:pt idx="30">
                  <c:v>9.6215331337525747</c:v>
                </c:pt>
                <c:pt idx="31">
                  <c:v>12.244815879442807</c:v>
                </c:pt>
                <c:pt idx="32">
                  <c:v>13.760816019343931</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0.18982799702391095</c:v>
                </c:pt>
                <c:pt idx="7">
                  <c:v>0.36571905323938514</c:v>
                </c:pt>
                <c:pt idx="8">
                  <c:v>0.47612446328666219</c:v>
                </c:pt>
                <c:pt idx="9">
                  <c:v>0.79890994464715237</c:v>
                </c:pt>
                <c:pt idx="10">
                  <c:v>0.94579880192331833</c:v>
                </c:pt>
                <c:pt idx="11">
                  <c:v>0.99862488427144869</c:v>
                </c:pt>
                <c:pt idx="12">
                  <c:v>1.0728950344611337</c:v>
                </c:pt>
                <c:pt idx="13">
                  <c:v>1.1356833316466897</c:v>
                </c:pt>
                <c:pt idx="14">
                  <c:v>1.1936127301676287</c:v>
                </c:pt>
                <c:pt idx="15">
                  <c:v>1.2411389947113591</c:v>
                </c:pt>
                <c:pt idx="16">
                  <c:v>1.2768283709038679</c:v>
                </c:pt>
                <c:pt idx="17">
                  <c:v>1.3052971137042466</c:v>
                </c:pt>
                <c:pt idx="18">
                  <c:v>1.3240996006191212</c:v>
                </c:pt>
                <c:pt idx="19">
                  <c:v>1.4452744310323935</c:v>
                </c:pt>
                <c:pt idx="20">
                  <c:v>1.5690996543605478</c:v>
                </c:pt>
                <c:pt idx="21">
                  <c:v>1.6961571343632809</c:v>
                </c:pt>
                <c:pt idx="22">
                  <c:v>1.8328429446210825</c:v>
                </c:pt>
                <c:pt idx="23">
                  <c:v>1.973005469799427</c:v>
                </c:pt>
                <c:pt idx="24">
                  <c:v>2.1167648509487549</c:v>
                </c:pt>
                <c:pt idx="25">
                  <c:v>2.2645776128038175</c:v>
                </c:pt>
                <c:pt idx="26">
                  <c:v>2.4149374686481622</c:v>
                </c:pt>
                <c:pt idx="27">
                  <c:v>2.5647990468981043</c:v>
                </c:pt>
                <c:pt idx="28">
                  <c:v>2.7130647686892928</c:v>
                </c:pt>
                <c:pt idx="29">
                  <c:v>3.2725176094365374</c:v>
                </c:pt>
                <c:pt idx="30">
                  <c:v>3.8679420166043972</c:v>
                </c:pt>
                <c:pt idx="31">
                  <c:v>4.9225250453624341</c:v>
                </c:pt>
                <c:pt idx="32">
                  <c:v>5.5319706042756334</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0.2664183286493273</c:v>
                </c:pt>
                <c:pt idx="7">
                  <c:v>0.51327654743666928</c:v>
                </c:pt>
                <c:pt idx="8">
                  <c:v>0.668227478172846</c:v>
                </c:pt>
                <c:pt idx="9">
                  <c:v>1.1331952602511981</c:v>
                </c:pt>
                <c:pt idx="10">
                  <c:v>1.3571971918352403</c:v>
                </c:pt>
                <c:pt idx="11">
                  <c:v>1.4513858812895115</c:v>
                </c:pt>
                <c:pt idx="12">
                  <c:v>1.5814361471601028</c:v>
                </c:pt>
                <c:pt idx="13">
                  <c:v>1.700353698059333</c:v>
                </c:pt>
                <c:pt idx="14">
                  <c:v>1.8185512868703899</c:v>
                </c:pt>
                <c:pt idx="15">
                  <c:v>1.9284301520081257</c:v>
                </c:pt>
                <c:pt idx="16">
                  <c:v>2.0284654751050288</c:v>
                </c:pt>
                <c:pt idx="17">
                  <c:v>2.1270126375500173</c:v>
                </c:pt>
                <c:pt idx="18">
                  <c:v>2.2217811426543936</c:v>
                </c:pt>
                <c:pt idx="19">
                  <c:v>2.4251072013970054</c:v>
                </c:pt>
                <c:pt idx="20">
                  <c:v>2.63288050338035</c:v>
                </c:pt>
                <c:pt idx="21">
                  <c:v>2.8460773905112462</c:v>
                </c:pt>
                <c:pt idx="22">
                  <c:v>3.0754301941502042</c:v>
                </c:pt>
                <c:pt idx="23">
                  <c:v>3.3106167731677187</c:v>
                </c:pt>
                <c:pt idx="24">
                  <c:v>3.5518387189850094</c:v>
                </c:pt>
                <c:pt idx="25">
                  <c:v>3.7998620601140951</c:v>
                </c:pt>
                <c:pt idx="26">
                  <c:v>4.0521593134105967</c:v>
                </c:pt>
                <c:pt idx="27">
                  <c:v>4.3036204787250956</c:v>
                </c:pt>
                <c:pt idx="28">
                  <c:v>4.5524038667902218</c:v>
                </c:pt>
                <c:pt idx="29">
                  <c:v>5.4911412330695164</c:v>
                </c:pt>
                <c:pt idx="30">
                  <c:v>6.4902373124755979</c:v>
                </c:pt>
                <c:pt idx="31">
                  <c:v>8.2597814506676208</c:v>
                </c:pt>
                <c:pt idx="32">
                  <c:v>9.2824044086646502</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10.584097475448772</c:v>
                </c:pt>
                <c:pt idx="10">
                  <c:v>13.197576913389412</c:v>
                </c:pt>
                <c:pt idx="11">
                  <c:v>14.718765278395097</c:v>
                </c:pt>
                <c:pt idx="12">
                  <c:v>16.756253137091221</c:v>
                </c:pt>
                <c:pt idx="13">
                  <c:v>18.86140964761168</c:v>
                </c:pt>
                <c:pt idx="14">
                  <c:v>21.165416693380749</c:v>
                </c:pt>
                <c:pt idx="15">
                  <c:v>23.606138973886914</c:v>
                </c:pt>
                <c:pt idx="16">
                  <c:v>26.186283386201268</c:v>
                </c:pt>
                <c:pt idx="17">
                  <c:v>29.044094989066579</c:v>
                </c:pt>
                <c:pt idx="18">
                  <c:v>32.197431341450866</c:v>
                </c:pt>
                <c:pt idx="19">
                  <c:v>35.585957418210413</c:v>
                </c:pt>
                <c:pt idx="20">
                  <c:v>39.04859893193904</c:v>
                </c:pt>
                <c:pt idx="21">
                  <c:v>42.601627087771789</c:v>
                </c:pt>
                <c:pt idx="22">
                  <c:v>46.42390132411218</c:v>
                </c:pt>
                <c:pt idx="23">
                  <c:v>50.343398219065264</c:v>
                </c:pt>
                <c:pt idx="24">
                  <c:v>54.363477390143302</c:v>
                </c:pt>
                <c:pt idx="25">
                  <c:v>58.496905069105139</c:v>
                </c:pt>
                <c:pt idx="26">
                  <c:v>62.701559539746455</c:v>
                </c:pt>
                <c:pt idx="27">
                  <c:v>66.892280204032588</c:v>
                </c:pt>
                <c:pt idx="28">
                  <c:v>71.0383744289269</c:v>
                </c:pt>
                <c:pt idx="29">
                  <c:v>75.374052668892219</c:v>
                </c:pt>
                <c:pt idx="30">
                  <c:v>79.650854844637166</c:v>
                </c:pt>
                <c:pt idx="31">
                  <c:v>83.871959453088692</c:v>
                </c:pt>
                <c:pt idx="32">
                  <c:v>88.040272619582964</c:v>
                </c:pt>
                <c:pt idx="33">
                  <c:v>92.158459513569696</c:v>
                </c:pt>
                <c:pt idx="34">
                  <c:v>96.778285280502715</c:v>
                </c:pt>
                <c:pt idx="35">
                  <c:v>101.3325658280184</c:v>
                </c:pt>
                <c:pt idx="36">
                  <c:v>105.82489180879716</c:v>
                </c:pt>
                <c:pt idx="37">
                  <c:v>110.25854180808398</c:v>
                </c:pt>
                <c:pt idx="38">
                  <c:v>114.63651883321062</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139.66439435388435</c:v>
                </c:pt>
                <c:pt idx="1">
                  <c:v>137.4546528607118</c:v>
                </c:pt>
                <c:pt idx="2">
                  <c:v>135.58181469226182</c:v>
                </c:pt>
                <c:pt idx="3">
                  <c:v>133.4362040887122</c:v>
                </c:pt>
                <c:pt idx="4">
                  <c:v>131.16029709988769</c:v>
                </c:pt>
                <c:pt idx="5">
                  <c:v>128.41271933541799</c:v>
                </c:pt>
                <c:pt idx="6">
                  <c:v>127.5701706714746</c:v>
                </c:pt>
                <c:pt idx="7">
                  <c:v>126.6952018486339</c:v>
                </c:pt>
                <c:pt idx="8">
                  <c:v>125.66790009395055</c:v>
                </c:pt>
                <c:pt idx="9">
                  <c:v>120.88343774366243</c:v>
                </c:pt>
                <c:pt idx="10">
                  <c:v>115.78072607996171</c:v>
                </c:pt>
                <c:pt idx="11">
                  <c:v>110.54871044182232</c:v>
                </c:pt>
                <c:pt idx="12">
                  <c:v>105.45744845726982</c:v>
                </c:pt>
                <c:pt idx="13">
                  <c:v>100.43004755893899</c:v>
                </c:pt>
                <c:pt idx="14">
                  <c:v>95.482342178926345</c:v>
                </c:pt>
                <c:pt idx="15">
                  <c:v>90.601505172019984</c:v>
                </c:pt>
                <c:pt idx="16">
                  <c:v>85.784388033840415</c:v>
                </c:pt>
                <c:pt idx="17">
                  <c:v>81.04244792357872</c:v>
                </c:pt>
                <c:pt idx="18">
                  <c:v>76.370433206571349</c:v>
                </c:pt>
                <c:pt idx="19">
                  <c:v>75.868426062404353</c:v>
                </c:pt>
                <c:pt idx="20">
                  <c:v>75.373829530766045</c:v>
                </c:pt>
                <c:pt idx="21">
                  <c:v>74.888270527742534</c:v>
                </c:pt>
                <c:pt idx="22">
                  <c:v>74.429632750027906</c:v>
                </c:pt>
                <c:pt idx="23">
                  <c:v>73.980716016692867</c:v>
                </c:pt>
                <c:pt idx="24">
                  <c:v>73.541856247279227</c:v>
                </c:pt>
                <c:pt idx="25">
                  <c:v>73.114329904571065</c:v>
                </c:pt>
                <c:pt idx="26">
                  <c:v>72.693925346154856</c:v>
                </c:pt>
                <c:pt idx="27">
                  <c:v>72.272127582164075</c:v>
                </c:pt>
                <c:pt idx="28">
                  <c:v>71.84586773490976</c:v>
                </c:pt>
                <c:pt idx="29">
                  <c:v>69.753524999640931</c:v>
                </c:pt>
                <c:pt idx="30">
                  <c:v>67.796962626616008</c:v>
                </c:pt>
                <c:pt idx="31">
                  <c:v>63.369481138053416</c:v>
                </c:pt>
                <c:pt idx="32">
                  <c:v>57.261757921979267</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7.8517549075018991</c:v>
                </c:pt>
                <c:pt idx="1">
                  <c:v>8.6464867087259751</c:v>
                </c:pt>
                <c:pt idx="2">
                  <c:v>9.4819790623114137</c:v>
                </c:pt>
                <c:pt idx="3">
                  <c:v>10.319932556631571</c:v>
                </c:pt>
                <c:pt idx="4">
                  <c:v>11.168015722760602</c:v>
                </c:pt>
                <c:pt idx="5">
                  <c:v>11.992907577983001</c:v>
                </c:pt>
                <c:pt idx="6">
                  <c:v>11.914219046901959</c:v>
                </c:pt>
                <c:pt idx="7">
                  <c:v>11.832502685156392</c:v>
                </c:pt>
                <c:pt idx="8">
                  <c:v>11.736559424532528</c:v>
                </c:pt>
                <c:pt idx="9">
                  <c:v>11.097890296865071</c:v>
                </c:pt>
                <c:pt idx="10">
                  <c:v>10.432217555393779</c:v>
                </c:pt>
                <c:pt idx="11">
                  <c:v>9.7579560498029316</c:v>
                </c:pt>
                <c:pt idx="12">
                  <c:v>9.0995868051351216</c:v>
                </c:pt>
                <c:pt idx="13">
                  <c:v>8.4500913967169602</c:v>
                </c:pt>
                <c:pt idx="14">
                  <c:v>7.8107164292691316</c:v>
                </c:pt>
                <c:pt idx="15">
                  <c:v>7.180226026992897</c:v>
                </c:pt>
                <c:pt idx="16">
                  <c:v>6.5582248611592204</c:v>
                </c:pt>
                <c:pt idx="17">
                  <c:v>5.9453930221674813</c:v>
                </c:pt>
                <c:pt idx="18">
                  <c:v>5.3410027759843191</c:v>
                </c:pt>
                <c:pt idx="19">
                  <c:v>5.3058946662357798</c:v>
                </c:pt>
                <c:pt idx="20">
                  <c:v>5.2713048212190952</c:v>
                </c:pt>
                <c:pt idx="21">
                  <c:v>5.2373470200889365</c:v>
                </c:pt>
                <c:pt idx="22">
                  <c:v>5.2052719677277768</c:v>
                </c:pt>
                <c:pt idx="23">
                  <c:v>5.1738767612550989</c:v>
                </c:pt>
                <c:pt idx="24">
                  <c:v>5.1431848933647331</c:v>
                </c:pt>
                <c:pt idx="25">
                  <c:v>5.1132856340920458</c:v>
                </c:pt>
                <c:pt idx="26">
                  <c:v>5.0838844402103245</c:v>
                </c:pt>
                <c:pt idx="27">
                  <c:v>5.0543858118303442</c:v>
                </c:pt>
                <c:pt idx="28">
                  <c:v>5.0245751255230156</c:v>
                </c:pt>
                <c:pt idx="29">
                  <c:v>4.8782461355177595</c:v>
                </c:pt>
                <c:pt idx="30">
                  <c:v>4.7414130100928098</c:v>
                </c:pt>
                <c:pt idx="31">
                  <c:v>4.4317749744269683</c:v>
                </c:pt>
                <c:pt idx="32">
                  <c:v>4.0046284298504879</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9.8944997565297612</c:v>
                </c:pt>
                <c:pt idx="1">
                  <c:v>9.7120807580170077</c:v>
                </c:pt>
                <c:pt idx="2">
                  <c:v>9.5529153405684184</c:v>
                </c:pt>
                <c:pt idx="3">
                  <c:v>9.3739244191123756</c:v>
                </c:pt>
                <c:pt idx="4">
                  <c:v>9.1852112925639346</c:v>
                </c:pt>
                <c:pt idx="5">
                  <c:v>8.9629891158025892</c:v>
                </c:pt>
                <c:pt idx="6">
                  <c:v>8.904180653965307</c:v>
                </c:pt>
                <c:pt idx="7">
                  <c:v>8.8431093202502762</c:v>
                </c:pt>
                <c:pt idx="8">
                  <c:v>8.7714054073238561</c:v>
                </c:pt>
                <c:pt idx="9">
                  <c:v>8.4428584584866169</c:v>
                </c:pt>
                <c:pt idx="10">
                  <c:v>8.0920217112027082</c:v>
                </c:pt>
                <c:pt idx="11">
                  <c:v>7.7320615912374242</c:v>
                </c:pt>
                <c:pt idx="12">
                  <c:v>7.3818485099244802</c:v>
                </c:pt>
                <c:pt idx="13">
                  <c:v>7.036010912860986</c:v>
                </c:pt>
                <c:pt idx="14">
                  <c:v>6.6956605540275085</c:v>
                </c:pt>
                <c:pt idx="15">
                  <c:v>6.3599031876040177</c:v>
                </c:pt>
                <c:pt idx="16">
                  <c:v>6.0285219045171932</c:v>
                </c:pt>
                <c:pt idx="17">
                  <c:v>5.7023273722264545</c:v>
                </c:pt>
                <c:pt idx="18">
                  <c:v>5.3809597149945079</c:v>
                </c:pt>
                <c:pt idx="19">
                  <c:v>5.3455889555790748</c:v>
                </c:pt>
                <c:pt idx="20">
                  <c:v>5.3107403381210201</c:v>
                </c:pt>
                <c:pt idx="21">
                  <c:v>5.2765284929759853</c:v>
                </c:pt>
                <c:pt idx="22">
                  <c:v>5.2442134817597763</c:v>
                </c:pt>
                <c:pt idx="23">
                  <c:v>5.2125834024733484</c:v>
                </c:pt>
                <c:pt idx="24">
                  <c:v>5.1816619235633219</c:v>
                </c:pt>
                <c:pt idx="25">
                  <c:v>5.1515389829091935</c:v>
                </c:pt>
                <c:pt idx="26">
                  <c:v>5.1219178337568945</c:v>
                </c:pt>
                <c:pt idx="27">
                  <c:v>5.0921985211824836</c:v>
                </c:pt>
                <c:pt idx="28">
                  <c:v>5.062164816122948</c:v>
                </c:pt>
                <c:pt idx="29">
                  <c:v>4.914741114361437</c:v>
                </c:pt>
                <c:pt idx="30">
                  <c:v>4.7768843173383813</c:v>
                </c:pt>
                <c:pt idx="31">
                  <c:v>4.4649298275111668</c:v>
                </c:pt>
                <c:pt idx="32">
                  <c:v>4.0345877278777227</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121.54027190568891</c:v>
                </c:pt>
                <c:pt idx="1">
                  <c:v>119.61728657242656</c:v>
                </c:pt>
                <c:pt idx="2">
                  <c:v>117.98748492339632</c:v>
                </c:pt>
                <c:pt idx="3">
                  <c:v>116.12030827207033</c:v>
                </c:pt>
                <c:pt idx="4">
                  <c:v>114.13974367983143</c:v>
                </c:pt>
                <c:pt idx="5">
                  <c:v>111.748716602955</c:v>
                </c:pt>
                <c:pt idx="6">
                  <c:v>111.01550471897272</c:v>
                </c:pt>
                <c:pt idx="7">
                  <c:v>110.25407981086335</c:v>
                </c:pt>
                <c:pt idx="8">
                  <c:v>109.3600900780397</c:v>
                </c:pt>
                <c:pt idx="9">
                  <c:v>105.19650309034176</c:v>
                </c:pt>
                <c:pt idx="10">
                  <c:v>100.75596571550396</c:v>
                </c:pt>
                <c:pt idx="11">
                  <c:v>96.202904026330572</c:v>
                </c:pt>
                <c:pt idx="12">
                  <c:v>91.772330516107957</c:v>
                </c:pt>
                <c:pt idx="13">
                  <c:v>87.39733089656437</c:v>
                </c:pt>
                <c:pt idx="14">
                  <c:v>83.091684779829194</c:v>
                </c:pt>
                <c:pt idx="15">
                  <c:v>78.84422958775184</c:v>
                </c:pt>
                <c:pt idx="16">
                  <c:v>74.652225394525558</c:v>
                </c:pt>
                <c:pt idx="17">
                  <c:v>70.525642574129961</c:v>
                </c:pt>
                <c:pt idx="18">
                  <c:v>66.459910991793663</c:v>
                </c:pt>
                <c:pt idx="19">
                  <c:v>66.023048861807581</c:v>
                </c:pt>
                <c:pt idx="20">
                  <c:v>65.592635675848285</c:v>
                </c:pt>
                <c:pt idx="21">
                  <c:v>65.170087226569223</c:v>
                </c:pt>
                <c:pt idx="22">
                  <c:v>64.770966459479396</c:v>
                </c:pt>
                <c:pt idx="23">
                  <c:v>64.380305245610501</c:v>
                </c:pt>
                <c:pt idx="24">
                  <c:v>63.99839591252843</c:v>
                </c:pt>
                <c:pt idx="25">
                  <c:v>63.626349277593448</c:v>
                </c:pt>
                <c:pt idx="26">
                  <c:v>63.260500239428239</c:v>
                </c:pt>
                <c:pt idx="27">
                  <c:v>62.893438790718882</c:v>
                </c:pt>
                <c:pt idx="28">
                  <c:v>62.522494299265354</c:v>
                </c:pt>
                <c:pt idx="29">
                  <c:v>60.701672993012409</c:v>
                </c:pt>
                <c:pt idx="30">
                  <c:v>58.999011953897863</c:v>
                </c:pt>
                <c:pt idx="31">
                  <c:v>55.14608074357227</c:v>
                </c:pt>
                <c:pt idx="32">
                  <c:v>49.830951258777475</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29.566390373747055</c:v>
                </c:pt>
                <c:pt idx="1">
                  <c:v>29.09859699008291</c:v>
                </c:pt>
                <c:pt idx="2">
                  <c:v>28.702124684801294</c:v>
                </c:pt>
                <c:pt idx="3">
                  <c:v>28.247907552452883</c:v>
                </c:pt>
                <c:pt idx="4">
                  <c:v>27.766107199562498</c:v>
                </c:pt>
                <c:pt idx="5">
                  <c:v>27.184456041138404</c:v>
                </c:pt>
                <c:pt idx="6">
                  <c:v>27.006091878802874</c:v>
                </c:pt>
                <c:pt idx="7">
                  <c:v>26.82086449926463</c:v>
                </c:pt>
                <c:pt idx="8">
                  <c:v>26.603388850935517</c:v>
                </c:pt>
                <c:pt idx="9">
                  <c:v>25.590537420679915</c:v>
                </c:pt>
                <c:pt idx="10">
                  <c:v>24.510313891185536</c:v>
                </c:pt>
                <c:pt idx="11">
                  <c:v>23.402717230530442</c:v>
                </c:pt>
                <c:pt idx="12">
                  <c:v>22.324917552046301</c:v>
                </c:pt>
                <c:pt idx="13">
                  <c:v>21.260637008583352</c:v>
                </c:pt>
                <c:pt idx="14">
                  <c:v>20.213227685709832</c:v>
                </c:pt>
                <c:pt idx="15">
                  <c:v>19.179974128391756</c:v>
                </c:pt>
                <c:pt idx="16">
                  <c:v>18.160209810919365</c:v>
                </c:pt>
                <c:pt idx="17">
                  <c:v>17.156360167797864</c:v>
                </c:pt>
                <c:pt idx="18">
                  <c:v>16.167313449097875</c:v>
                </c:pt>
                <c:pt idx="19">
                  <c:v>16.061040556400233</c:v>
                </c:pt>
                <c:pt idx="20">
                  <c:v>15.956336460559843</c:v>
                </c:pt>
                <c:pt idx="21">
                  <c:v>15.85354557316656</c:v>
                </c:pt>
                <c:pt idx="22">
                  <c:v>15.756453800859159</c:v>
                </c:pt>
                <c:pt idx="23">
                  <c:v>15.661419934536294</c:v>
                </c:pt>
                <c:pt idx="24">
                  <c:v>15.568515087013461</c:v>
                </c:pt>
                <c:pt idx="25">
                  <c:v>15.478009480326467</c:v>
                </c:pt>
                <c:pt idx="26">
                  <c:v>15.389011526721045</c:v>
                </c:pt>
                <c:pt idx="27">
                  <c:v>15.299718637100762</c:v>
                </c:pt>
                <c:pt idx="28">
                  <c:v>15.209481142405865</c:v>
                </c:pt>
                <c:pt idx="29">
                  <c:v>14.76654060346018</c:v>
                </c:pt>
                <c:pt idx="30">
                  <c:v>14.352344220917168</c:v>
                </c:pt>
                <c:pt idx="31">
                  <c:v>13.415064202849774</c:v>
                </c:pt>
                <c:pt idx="32">
                  <c:v>12.122083771175253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9.6831090230750316</c:v>
                </c:pt>
                <c:pt idx="1">
                  <c:v>10.586585246419229</c:v>
                </c:pt>
                <c:pt idx="2">
                  <c:v>11.538509766671879</c:v>
                </c:pt>
                <c:pt idx="3">
                  <c:v>12.49198569052334</c:v>
                </c:pt>
                <c:pt idx="4">
                  <c:v>13.456498623549578</c:v>
                </c:pt>
                <c:pt idx="5">
                  <c:v>14.3921338097343</c:v>
                </c:pt>
                <c:pt idx="6">
                  <c:v>14.297703342289619</c:v>
                </c:pt>
                <c:pt idx="7">
                  <c:v>14.199639315277025</c:v>
                </c:pt>
                <c:pt idx="8">
                  <c:v>14.08450224479915</c:v>
                </c:pt>
                <c:pt idx="9">
                  <c:v>13.327692814661191</c:v>
                </c:pt>
                <c:pt idx="10">
                  <c:v>12.538341142730044</c:v>
                </c:pt>
                <c:pt idx="11">
                  <c:v>11.738507463660122</c:v>
                </c:pt>
                <c:pt idx="12">
                  <c:v>10.957607493096273</c:v>
                </c:pt>
                <c:pt idx="13">
                  <c:v>10.187210571447293</c:v>
                </c:pt>
                <c:pt idx="14">
                  <c:v>9.4288243466859498</c:v>
                </c:pt>
                <c:pt idx="15">
                  <c:v>8.6809676038020438</c:v>
                </c:pt>
                <c:pt idx="16">
                  <c:v>7.9431710101709685</c:v>
                </c:pt>
                <c:pt idx="17">
                  <c:v>7.2162702812300772</c:v>
                </c:pt>
                <c:pt idx="18">
                  <c:v>6.4994040051691346</c:v>
                </c:pt>
                <c:pt idx="19">
                  <c:v>6.4566813557558831</c:v>
                </c:pt>
                <c:pt idx="20">
                  <c:v>6.4145893766521676</c:v>
                </c:pt>
                <c:pt idx="21">
                  <c:v>6.3732665243847073</c:v>
                </c:pt>
                <c:pt idx="22">
                  <c:v>6.3342347671425117</c:v>
                </c:pt>
                <c:pt idx="23">
                  <c:v>6.2960303064354051</c:v>
                </c:pt>
                <c:pt idx="24">
                  <c:v>6.258681730248604</c:v>
                </c:pt>
                <c:pt idx="25">
                  <c:v>6.2222976702473085</c:v>
                </c:pt>
                <c:pt idx="26">
                  <c:v>6.1865197002131342</c:v>
                </c:pt>
                <c:pt idx="27">
                  <c:v>6.1506231632740569</c:v>
                </c:pt>
                <c:pt idx="28">
                  <c:v>6.1143468866815978</c:v>
                </c:pt>
                <c:pt idx="29">
                  <c:v>5.9362808448534805</c:v>
                </c:pt>
                <c:pt idx="30">
                  <c:v>5.7697702099169854</c:v>
                </c:pt>
                <c:pt idx="31">
                  <c:v>5.3929752945111638</c:v>
                </c:pt>
                <c:pt idx="32">
                  <c:v>4.8731856446915387</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10.30055287377321</c:v>
                </c:pt>
                <c:pt idx="1">
                  <c:v>10.137579632145703</c:v>
                </c:pt>
                <c:pt idx="2">
                  <c:v>9.9994537435297453</c:v>
                </c:pt>
                <c:pt idx="3">
                  <c:v>9.8412102945058564</c:v>
                </c:pt>
                <c:pt idx="4">
                  <c:v>9.6733572036545379</c:v>
                </c:pt>
                <c:pt idx="5">
                  <c:v>9.4707173671475111</c:v>
                </c:pt>
                <c:pt idx="6">
                  <c:v>9.5388470786807869</c:v>
                </c:pt>
                <c:pt idx="7">
                  <c:v>9.5950215040281002</c:v>
                </c:pt>
                <c:pt idx="8">
                  <c:v>9.5950215040281002</c:v>
                </c:pt>
                <c:pt idx="9">
                  <c:v>9.6816157767045059</c:v>
                </c:pt>
                <c:pt idx="10">
                  <c:v>9.6322350001341945</c:v>
                </c:pt>
                <c:pt idx="11">
                  <c:v>9.5093054380631052</c:v>
                </c:pt>
                <c:pt idx="12">
                  <c:v>9.4193990507318315</c:v>
                </c:pt>
                <c:pt idx="13">
                  <c:v>9.3326249745505656</c:v>
                </c:pt>
                <c:pt idx="14">
                  <c:v>9.2570127081242788</c:v>
                </c:pt>
                <c:pt idx="15">
                  <c:v>9.188189617735059</c:v>
                </c:pt>
                <c:pt idx="16">
                  <c:v>9.1259499257437575</c:v>
                </c:pt>
                <c:pt idx="17">
                  <c:v>9.0781964496864234</c:v>
                </c:pt>
                <c:pt idx="18">
                  <c:v>9.045230491445281</c:v>
                </c:pt>
                <c:pt idx="19">
                  <c:v>9.162999081504335</c:v>
                </c:pt>
                <c:pt idx="20">
                  <c:v>9.2851400619085158</c:v>
                </c:pt>
                <c:pt idx="21">
                  <c:v>9.4126133414588207</c:v>
                </c:pt>
                <c:pt idx="22">
                  <c:v>9.5559706124017243</c:v>
                </c:pt>
                <c:pt idx="23">
                  <c:v>9.7050634686859549</c:v>
                </c:pt>
                <c:pt idx="24">
                  <c:v>9.8600901086865704</c:v>
                </c:pt>
                <c:pt idx="25">
                  <c:v>10.021803667658098</c:v>
                </c:pt>
                <c:pt idx="26">
                  <c:v>10.187719203289143</c:v>
                </c:pt>
                <c:pt idx="27">
                  <c:v>10.352812723387796</c:v>
                </c:pt>
                <c:pt idx="28">
                  <c:v>10.515273536715586</c:v>
                </c:pt>
                <c:pt idx="29">
                  <c:v>11.350562616834122</c:v>
                </c:pt>
                <c:pt idx="30">
                  <c:v>12.265964473411325</c:v>
                </c:pt>
                <c:pt idx="31">
                  <c:v>13.7932887580832</c:v>
                </c:pt>
                <c:pt idx="32">
                  <c:v>14.329241185381104</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3.5593512487513528</c:v>
                </c:pt>
                <c:pt idx="1">
                  <c:v>3.5030359210006554</c:v>
                </c:pt>
                <c:pt idx="2">
                  <c:v>3.4553065845121358</c:v>
                </c:pt>
                <c:pt idx="3">
                  <c:v>3.4006256343930392</c:v>
                </c:pt>
                <c:pt idx="4">
                  <c:v>3.3426240770155102</c:v>
                </c:pt>
                <c:pt idx="5">
                  <c:v>3.2726019758762099</c:v>
                </c:pt>
                <c:pt idx="6">
                  <c:v>3.2961441659697601</c:v>
                </c:pt>
                <c:pt idx="7">
                  <c:v>3.3155552124891114</c:v>
                </c:pt>
                <c:pt idx="8">
                  <c:v>3.3155552124891114</c:v>
                </c:pt>
                <c:pt idx="9">
                  <c:v>3.3454778230870588</c:v>
                </c:pt>
                <c:pt idx="10">
                  <c:v>3.3284143187389215</c:v>
                </c:pt>
                <c:pt idx="11">
                  <c:v>3.2859360658113284</c:v>
                </c:pt>
                <c:pt idx="12">
                  <c:v>3.2548689555367836</c:v>
                </c:pt>
                <c:pt idx="13">
                  <c:v>3.2248842139214635</c:v>
                </c:pt>
                <c:pt idx="14">
                  <c:v>3.1987564304691238</c:v>
                </c:pt>
                <c:pt idx="15">
                  <c:v>3.1749746436347963</c:v>
                </c:pt>
                <c:pt idx="16">
                  <c:v>3.1534677470511006</c:v>
                </c:pt>
                <c:pt idx="17">
                  <c:v>3.136966555637418</c:v>
                </c:pt>
                <c:pt idx="18">
                  <c:v>3.1255751841188411</c:v>
                </c:pt>
                <c:pt idx="19">
                  <c:v>3.1662700655710467</c:v>
                </c:pt>
                <c:pt idx="20">
                  <c:v>3.2084758244708684</c:v>
                </c:pt>
                <c:pt idx="21">
                  <c:v>3.2525241568574779</c:v>
                </c:pt>
                <c:pt idx="22">
                  <c:v>3.3020611950729126</c:v>
                </c:pt>
                <c:pt idx="23">
                  <c:v>3.3535801621320847</c:v>
                </c:pt>
                <c:pt idx="24">
                  <c:v>3.407149545391198</c:v>
                </c:pt>
                <c:pt idx="25">
                  <c:v>3.4630295903867321</c:v>
                </c:pt>
                <c:pt idx="26">
                  <c:v>3.5203616264601791</c:v>
                </c:pt>
                <c:pt idx="27">
                  <c:v>3.5774096154492057</c:v>
                </c:pt>
                <c:pt idx="28">
                  <c:v>3.6335478738395635</c:v>
                </c:pt>
                <c:pt idx="29">
                  <c:v>3.9221816264955223</c:v>
                </c:pt>
                <c:pt idx="30">
                  <c:v>4.2384983117497033</c:v>
                </c:pt>
                <c:pt idx="31">
                  <c:v>4.7662645070708027</c:v>
                </c:pt>
                <c:pt idx="32">
                  <c:v>4.9514626187402522</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18.760184357078931</c:v>
                </c:pt>
                <c:pt idx="1">
                  <c:v>19.031279794352418</c:v>
                </c:pt>
                <c:pt idx="2">
                  <c:v>19.361114074755598</c:v>
                </c:pt>
                <c:pt idx="3">
                  <c:v>19.665306575633924</c:v>
                </c:pt>
                <c:pt idx="4">
                  <c:v>19.962784234968581</c:v>
                </c:pt>
                <c:pt idx="5">
                  <c:v>20.198960613823004</c:v>
                </c:pt>
                <c:pt idx="6">
                  <c:v>20.066430071939777</c:v>
                </c:pt>
                <c:pt idx="7">
                  <c:v>19.928799929985388</c:v>
                </c:pt>
                <c:pt idx="8">
                  <c:v>19.767208245074805</c:v>
                </c:pt>
                <c:pt idx="9">
                  <c:v>18.896074283394661</c:v>
                </c:pt>
                <c:pt idx="10">
                  <c:v>17.976560801767519</c:v>
                </c:pt>
                <c:pt idx="11">
                  <c:v>17.038863359665552</c:v>
                </c:pt>
                <c:pt idx="12">
                  <c:v>16.1250035819467</c:v>
                </c:pt>
                <c:pt idx="13">
                  <c:v>15.222987116793046</c:v>
                </c:pt>
                <c:pt idx="14">
                  <c:v>14.335161159923107</c:v>
                </c:pt>
                <c:pt idx="15">
                  <c:v>13.459484612560786</c:v>
                </c:pt>
                <c:pt idx="16">
                  <c:v>12.595399633629494</c:v>
                </c:pt>
                <c:pt idx="17">
                  <c:v>11.744467424406615</c:v>
                </c:pt>
                <c:pt idx="18">
                  <c:v>10.905715287902259</c:v>
                </c:pt>
                <c:pt idx="19">
                  <c:v>10.834028553168547</c:v>
                </c:pt>
                <c:pt idx="20">
                  <c:v>10.763400055594868</c:v>
                </c:pt>
                <c:pt idx="21">
                  <c:v>10.694062119169537</c:v>
                </c:pt>
                <c:pt idx="22">
                  <c:v>10.628568539861128</c:v>
                </c:pt>
                <c:pt idx="23">
                  <c:v>10.564463127908251</c:v>
                </c:pt>
                <c:pt idx="24">
                  <c:v>10.501793852698118</c:v>
                </c:pt>
                <c:pt idx="25">
                  <c:v>10.440742993407559</c:v>
                </c:pt>
                <c:pt idx="26">
                  <c:v>10.380709126538925</c:v>
                </c:pt>
                <c:pt idx="27">
                  <c:v>10.320476309596341</c:v>
                </c:pt>
                <c:pt idx="28">
                  <c:v>10.259606306145578</c:v>
                </c:pt>
                <c:pt idx="29">
                  <c:v>9.9608192861239466</c:v>
                </c:pt>
                <c:pt idx="30">
                  <c:v>9.6814217328127494</c:v>
                </c:pt>
                <c:pt idx="31">
                  <c:v>9.0491763659949687</c:v>
                </c:pt>
                <c:pt idx="32">
                  <c:v>8.1769920970954217</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8.4672779803590146</c:v>
                </c:pt>
                <c:pt idx="1">
                  <c:v>10.558061530711534</c:v>
                </c:pt>
                <c:pt idx="2">
                  <c:v>11.775012222716072</c:v>
                </c:pt>
                <c:pt idx="3">
                  <c:v>13.405002509672979</c:v>
                </c:pt>
                <c:pt idx="4">
                  <c:v>15.089127718089344</c:v>
                </c:pt>
                <c:pt idx="5">
                  <c:v>16.9323333547046</c:v>
                </c:pt>
                <c:pt idx="6">
                  <c:v>18.88491117910954</c:v>
                </c:pt>
                <c:pt idx="7">
                  <c:v>20.949026708961014</c:v>
                </c:pt>
                <c:pt idx="8">
                  <c:v>23.23527599125326</c:v>
                </c:pt>
                <c:pt idx="9">
                  <c:v>25.757945073160695</c:v>
                </c:pt>
                <c:pt idx="10">
                  <c:v>25.757945073160695</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2.7108208614076297</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title>
          <c:tx>
            <c:rich>
              <a:bodyPr/>
              <a:lstStyle/>
              <a:p>
                <a:pPr>
                  <a:defRPr/>
                </a:pPr>
                <a:r>
                  <a:rPr lang="en-US"/>
                  <a:t>Floor space million m2</a:t>
                </a:r>
              </a:p>
            </c:rich>
          </c:tx>
          <c:overlay val="0"/>
        </c:title>
        <c:numFmt formatCode="0" sourceLinked="0"/>
        <c:majorTickMark val="out"/>
        <c:minorTickMark val="none"/>
        <c:tickLblPos val="nextTo"/>
        <c:crossAx val="518100448"/>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18.640659659915396</c:v>
                </c:pt>
                <c:pt idx="4">
                  <c:v>20.949315343702175</c:v>
                </c:pt>
                <c:pt idx="5">
                  <c:v>28.083097357141792</c:v>
                </c:pt>
                <c:pt idx="6">
                  <c:v>37.52614974900834</c:v>
                </c:pt>
                <c:pt idx="7">
                  <c:v>46.685846643130326</c:v>
                </c:pt>
                <c:pt idx="8">
                  <c:v>50.139845950972003</c:v>
                </c:pt>
                <c:pt idx="10">
                  <c:v>18.931145021834741</c:v>
                </c:pt>
                <c:pt idx="11">
                  <c:v>19.16679090850425</c:v>
                </c:pt>
                <c:pt idx="12">
                  <c:v>18.454471209495399</c:v>
                </c:pt>
                <c:pt idx="13">
                  <c:v>18.640659659915396</c:v>
                </c:pt>
                <c:pt idx="14">
                  <c:v>20.949315343702175</c:v>
                </c:pt>
                <c:pt idx="15">
                  <c:v>28.083097357141792</c:v>
                </c:pt>
                <c:pt idx="16">
                  <c:v>37.52614974900834</c:v>
                </c:pt>
                <c:pt idx="17">
                  <c:v>46.685846643130326</c:v>
                </c:pt>
                <c:pt idx="18">
                  <c:v>50.139845950972003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6.263725567965813</c:v>
                </c:pt>
                <c:pt idx="2">
                  <c:v>6.0299454950865155</c:v>
                </c:pt>
                <c:pt idx="3">
                  <c:v>6.0908959928898438</c:v>
                </c:pt>
                <c:pt idx="4">
                  <c:v>6.845128654616043</c:v>
                </c:pt>
                <c:pt idx="5">
                  <c:v>9.1760714503508893</c:v>
                </c:pt>
                <c:pt idx="6">
                  <c:v>12.261791122463769</c:v>
                </c:pt>
                <c:pt idx="7">
                  <c:v>15.254466381306896</c:v>
                </c:pt>
                <c:pt idx="8">
                  <c:v>16.38305074061574</c:v>
                </c:pt>
                <c:pt idx="10">
                  <c:v>5.4191590500230697</c:v>
                </c:pt>
                <c:pt idx="11">
                  <c:v>6.263725567965813</c:v>
                </c:pt>
                <c:pt idx="12">
                  <c:v>6.0299454950865155</c:v>
                </c:pt>
                <c:pt idx="13">
                  <c:v>6.0908959928898438</c:v>
                </c:pt>
                <c:pt idx="14">
                  <c:v>6.5028722218852408</c:v>
                </c:pt>
                <c:pt idx="15">
                  <c:v>8.2814044839416763</c:v>
                </c:pt>
                <c:pt idx="16">
                  <c:v>10.512953163622372</c:v>
                </c:pt>
                <c:pt idx="17">
                  <c:v>12.424858207989349</c:v>
                </c:pt>
                <c:pt idx="18">
                  <c:v>12.676892361183713</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2.4453873855547426</c:v>
                </c:pt>
                <c:pt idx="3">
                  <c:v>2.4700590698758176</c:v>
                </c:pt>
                <c:pt idx="4">
                  <c:v>2.7759798598499685</c:v>
                </c:pt>
                <c:pt idx="5">
                  <c:v>3.7212725755769114</c:v>
                </c:pt>
                <c:pt idx="6">
                  <c:v>4.9735442205513296</c:v>
                </c:pt>
                <c:pt idx="7">
                  <c:v>6.1865792194502198</c:v>
                </c:pt>
                <c:pt idx="8">
                  <c:v>6.6460112570730461</c:v>
                </c:pt>
                <c:pt idx="10">
                  <c:v>2.508551055458172</c:v>
                </c:pt>
                <c:pt idx="11">
                  <c:v>2.539776305544069</c:v>
                </c:pt>
                <c:pt idx="12">
                  <c:v>2.4453873855547426</c:v>
                </c:pt>
                <c:pt idx="13">
                  <c:v>2.4700590698758176</c:v>
                </c:pt>
                <c:pt idx="14">
                  <c:v>2.6371783483333711</c:v>
                </c:pt>
                <c:pt idx="15">
                  <c:v>3.3584452921189967</c:v>
                </c:pt>
                <c:pt idx="16">
                  <c:v>4.2633489955005288</c:v>
                </c:pt>
                <c:pt idx="17">
                  <c:v>5.0387837757209324</c:v>
                </c:pt>
                <c:pt idx="18">
                  <c:v>5.1409938436979452</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16.104215340469594</c:v>
                </c:pt>
                <c:pt idx="3">
                  <c:v>16.266691895090634</c:v>
                </c:pt>
                <c:pt idx="4">
                  <c:v>18.281347858384027</c:v>
                </c:pt>
                <c:pt idx="5">
                  <c:v>24.506618154521821</c:v>
                </c:pt>
                <c:pt idx="6">
                  <c:v>32.75351284064012</c:v>
                </c:pt>
                <c:pt idx="7">
                  <c:v>40.742012721350214</c:v>
                </c:pt>
                <c:pt idx="8">
                  <c:v>43.767624332784237</c:v>
                </c:pt>
                <c:pt idx="10">
                  <c:v>16.520182703280053</c:v>
                </c:pt>
                <c:pt idx="11">
                  <c:v>16.725818078032439</c:v>
                </c:pt>
                <c:pt idx="12">
                  <c:v>16.104215340469594</c:v>
                </c:pt>
                <c:pt idx="13">
                  <c:v>16.266691895090634</c:v>
                </c:pt>
                <c:pt idx="14">
                  <c:v>17.367263879604167</c:v>
                </c:pt>
                <c:pt idx="15">
                  <c:v>22.117201762370787</c:v>
                </c:pt>
                <c:pt idx="16">
                  <c:v>28.076488290030191</c:v>
                </c:pt>
                <c:pt idx="17">
                  <c:v>33.183151044948346</c:v>
                </c:pt>
                <c:pt idx="18">
                  <c:v>33.856260325870089</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4.6196745661922405</c:v>
                </c:pt>
                <c:pt idx="3">
                  <c:v>4.6662827859109095</c:v>
                </c:pt>
                <c:pt idx="4">
                  <c:v>5.2442094167021382</c:v>
                </c:pt>
                <c:pt idx="5">
                  <c:v>7.0299979352193773</c:v>
                </c:pt>
                <c:pt idx="6">
                  <c:v>9.3957120557817841</c:v>
                </c:pt>
                <c:pt idx="7">
                  <c:v>11.687302731932668</c:v>
                </c:pt>
                <c:pt idx="8">
                  <c:v>12.555233314889596</c:v>
                </c:pt>
                <c:pt idx="10">
                  <c:v>4.7389994637867545</c:v>
                </c:pt>
                <c:pt idx="11">
                  <c:v>4.7979882745154434</c:v>
                </c:pt>
                <c:pt idx="12">
                  <c:v>4.6196745661922405</c:v>
                </c:pt>
                <c:pt idx="13">
                  <c:v>4.6662827859109095</c:v>
                </c:pt>
                <c:pt idx="14">
                  <c:v>4.9819941880271097</c:v>
                </c:pt>
                <c:pt idx="15">
                  <c:v>6.3445670774287564</c:v>
                </c:pt>
                <c:pt idx="16">
                  <c:v>8.0540551724679439</c:v>
                </c:pt>
                <c:pt idx="17">
                  <c:v>9.5189585873976093</c:v>
                </c:pt>
                <c:pt idx="18">
                  <c:v>9.7120475246479643</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3.1624908255995221</c:v>
                </c:pt>
                <c:pt idx="3">
                  <c:v>3.1943974166690543</c:v>
                </c:pt>
                <c:pt idx="4">
                  <c:v>3.5900286763084908</c:v>
                </c:pt>
                <c:pt idx="5">
                  <c:v>4.8125260027655594</c:v>
                </c:pt>
                <c:pt idx="6">
                  <c:v>6.432023024703299</c:v>
                </c:pt>
                <c:pt idx="7">
                  <c:v>8.000777356965715</c:v>
                </c:pt>
                <c:pt idx="8">
                  <c:v>8.5949366351853822</c:v>
                </c:pt>
                <c:pt idx="10">
                  <c:v>3.2441770761137643</c:v>
                </c:pt>
                <c:pt idx="11">
                  <c:v>3.284559048927981</c:v>
                </c:pt>
                <c:pt idx="12">
                  <c:v>3.1624908255995221</c:v>
                </c:pt>
                <c:pt idx="13">
                  <c:v>3.1943974166690543</c:v>
                </c:pt>
                <c:pt idx="14">
                  <c:v>3.4105239854183775</c:v>
                </c:pt>
                <c:pt idx="15">
                  <c:v>4.3433005696129499</c:v>
                </c:pt>
                <c:pt idx="16">
                  <c:v>5.5135649117371868</c:v>
                </c:pt>
                <c:pt idx="17">
                  <c:v>6.516393908395929</c:v>
                </c:pt>
                <c:pt idx="18">
                  <c:v>6.6485768108557295</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131.88068567509137</c:v>
                </c:pt>
                <c:pt idx="3">
                  <c:v>128.0555339862631</c:v>
                </c:pt>
                <c:pt idx="4">
                  <c:v>143.91541790377966</c:v>
                </c:pt>
                <c:pt idx="5">
                  <c:v>192.92232828986374</c:v>
                </c:pt>
                <c:pt idx="6">
                  <c:v>257.8439798198886</c:v>
                </c:pt>
                <c:pt idx="7">
                  <c:v>320.73148175150561</c:v>
                </c:pt>
                <c:pt idx="8">
                  <c:v>344.54986554066159</c:v>
                </c:pt>
                <c:pt idx="10">
                  <c:v>130.05107807184956</c:v>
                </c:pt>
                <c:pt idx="11">
                  <c:v>131.66989201940638</c:v>
                </c:pt>
                <c:pt idx="12">
                  <c:v>131.88068567509137</c:v>
                </c:pt>
                <c:pt idx="13">
                  <c:v>128.0555339862631</c:v>
                </c:pt>
                <c:pt idx="14">
                  <c:v>136.71951644047903</c:v>
                </c:pt>
                <c:pt idx="15">
                  <c:v>174.11223500317791</c:v>
                </c:pt>
                <c:pt idx="16">
                  <c:v>221.02525354426686</c:v>
                </c:pt>
                <c:pt idx="17">
                  <c:v>261.2262009886681</c:v>
                </c:pt>
                <c:pt idx="18">
                  <c:v>266.52508836880941</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38.822974157550945</c:v>
                </c:pt>
                <c:pt idx="3">
                  <c:v>39.21466185843564</c:v>
                </c:pt>
                <c:pt idx="4">
                  <c:v>44.071460823532846</c:v>
                </c:pt>
                <c:pt idx="5">
                  <c:v>59.07892953412447</c:v>
                </c:pt>
                <c:pt idx="6">
                  <c:v>78.959996230658021</c:v>
                </c:pt>
                <c:pt idx="7">
                  <c:v>98.218141869522995</c:v>
                </c:pt>
                <c:pt idx="8">
                  <c:v>105.51208565493091</c:v>
                </c:pt>
                <c:pt idx="10">
                  <c:v>39.825760684889083</c:v>
                </c:pt>
                <c:pt idx="11">
                  <c:v>40.321492806641579</c:v>
                </c:pt>
                <c:pt idx="12">
                  <c:v>38.822974157550945</c:v>
                </c:pt>
                <c:pt idx="13">
                  <c:v>39.21466185843564</c:v>
                </c:pt>
                <c:pt idx="14">
                  <c:v>41.867847798263455</c:v>
                </c:pt>
                <c:pt idx="15">
                  <c:v>53.318682984825443</c:v>
                </c:pt>
                <c:pt idx="16">
                  <c:v>67.684935668951326</c:v>
                </c:pt>
                <c:pt idx="17">
                  <c:v>79.995739515898293</c:v>
                </c:pt>
                <c:pt idx="18">
                  <c:v>81.618426723313064</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2.1924645641939198</c:v>
                </c:pt>
                <c:pt idx="3">
                  <c:v>2.2145844924852267</c:v>
                </c:pt>
                <c:pt idx="4">
                  <c:v>2.4888643450069905</c:v>
                </c:pt>
                <c:pt idx="5">
                  <c:v>3.3363868251934181</c:v>
                </c:pt>
                <c:pt idx="6">
                  <c:v>4.4591378553858814</c:v>
                </c:pt>
                <c:pt idx="7">
                  <c:v>5.5467104281091615</c:v>
                </c:pt>
                <c:pt idx="8">
                  <c:v>5.9586240856726436</c:v>
                </c:pt>
                <c:pt idx="10">
                  <c:v>2.2490953086010257</c:v>
                </c:pt>
                <c:pt idx="11">
                  <c:v>2.2770909769870764</c:v>
                </c:pt>
                <c:pt idx="12">
                  <c:v>2.1924645641939198</c:v>
                </c:pt>
                <c:pt idx="13">
                  <c:v>2.2145844924852267</c:v>
                </c:pt>
                <c:pt idx="14">
                  <c:v>2.3644188697197861</c:v>
                </c:pt>
                <c:pt idx="15">
                  <c:v>3.0110862341282676</c:v>
                </c:pt>
                <c:pt idx="16">
                  <c:v>3.8223970781243763</c:v>
                </c:pt>
                <c:pt idx="17">
                  <c:v>4.5176297792986562</c:v>
                </c:pt>
                <c:pt idx="18">
                  <c:v>4.6092684102440833</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0.62810685408386391</c:v>
                </c:pt>
                <c:pt idx="3">
                  <c:v>0.63444386805367525</c:v>
                </c:pt>
                <c:pt idx="4">
                  <c:v>0.71302076189249108</c:v>
                </c:pt>
                <c:pt idx="5">
                  <c:v>0.95582271522347628</c:v>
                </c:pt>
                <c:pt idx="6">
                  <c:v>1.2774733494050514</c:v>
                </c:pt>
                <c:pt idx="7">
                  <c:v>1.5890459049652672</c:v>
                </c:pt>
                <c:pt idx="8">
                  <c:v>1.7070527342804307</c:v>
                </c:pt>
                <c:pt idx="10">
                  <c:v>0.64433067785501452</c:v>
                </c:pt>
                <c:pt idx="11">
                  <c:v>0.65235099959024967</c:v>
                </c:pt>
                <c:pt idx="12">
                  <c:v>0.62810685408386391</c:v>
                </c:pt>
                <c:pt idx="13">
                  <c:v>0.63444386805367525</c:v>
                </c:pt>
                <c:pt idx="14">
                  <c:v>0.67736907690557524</c:v>
                </c:pt>
                <c:pt idx="15">
                  <c:v>0.86262917667218164</c:v>
                </c:pt>
                <c:pt idx="16">
                  <c:v>1.0950570618151625</c:v>
                </c:pt>
                <c:pt idx="17">
                  <c:v>1.2942303720352772</c:v>
                </c:pt>
                <c:pt idx="18">
                  <c:v>1.3204834085202004</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16.341846000266067</c:v>
                </c:pt>
                <c:pt idx="3">
                  <c:v>21.662425175294217</c:v>
                </c:pt>
                <c:pt idx="4">
                  <c:v>24.345351386737054</c:v>
                </c:pt>
                <c:pt idx="5">
                  <c:v>32.635571233266909</c:v>
                </c:pt>
                <c:pt idx="6">
                  <c:v>43.617997175722103</c:v>
                </c:pt>
                <c:pt idx="7">
                  <c:v>54.256317618796132</c:v>
                </c:pt>
                <c:pt idx="8">
                  <c:v>58.285537915393242</c:v>
                </c:pt>
                <c:pt idx="10">
                  <c:v>22</c:v>
                </c:pt>
                <c:pt idx="11">
                  <c:v>22.273845533418598</c:v>
                </c:pt>
                <c:pt idx="12">
                  <c:v>16.341846000266067</c:v>
                </c:pt>
                <c:pt idx="13">
                  <c:v>21.662425175294217</c:v>
                </c:pt>
                <c:pt idx="14">
                  <c:v>35.39933406239382</c:v>
                </c:pt>
                <c:pt idx="15">
                  <c:v>61.530990968900106</c:v>
                </c:pt>
                <c:pt idx="16">
                  <c:v>100.09129813895515</c:v>
                </c:pt>
                <c:pt idx="17">
                  <c:v>145.6430039824954</c:v>
                </c:pt>
                <c:pt idx="18">
                  <c:v>177.9672437698697</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26.703251105538467</c:v>
                </c:pt>
                <c:pt idx="2">
                  <c:v>25.706609742210937</c:v>
                </c:pt>
                <c:pt idx="3">
                  <c:v>25.966451338109337</c:v>
                </c:pt>
                <c:pt idx="4">
                  <c:v>29.181864264415765</c:v>
                </c:pt>
                <c:pt idx="5">
                  <c:v>39.119041446232735</c:v>
                </c:pt>
                <c:pt idx="6">
                  <c:v>52.273951627345546</c:v>
                </c:pt>
                <c:pt idx="7">
                  <c:v>65.032198783466242</c:v>
                </c:pt>
                <c:pt idx="8">
                  <c:v>69.843532104730272</c:v>
                </c:pt>
                <c:pt idx="10">
                  <c:v>27.142505514316699</c:v>
                </c:pt>
                <c:pt idx="11">
                  <c:v>26.703251105538467</c:v>
                </c:pt>
                <c:pt idx="12">
                  <c:v>25.706609742210937</c:v>
                </c:pt>
                <c:pt idx="13">
                  <c:v>25.966451338109337</c:v>
                </c:pt>
                <c:pt idx="14">
                  <c:v>29.524120697146564</c:v>
                </c:pt>
                <c:pt idx="15">
                  <c:v>40.013708412641947</c:v>
                </c:pt>
                <c:pt idx="16">
                  <c:v>54.022789586186938</c:v>
                </c:pt>
                <c:pt idx="17">
                  <c:v>67.861806956783795</c:v>
                </c:pt>
                <c:pt idx="18">
                  <c:v>73.549690484162284</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87.357882681535756</c:v>
                </c:pt>
                <c:pt idx="2">
                  <c:v>84.559607459462228</c:v>
                </c:pt>
                <c:pt idx="3">
                  <c:v>86.9457419513449</c:v>
                </c:pt>
                <c:pt idx="4">
                  <c:v>91.870107239718436</c:v>
                </c:pt>
                <c:pt idx="5">
                  <c:v>112.58429272743091</c:v>
                </c:pt>
                <c:pt idx="6">
                  <c:v>148.41084013675146</c:v>
                </c:pt>
                <c:pt idx="7">
                  <c:v>183.24497714602427</c:v>
                </c:pt>
                <c:pt idx="8">
                  <c:v>196.27767980712804</c:v>
                </c:pt>
                <c:pt idx="10">
                  <c:v>88.672727178245694</c:v>
                </c:pt>
                <c:pt idx="11">
                  <c:v>87.357882681535756</c:v>
                </c:pt>
                <c:pt idx="12">
                  <c:v>84.559607459462228</c:v>
                </c:pt>
                <c:pt idx="13">
                  <c:v>86.9457419513449</c:v>
                </c:pt>
                <c:pt idx="14">
                  <c:v>91.870107239718436</c:v>
                </c:pt>
                <c:pt idx="15">
                  <c:v>112.58429272743091</c:v>
                </c:pt>
                <c:pt idx="16">
                  <c:v>148.41084013675146</c:v>
                </c:pt>
                <c:pt idx="17">
                  <c:v>183.24497714602427</c:v>
                </c:pt>
                <c:pt idx="18">
                  <c:v>196.27767980712804</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199.85599936873621</c:v>
                </c:pt>
                <c:pt idx="1">
                  <c:v>221.0803296454566</c:v>
                </c:pt>
                <c:pt idx="2">
                  <c:v>296.36388203248873</c:v>
                </c:pt>
                <c:pt idx="3">
                  <c:v>529.29143355547785</c:v>
                </c:pt>
                <c:pt idx="5">
                  <c:v>198.99120798726022</c:v>
                </c:pt>
                <c:pt idx="6">
                  <c:v>217.22208405837273</c:v>
                </c:pt>
                <c:pt idx="7">
                  <c:v>267.46840353432106</c:v>
                </c:pt>
                <c:pt idx="8">
                  <c:v>409.5556216672764</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16.341846000266067</c:v>
                </c:pt>
                <c:pt idx="1">
                  <c:v>24.345351386737054</c:v>
                </c:pt>
                <c:pt idx="2">
                  <c:v>32.635571233266909</c:v>
                </c:pt>
                <c:pt idx="3">
                  <c:v>58.285537915393242</c:v>
                </c:pt>
                <c:pt idx="5">
                  <c:v>17.206637381742077</c:v>
                </c:pt>
                <c:pt idx="6">
                  <c:v>28.203596973820897</c:v>
                </c:pt>
                <c:pt idx="7">
                  <c:v>61.531049731434578</c:v>
                </c:pt>
                <c:pt idx="8">
                  <c:v>178.02134980359452</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FTRA!$AM$80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216.19784536900227</c:v>
                </c:pt>
                <c:pt idx="1">
                  <c:v>245.42568103219367</c:v>
                </c:pt>
                <c:pt idx="2">
                  <c:v>328.99945326575562</c:v>
                </c:pt>
                <c:pt idx="3">
                  <c:v>587.57697147087106</c:v>
                </c:pt>
                <c:pt idx="5">
                  <c:v>216.19784536900229</c:v>
                </c:pt>
                <c:pt idx="6">
                  <c:v>245.42568103219364</c:v>
                </c:pt>
                <c:pt idx="7">
                  <c:v>328.99945326575562</c:v>
                </c:pt>
                <c:pt idx="8">
                  <c:v>587.57697147087094</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FTRA!$J$137:$AO$137</c:f>
              <c:numCache>
                <c:formatCode>0.00</c:formatCode>
                <c:ptCount val="32"/>
                <c:pt idx="0">
                  <c:v>47.584820585749902</c:v>
                </c:pt>
                <c:pt idx="1">
                  <c:v>47.880977189748378</c:v>
                </c:pt>
                <c:pt idx="2">
                  <c:v>48.177133793746854</c:v>
                </c:pt>
                <c:pt idx="3">
                  <c:v>46.38666602024783</c:v>
                </c:pt>
                <c:pt idx="4">
                  <c:v>46.854664337209421</c:v>
                </c:pt>
                <c:pt idx="5">
                  <c:v>47.499444955473628</c:v>
                </c:pt>
                <c:pt idx="6">
                  <c:v>48.144225573737835</c:v>
                </c:pt>
                <c:pt idx="7">
                  <c:v>48.789006192002041</c:v>
                </c:pt>
                <c:pt idx="8">
                  <c:v>48.789006192002041</c:v>
                </c:pt>
                <c:pt idx="9">
                  <c:v>48.789006192002041</c:v>
                </c:pt>
                <c:pt idx="10">
                  <c:v>49.433786810266248</c:v>
                </c:pt>
                <c:pt idx="11">
                  <c:v>50.078567428530455</c:v>
                </c:pt>
                <c:pt idx="12">
                  <c:v>50.723348046794662</c:v>
                </c:pt>
                <c:pt idx="13">
                  <c:v>51.368128665058869</c:v>
                </c:pt>
                <c:pt idx="14">
                  <c:v>52.012909283323076</c:v>
                </c:pt>
                <c:pt idx="15">
                  <c:v>52.65768990158729</c:v>
                </c:pt>
                <c:pt idx="16">
                  <c:v>54.450820010739768</c:v>
                </c:pt>
                <c:pt idx="17">
                  <c:v>56.243950119892247</c:v>
                </c:pt>
                <c:pt idx="18">
                  <c:v>56.243950119892247</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82.466190267385201</c:v>
                </c:pt>
                <c:pt idx="29">
                  <c:v>94.343389541658269</c:v>
                </c:pt>
                <c:pt idx="30">
                  <c:v>117.35350634244885</c:v>
                </c:pt>
                <c:pt idx="31">
                  <c:v>126.06849383854137</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FTRA!$J$138:$AO$138</c:f>
              <c:numCache>
                <c:formatCode>0.00</c:formatCode>
                <c:ptCount val="32"/>
                <c:pt idx="0">
                  <c:v>3.6514783707452798</c:v>
                </c:pt>
                <c:pt idx="1">
                  <c:v>3.9360166491438862</c:v>
                </c:pt>
                <c:pt idx="2">
                  <c:v>4.2205549275424925</c:v>
                </c:pt>
                <c:pt idx="3">
                  <c:v>4.0637011052209129</c:v>
                </c:pt>
                <c:pt idx="4">
                  <c:v>4.1047000698166478</c:v>
                </c:pt>
                <c:pt idx="5">
                  <c:v>4.1611860373557157</c:v>
                </c:pt>
                <c:pt idx="6">
                  <c:v>4.2176720048947836</c:v>
                </c:pt>
                <c:pt idx="7">
                  <c:v>4.2741579724338514</c:v>
                </c:pt>
                <c:pt idx="8">
                  <c:v>4.2741579724338514</c:v>
                </c:pt>
                <c:pt idx="9">
                  <c:v>4.2741579724338514</c:v>
                </c:pt>
                <c:pt idx="10">
                  <c:v>4.3306439399729193</c:v>
                </c:pt>
                <c:pt idx="11">
                  <c:v>4.3871299075119872</c:v>
                </c:pt>
                <c:pt idx="12">
                  <c:v>4.443615875051055</c:v>
                </c:pt>
                <c:pt idx="13">
                  <c:v>4.5001018425901229</c:v>
                </c:pt>
                <c:pt idx="14">
                  <c:v>4.5565878101291908</c:v>
                </c:pt>
                <c:pt idx="15">
                  <c:v>4.6130737776682551</c:v>
                </c:pt>
                <c:pt idx="16">
                  <c:v>4.7098673764458727</c:v>
                </c:pt>
                <c:pt idx="17">
                  <c:v>4.8066609752234903</c:v>
                </c:pt>
                <c:pt idx="18">
                  <c:v>4.8066609752234903</c:v>
                </c:pt>
                <c:pt idx="19">
                  <c:v>4.8066609752234903</c:v>
                </c:pt>
                <c:pt idx="20">
                  <c:v>4.903454574001108</c:v>
                </c:pt>
                <c:pt idx="21">
                  <c:v>5.0002481727787256</c:v>
                </c:pt>
                <c:pt idx="22">
                  <c:v>5.0970417715563432</c:v>
                </c:pt>
                <c:pt idx="23">
                  <c:v>5.1938353703339608</c:v>
                </c:pt>
                <c:pt idx="24">
                  <c:v>5.2906289691115784</c:v>
                </c:pt>
                <c:pt idx="25">
                  <c:v>5.387422567889196</c:v>
                </c:pt>
                <c:pt idx="26">
                  <c:v>5.4842161666668137</c:v>
                </c:pt>
                <c:pt idx="27">
                  <c:v>5.5810097654444339</c:v>
                </c:pt>
                <c:pt idx="28">
                  <c:v>6.3335843515098915</c:v>
                </c:pt>
                <c:pt idx="29">
                  <c:v>7.0861589375753464</c:v>
                </c:pt>
                <c:pt idx="30">
                  <c:v>8.3737326141361095</c:v>
                </c:pt>
                <c:pt idx="31">
                  <c:v>8.5458091266635687</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FTRA!$J$139:$AO$139</c:f>
              <c:numCache>
                <c:formatCode>0.00</c:formatCode>
                <c:ptCount val="32"/>
                <c:pt idx="0">
                  <c:v>1.0030192144974699</c:v>
                </c:pt>
                <c:pt idx="1">
                  <c:v>1.009261767493451</c:v>
                </c:pt>
                <c:pt idx="2">
                  <c:v>1.0155043204894318</c:v>
                </c:pt>
                <c:pt idx="3">
                  <c:v>0.97776384868242405</c:v>
                </c:pt>
                <c:pt idx="4">
                  <c:v>0.98762857651971914</c:v>
                </c:pt>
                <c:pt idx="5">
                  <c:v>0.99505324207490387</c:v>
                </c:pt>
                <c:pt idx="6">
                  <c:v>1.0024779076300885</c:v>
                </c:pt>
                <c:pt idx="7">
                  <c:v>1.0099025731852731</c:v>
                </c:pt>
                <c:pt idx="8">
                  <c:v>1.0099025731852731</c:v>
                </c:pt>
                <c:pt idx="9">
                  <c:v>1.0099025731852731</c:v>
                </c:pt>
                <c:pt idx="10">
                  <c:v>1.0173272387404577</c:v>
                </c:pt>
                <c:pt idx="11">
                  <c:v>1.0247519042956423</c:v>
                </c:pt>
                <c:pt idx="12">
                  <c:v>1.032176569850827</c:v>
                </c:pt>
                <c:pt idx="13">
                  <c:v>1.0396012354060116</c:v>
                </c:pt>
                <c:pt idx="14">
                  <c:v>1.0470259009611962</c:v>
                </c:pt>
                <c:pt idx="15">
                  <c:v>1.0544505665163815</c:v>
                </c:pt>
                <c:pt idx="16">
                  <c:v>1.0832897361525546</c:v>
                </c:pt>
                <c:pt idx="17">
                  <c:v>1.1121289057887278</c:v>
                </c:pt>
                <c:pt idx="18">
                  <c:v>1.1121289057887278</c:v>
                </c:pt>
                <c:pt idx="19">
                  <c:v>1.1121289057887278</c:v>
                </c:pt>
                <c:pt idx="20">
                  <c:v>1.140968075424901</c:v>
                </c:pt>
                <c:pt idx="21">
                  <c:v>1.1698072450610741</c:v>
                </c:pt>
                <c:pt idx="22">
                  <c:v>1.1986464146972473</c:v>
                </c:pt>
                <c:pt idx="23">
                  <c:v>1.2274855843334205</c:v>
                </c:pt>
                <c:pt idx="24">
                  <c:v>1.2563247539695936</c:v>
                </c:pt>
                <c:pt idx="25">
                  <c:v>1.2851639236057668</c:v>
                </c:pt>
                <c:pt idx="26">
                  <c:v>1.31400309324194</c:v>
                </c:pt>
                <c:pt idx="27">
                  <c:v>1.3428422628781138</c:v>
                </c:pt>
                <c:pt idx="28">
                  <c:v>1.5239186276596077</c:v>
                </c:pt>
                <c:pt idx="29">
                  <c:v>1.7049949924411019</c:v>
                </c:pt>
                <c:pt idx="30">
                  <c:v>2.0147970573220011</c:v>
                </c:pt>
                <c:pt idx="31">
                  <c:v>2.056200248354072</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FTRA!$J$140:$AO$140</c:f>
              <c:numCache>
                <c:formatCode>0.00</c:formatCode>
                <c:ptCount val="32"/>
                <c:pt idx="0">
                  <c:v>3.29935437842208</c:v>
                </c:pt>
                <c:pt idx="1">
                  <c:v>3.3198887752333528</c:v>
                </c:pt>
                <c:pt idx="2">
                  <c:v>3.3404231720446251</c:v>
                </c:pt>
                <c:pt idx="3">
                  <c:v>3.2162787996334212</c:v>
                </c:pt>
                <c:pt idx="4">
                  <c:v>3.2487280613339848</c:v>
                </c:pt>
                <c:pt idx="5">
                  <c:v>3.2731509262739067</c:v>
                </c:pt>
                <c:pt idx="6">
                  <c:v>3.2975737912138285</c:v>
                </c:pt>
                <c:pt idx="7">
                  <c:v>3.3219966561537504</c:v>
                </c:pt>
                <c:pt idx="8">
                  <c:v>3.3219966561537504</c:v>
                </c:pt>
                <c:pt idx="9">
                  <c:v>3.3219966561537504</c:v>
                </c:pt>
                <c:pt idx="10">
                  <c:v>3.3464195210936722</c:v>
                </c:pt>
                <c:pt idx="11">
                  <c:v>3.3708423860335941</c:v>
                </c:pt>
                <c:pt idx="12">
                  <c:v>3.3952652509735159</c:v>
                </c:pt>
                <c:pt idx="13">
                  <c:v>3.4196881159134378</c:v>
                </c:pt>
                <c:pt idx="14">
                  <c:v>3.4441109808533596</c:v>
                </c:pt>
                <c:pt idx="15">
                  <c:v>3.4685338457932815</c:v>
                </c:pt>
                <c:pt idx="16">
                  <c:v>3.5633980709585367</c:v>
                </c:pt>
                <c:pt idx="17">
                  <c:v>3.6582622961237918</c:v>
                </c:pt>
                <c:pt idx="18">
                  <c:v>3.6582622961237918</c:v>
                </c:pt>
                <c:pt idx="19">
                  <c:v>3.6582622961237918</c:v>
                </c:pt>
                <c:pt idx="20">
                  <c:v>3.753126521289047</c:v>
                </c:pt>
                <c:pt idx="21">
                  <c:v>3.8479907464543022</c:v>
                </c:pt>
                <c:pt idx="22">
                  <c:v>3.9428549716195573</c:v>
                </c:pt>
                <c:pt idx="23">
                  <c:v>4.0377191967848125</c:v>
                </c:pt>
                <c:pt idx="24">
                  <c:v>4.1325834219500672</c:v>
                </c:pt>
                <c:pt idx="25">
                  <c:v>4.2274476471153219</c:v>
                </c:pt>
                <c:pt idx="26">
                  <c:v>4.3223118722805767</c:v>
                </c:pt>
                <c:pt idx="27">
                  <c:v>4.4171760974458323</c:v>
                </c:pt>
                <c:pt idx="28">
                  <c:v>5.0128128393300857</c:v>
                </c:pt>
                <c:pt idx="29">
                  <c:v>5.6084495812143391</c:v>
                </c:pt>
                <c:pt idx="30">
                  <c:v>6.6275195894804417</c:v>
                </c:pt>
                <c:pt idx="31">
                  <c:v>6.7637121944055139</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FTRA!$J$141:$AO$141</c:f>
              <c:numCache>
                <c:formatCode>0.00</c:formatCode>
                <c:ptCount val="32"/>
                <c:pt idx="0">
                  <c:v>0.59840698910616097</c:v>
                </c:pt>
                <c:pt idx="1">
                  <c:v>0.6021313318591881</c:v>
                </c:pt>
                <c:pt idx="2">
                  <c:v>0.60585567461221534</c:v>
                </c:pt>
                <c:pt idx="3">
                  <c:v>0.58333949369060389</c:v>
                </c:pt>
                <c:pt idx="4">
                  <c:v>0.5892248466311506</c:v>
                </c:pt>
                <c:pt idx="5">
                  <c:v>0.5936544444850903</c:v>
                </c:pt>
                <c:pt idx="6">
                  <c:v>0.59808404233903001</c:v>
                </c:pt>
                <c:pt idx="7">
                  <c:v>0.60251364019296971</c:v>
                </c:pt>
                <c:pt idx="8">
                  <c:v>0.60251364019296971</c:v>
                </c:pt>
                <c:pt idx="9">
                  <c:v>0.60251364019296971</c:v>
                </c:pt>
                <c:pt idx="10">
                  <c:v>0.60694323804690942</c:v>
                </c:pt>
                <c:pt idx="11">
                  <c:v>0.61137283590084912</c:v>
                </c:pt>
                <c:pt idx="12">
                  <c:v>0.61580243375478882</c:v>
                </c:pt>
                <c:pt idx="13">
                  <c:v>0.62023203160872853</c:v>
                </c:pt>
                <c:pt idx="14">
                  <c:v>0.62466162946266823</c:v>
                </c:pt>
                <c:pt idx="15">
                  <c:v>0.62909122731660805</c:v>
                </c:pt>
                <c:pt idx="16">
                  <c:v>0.64629684055000014</c:v>
                </c:pt>
                <c:pt idx="17">
                  <c:v>0.66350245378339223</c:v>
                </c:pt>
                <c:pt idx="18">
                  <c:v>0.66350245378339223</c:v>
                </c:pt>
                <c:pt idx="19">
                  <c:v>0.66350245378339223</c:v>
                </c:pt>
                <c:pt idx="20">
                  <c:v>0.68070806701678432</c:v>
                </c:pt>
                <c:pt idx="21">
                  <c:v>0.69791368025017642</c:v>
                </c:pt>
                <c:pt idx="22">
                  <c:v>0.71511929348356851</c:v>
                </c:pt>
                <c:pt idx="23">
                  <c:v>0.7323249067169606</c:v>
                </c:pt>
                <c:pt idx="24">
                  <c:v>0.74953051995035269</c:v>
                </c:pt>
                <c:pt idx="25">
                  <c:v>0.76673613318374478</c:v>
                </c:pt>
                <c:pt idx="26">
                  <c:v>0.78394174641713688</c:v>
                </c:pt>
                <c:pt idx="27">
                  <c:v>0.8011473596505293</c:v>
                </c:pt>
                <c:pt idx="28">
                  <c:v>0.90917855255391933</c:v>
                </c:pt>
                <c:pt idx="29">
                  <c:v>1.017209745457309</c:v>
                </c:pt>
                <c:pt idx="30">
                  <c:v>1.2020394258708922</c:v>
                </c:pt>
                <c:pt idx="31">
                  <c:v>1.2267408059908154</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FTRA!$J$142:$AO$142</c:f>
              <c:numCache>
                <c:formatCode>0.00</c:formatCode>
                <c:ptCount val="32"/>
                <c:pt idx="0">
                  <c:v>0.29798809605332599</c:v>
                </c:pt>
                <c:pt idx="1">
                  <c:v>0.29984270307869226</c:v>
                </c:pt>
                <c:pt idx="2">
                  <c:v>0.30169731010405854</c:v>
                </c:pt>
                <c:pt idx="3">
                  <c:v>0.29048495128243912</c:v>
                </c:pt>
                <c:pt idx="4">
                  <c:v>0.29341567426743453</c:v>
                </c:pt>
                <c:pt idx="5">
                  <c:v>0.29562147643018838</c:v>
                </c:pt>
                <c:pt idx="6">
                  <c:v>0.29782727859294222</c:v>
                </c:pt>
                <c:pt idx="7">
                  <c:v>0.30003308075569607</c:v>
                </c:pt>
                <c:pt idx="8">
                  <c:v>0.30003308075569607</c:v>
                </c:pt>
                <c:pt idx="9">
                  <c:v>0.30003308075569607</c:v>
                </c:pt>
                <c:pt idx="10">
                  <c:v>0.30223888291844991</c:v>
                </c:pt>
                <c:pt idx="11">
                  <c:v>0.30444468508120376</c:v>
                </c:pt>
                <c:pt idx="12">
                  <c:v>0.3066504872439576</c:v>
                </c:pt>
                <c:pt idx="13">
                  <c:v>0.30885628940671145</c:v>
                </c:pt>
                <c:pt idx="14">
                  <c:v>0.31106209156946529</c:v>
                </c:pt>
                <c:pt idx="15">
                  <c:v>0.3132678937322193</c:v>
                </c:pt>
                <c:pt idx="16">
                  <c:v>0.32183575477359305</c:v>
                </c:pt>
                <c:pt idx="17">
                  <c:v>0.3304036158149668</c:v>
                </c:pt>
                <c:pt idx="18">
                  <c:v>0.3304036158149668</c:v>
                </c:pt>
                <c:pt idx="19">
                  <c:v>0.3304036158149668</c:v>
                </c:pt>
                <c:pt idx="20">
                  <c:v>0.33897147685634055</c:v>
                </c:pt>
                <c:pt idx="21">
                  <c:v>0.3475393378977143</c:v>
                </c:pt>
                <c:pt idx="22">
                  <c:v>0.35610719893908804</c:v>
                </c:pt>
                <c:pt idx="23">
                  <c:v>0.36467505998046179</c:v>
                </c:pt>
                <c:pt idx="24">
                  <c:v>0.37324292102183554</c:v>
                </c:pt>
                <c:pt idx="25">
                  <c:v>0.38181078206320929</c:v>
                </c:pt>
                <c:pt idx="26">
                  <c:v>0.39037864310458303</c:v>
                </c:pt>
                <c:pt idx="27">
                  <c:v>0.39894650414595656</c:v>
                </c:pt>
                <c:pt idx="28">
                  <c:v>0.4527426831239727</c:v>
                </c:pt>
                <c:pt idx="29">
                  <c:v>0.50653886210198873</c:v>
                </c:pt>
                <c:pt idx="30">
                  <c:v>0.59857830275567625</c:v>
                </c:pt>
                <c:pt idx="31">
                  <c:v>0.61087882291306961</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FTRA!$J$143:$AO$143</c:f>
              <c:numCache>
                <c:formatCode>0.00</c:formatCode>
                <c:ptCount val="32"/>
                <c:pt idx="0">
                  <c:v>6.6621877646371201</c:v>
                </c:pt>
                <c:pt idx="1">
                  <c:v>6.7819219966270463</c:v>
                </c:pt>
                <c:pt idx="2">
                  <c:v>6.9016562286169734</c:v>
                </c:pt>
                <c:pt idx="3">
                  <c:v>6.7116128591697501</c:v>
                </c:pt>
                <c:pt idx="4">
                  <c:v>6.8240748222214735</c:v>
                </c:pt>
                <c:pt idx="5">
                  <c:v>6.8850023780075267</c:v>
                </c:pt>
                <c:pt idx="6">
                  <c:v>6.9459299337935798</c:v>
                </c:pt>
                <c:pt idx="7">
                  <c:v>7.0068574895796329</c:v>
                </c:pt>
                <c:pt idx="8">
                  <c:v>7.0068574895796329</c:v>
                </c:pt>
                <c:pt idx="9">
                  <c:v>7.0068574895796329</c:v>
                </c:pt>
                <c:pt idx="10">
                  <c:v>7.0677850453656861</c:v>
                </c:pt>
                <c:pt idx="11">
                  <c:v>7.1287126011517392</c:v>
                </c:pt>
                <c:pt idx="12">
                  <c:v>7.1896401569377923</c:v>
                </c:pt>
                <c:pt idx="13">
                  <c:v>7.2505677127238455</c:v>
                </c:pt>
                <c:pt idx="14">
                  <c:v>7.3114952685098986</c:v>
                </c:pt>
                <c:pt idx="15">
                  <c:v>7.3724228242959535</c:v>
                </c:pt>
                <c:pt idx="16">
                  <c:v>7.5271143317954401</c:v>
                </c:pt>
                <c:pt idx="17">
                  <c:v>7.6818058392949267</c:v>
                </c:pt>
                <c:pt idx="18">
                  <c:v>7.6818058392949267</c:v>
                </c:pt>
                <c:pt idx="19">
                  <c:v>7.6818058392949267</c:v>
                </c:pt>
                <c:pt idx="20">
                  <c:v>7.8364973467944132</c:v>
                </c:pt>
                <c:pt idx="21">
                  <c:v>7.9911888542938998</c:v>
                </c:pt>
                <c:pt idx="22">
                  <c:v>8.1458803617933864</c:v>
                </c:pt>
                <c:pt idx="23">
                  <c:v>8.3005718692928738</c:v>
                </c:pt>
                <c:pt idx="24">
                  <c:v>8.4552633767923613</c:v>
                </c:pt>
                <c:pt idx="25">
                  <c:v>8.6099548842918487</c:v>
                </c:pt>
                <c:pt idx="26">
                  <c:v>8.7646463917913362</c:v>
                </c:pt>
                <c:pt idx="27">
                  <c:v>8.9193378992908219</c:v>
                </c:pt>
                <c:pt idx="28">
                  <c:v>10.122071330989481</c:v>
                </c:pt>
                <c:pt idx="29">
                  <c:v>11.324804762688142</c:v>
                </c:pt>
                <c:pt idx="30">
                  <c:v>13.382551509985426</c:v>
                </c:pt>
                <c:pt idx="31">
                  <c:v>13.657557042007054</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FTRA!$J$144:$AO$144</c:f>
              <c:numCache>
                <c:formatCode>0.00</c:formatCode>
                <c:ptCount val="32"/>
                <c:pt idx="0">
                  <c:v>2.2261566306639899</c:v>
                </c:pt>
                <c:pt idx="1">
                  <c:v>2.2400116999821158</c:v>
                </c:pt>
                <c:pt idx="2">
                  <c:v>2.2538667693002417</c:v>
                </c:pt>
                <c:pt idx="3">
                  <c:v>2.1701034671189854</c:v>
                </c:pt>
                <c:pt idx="4">
                  <c:v>2.1919977927383534</c:v>
                </c:pt>
                <c:pt idx="5">
                  <c:v>2.2084765084172129</c:v>
                </c:pt>
                <c:pt idx="6">
                  <c:v>2.2249552240960724</c:v>
                </c:pt>
                <c:pt idx="7">
                  <c:v>2.2414339397749319</c:v>
                </c:pt>
                <c:pt idx="8">
                  <c:v>2.2414339397749319</c:v>
                </c:pt>
                <c:pt idx="9">
                  <c:v>2.2414339397749319</c:v>
                </c:pt>
                <c:pt idx="10">
                  <c:v>2.2579126554537914</c:v>
                </c:pt>
                <c:pt idx="11">
                  <c:v>2.2743913711326509</c:v>
                </c:pt>
                <c:pt idx="12">
                  <c:v>2.2908700868115104</c:v>
                </c:pt>
                <c:pt idx="13">
                  <c:v>2.3073488024903699</c:v>
                </c:pt>
                <c:pt idx="14">
                  <c:v>2.3238275181692294</c:v>
                </c:pt>
                <c:pt idx="15">
                  <c:v>2.3403062338480902</c:v>
                </c:pt>
                <c:pt idx="16">
                  <c:v>2.4043134909180122</c:v>
                </c:pt>
                <c:pt idx="17">
                  <c:v>2.4683207479879341</c:v>
                </c:pt>
                <c:pt idx="18">
                  <c:v>2.4683207479879341</c:v>
                </c:pt>
                <c:pt idx="19">
                  <c:v>2.4683207479879341</c:v>
                </c:pt>
                <c:pt idx="20">
                  <c:v>2.532328005057856</c:v>
                </c:pt>
                <c:pt idx="21">
                  <c:v>2.596335262127778</c:v>
                </c:pt>
                <c:pt idx="22">
                  <c:v>2.6603425191976999</c:v>
                </c:pt>
                <c:pt idx="23">
                  <c:v>2.7243497762676219</c:v>
                </c:pt>
                <c:pt idx="24">
                  <c:v>2.7883570333375438</c:v>
                </c:pt>
                <c:pt idx="25">
                  <c:v>2.8523642904074658</c:v>
                </c:pt>
                <c:pt idx="26">
                  <c:v>2.9163715474773877</c:v>
                </c:pt>
                <c:pt idx="27">
                  <c:v>2.9803788045473083</c:v>
                </c:pt>
                <c:pt idx="28">
                  <c:v>3.3822697596640721</c:v>
                </c:pt>
                <c:pt idx="29">
                  <c:v>3.7841607147808358</c:v>
                </c:pt>
                <c:pt idx="30">
                  <c:v>4.4717526481751984</c:v>
                </c:pt>
                <c:pt idx="31">
                  <c:v>4.5636451931179902</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FTRA!$J$145:$AO$145</c:f>
              <c:numCache>
                <c:formatCode>0.00</c:formatCode>
                <c:ptCount val="32"/>
                <c:pt idx="0">
                  <c:v>0.122213678849837</c:v>
                </c:pt>
                <c:pt idx="1">
                  <c:v>0.12297430771519344</c:v>
                </c:pt>
                <c:pt idx="2">
                  <c:v>0.12373493658054988</c:v>
                </c:pt>
                <c:pt idx="3">
                  <c:v>0.11913641859166579</c:v>
                </c:pt>
                <c:pt idx="4">
                  <c:v>0.12033839424918329</c:v>
                </c:pt>
                <c:pt idx="5">
                  <c:v>0.12124305856529353</c:v>
                </c:pt>
                <c:pt idx="6">
                  <c:v>0.12214772288140378</c:v>
                </c:pt>
                <c:pt idx="7">
                  <c:v>0.12305238719751403</c:v>
                </c:pt>
                <c:pt idx="8">
                  <c:v>0.12305238719751403</c:v>
                </c:pt>
                <c:pt idx="9">
                  <c:v>0.12305238719751403</c:v>
                </c:pt>
                <c:pt idx="10">
                  <c:v>0.12395705151362428</c:v>
                </c:pt>
                <c:pt idx="11">
                  <c:v>0.12486171582973453</c:v>
                </c:pt>
                <c:pt idx="12">
                  <c:v>0.12576638014584476</c:v>
                </c:pt>
                <c:pt idx="13">
                  <c:v>0.12667104446195501</c:v>
                </c:pt>
                <c:pt idx="14">
                  <c:v>0.12757570877806526</c:v>
                </c:pt>
                <c:pt idx="15">
                  <c:v>0.12848037309417548</c:v>
                </c:pt>
                <c:pt idx="16">
                  <c:v>0.1319943047968469</c:v>
                </c:pt>
                <c:pt idx="17">
                  <c:v>0.13550823649951832</c:v>
                </c:pt>
                <c:pt idx="18">
                  <c:v>0.13550823649951832</c:v>
                </c:pt>
                <c:pt idx="19">
                  <c:v>0.13550823649951832</c:v>
                </c:pt>
                <c:pt idx="20">
                  <c:v>0.13902216820218974</c:v>
                </c:pt>
                <c:pt idx="21">
                  <c:v>0.14253609990486116</c:v>
                </c:pt>
                <c:pt idx="22">
                  <c:v>0.14605003160753258</c:v>
                </c:pt>
                <c:pt idx="23">
                  <c:v>0.149563963310204</c:v>
                </c:pt>
                <c:pt idx="24">
                  <c:v>0.15307789501287541</c:v>
                </c:pt>
                <c:pt idx="25">
                  <c:v>0.15659182671554683</c:v>
                </c:pt>
                <c:pt idx="26">
                  <c:v>0.16010575841821825</c:v>
                </c:pt>
                <c:pt idx="27">
                  <c:v>0.1636196901208897</c:v>
                </c:pt>
                <c:pt idx="28">
                  <c:v>0.18568308469283615</c:v>
                </c:pt>
                <c:pt idx="29">
                  <c:v>0.20774647926478257</c:v>
                </c:pt>
                <c:pt idx="30">
                  <c:v>0.24549455977721832</c:v>
                </c:pt>
                <c:pt idx="31">
                  <c:v>0.25053936472114663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FTRA!$J$146:$AO$146</c:f>
              <c:numCache>
                <c:formatCode>0.00</c:formatCode>
                <c:ptCount val="32"/>
                <c:pt idx="0">
                  <c:v>2.9412068148240201E-2</c:v>
                </c:pt>
                <c:pt idx="1">
                  <c:v>2.9595121863944723E-2</c:v>
                </c:pt>
                <c:pt idx="2">
                  <c:v>2.9778175579649242E-2</c:v>
                </c:pt>
                <c:pt idx="3">
                  <c:v>2.8671491567328906E-2</c:v>
                </c:pt>
                <c:pt idx="4">
                  <c:v>2.8960760250541256E-2</c:v>
                </c:pt>
                <c:pt idx="5">
                  <c:v>2.9178477684196198E-2</c:v>
                </c:pt>
                <c:pt idx="6">
                  <c:v>2.9396195117851139E-2</c:v>
                </c:pt>
                <c:pt idx="7">
                  <c:v>2.961391255150608E-2</c:v>
                </c:pt>
                <c:pt idx="8">
                  <c:v>2.961391255150608E-2</c:v>
                </c:pt>
                <c:pt idx="9">
                  <c:v>2.961391255150608E-2</c:v>
                </c:pt>
                <c:pt idx="10">
                  <c:v>2.9831629985161021E-2</c:v>
                </c:pt>
                <c:pt idx="11">
                  <c:v>3.0049347418815962E-2</c:v>
                </c:pt>
                <c:pt idx="12">
                  <c:v>3.0267064852470903E-2</c:v>
                </c:pt>
                <c:pt idx="13">
                  <c:v>3.0484782286125844E-2</c:v>
                </c:pt>
                <c:pt idx="14">
                  <c:v>3.0702499719780785E-2</c:v>
                </c:pt>
                <c:pt idx="15">
                  <c:v>3.0920217153435729E-2</c:v>
                </c:pt>
                <c:pt idx="16">
                  <c:v>3.1765883527935607E-2</c:v>
                </c:pt>
                <c:pt idx="17">
                  <c:v>3.2611549902435477E-2</c:v>
                </c:pt>
                <c:pt idx="18">
                  <c:v>3.2611549902435477E-2</c:v>
                </c:pt>
                <c:pt idx="19">
                  <c:v>3.2611549902435477E-2</c:v>
                </c:pt>
                <c:pt idx="20">
                  <c:v>3.3457216276935348E-2</c:v>
                </c:pt>
                <c:pt idx="21">
                  <c:v>3.4302882651435218E-2</c:v>
                </c:pt>
                <c:pt idx="22">
                  <c:v>3.5148549025935089E-2</c:v>
                </c:pt>
                <c:pt idx="23">
                  <c:v>3.5994215400434959E-2</c:v>
                </c:pt>
                <c:pt idx="24">
                  <c:v>3.683988177493483E-2</c:v>
                </c:pt>
                <c:pt idx="25">
                  <c:v>3.76855481494347E-2</c:v>
                </c:pt>
                <c:pt idx="26">
                  <c:v>3.853121452393457E-2</c:v>
                </c:pt>
                <c:pt idx="27">
                  <c:v>3.9376880898434469E-2</c:v>
                </c:pt>
                <c:pt idx="28">
                  <c:v>4.4686679857427712E-2</c:v>
                </c:pt>
                <c:pt idx="29">
                  <c:v>4.9996478816420976E-2</c:v>
                </c:pt>
                <c:pt idx="30">
                  <c:v>5.9080970232976524E-2</c:v>
                </c:pt>
                <c:pt idx="31">
                  <c:v>6.0295058117424465E-2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FTRA!$J$147:$AO$147</c:f>
              <c:numCache>
                <c:formatCode>0.00</c:formatCode>
                <c:ptCount val="32"/>
                <c:pt idx="0">
                  <c:v>22</c:v>
                </c:pt>
                <c:pt idx="1">
                  <c:v>20.60902456349335</c:v>
                </c:pt>
                <c:pt idx="2">
                  <c:v>19.218049126986699</c:v>
                </c:pt>
                <c:pt idx="3">
                  <c:v>17.206637381742077</c:v>
                </c:pt>
                <c:pt idx="4">
                  <c:v>16.506720027229584</c:v>
                </c:pt>
                <c:pt idx="5">
                  <c:v>17.806373021295286</c:v>
                </c:pt>
                <c:pt idx="6">
                  <c:v>19.106026015360989</c:v>
                </c:pt>
                <c:pt idx="7">
                  <c:v>20.405679009426692</c:v>
                </c:pt>
                <c:pt idx="8">
                  <c:v>20.405679009426692</c:v>
                </c:pt>
                <c:pt idx="9">
                  <c:v>20.405679009426692</c:v>
                </c:pt>
                <c:pt idx="10">
                  <c:v>21.705332003492394</c:v>
                </c:pt>
                <c:pt idx="11">
                  <c:v>23.004984997558097</c:v>
                </c:pt>
                <c:pt idx="12">
                  <c:v>24.3046379916238</c:v>
                </c:pt>
                <c:pt idx="13">
                  <c:v>25.604290985689502</c:v>
                </c:pt>
                <c:pt idx="14">
                  <c:v>26.903943979755205</c:v>
                </c:pt>
                <c:pt idx="15">
                  <c:v>28.203596973820897</c:v>
                </c:pt>
                <c:pt idx="16">
                  <c:v>31.536342249582265</c:v>
                </c:pt>
                <c:pt idx="17">
                  <c:v>34.86908752534363</c:v>
                </c:pt>
                <c:pt idx="18">
                  <c:v>34.86908752534363</c:v>
                </c:pt>
                <c:pt idx="19">
                  <c:v>34.86908752534363</c:v>
                </c:pt>
                <c:pt idx="20">
                  <c:v>38.201832801104999</c:v>
                </c:pt>
                <c:pt idx="21">
                  <c:v>41.534578076866367</c:v>
                </c:pt>
                <c:pt idx="22">
                  <c:v>44.867323352627736</c:v>
                </c:pt>
                <c:pt idx="23">
                  <c:v>48.200068628389104</c:v>
                </c:pt>
                <c:pt idx="24">
                  <c:v>51.532813904150473</c:v>
                </c:pt>
                <c:pt idx="25">
                  <c:v>54.865559179911841</c:v>
                </c:pt>
                <c:pt idx="26">
                  <c:v>58.19830445567321</c:v>
                </c:pt>
                <c:pt idx="27">
                  <c:v>61.531049731434578</c:v>
                </c:pt>
                <c:pt idx="28">
                  <c:v>80.821075196827948</c:v>
                </c:pt>
                <c:pt idx="29">
                  <c:v>100.11110066222132</c:v>
                </c:pt>
                <c:pt idx="30">
                  <c:v>145.64946887396664</c:v>
                </c:pt>
                <c:pt idx="31">
                  <c:v>178.02134980359452</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FTRA!$J$148:$AO$148</c:f>
              <c:numCache>
                <c:formatCode>0.00</c:formatCode>
                <c:ptCount val="32"/>
                <c:pt idx="0">
                  <c:v>27.142505514316699</c:v>
                </c:pt>
                <c:pt idx="1">
                  <c:v>26.922878309927583</c:v>
                </c:pt>
                <c:pt idx="2">
                  <c:v>26.703251105538467</c:v>
                </c:pt>
                <c:pt idx="3">
                  <c:v>25.710844401627732</c:v>
                </c:pt>
                <c:pt idx="4">
                  <c:v>25.970242908568729</c:v>
                </c:pt>
                <c:pt idx="5">
                  <c:v>26.327626949537315</c:v>
                </c:pt>
                <c:pt idx="6">
                  <c:v>26.685010990505901</c:v>
                </c:pt>
                <c:pt idx="7">
                  <c:v>27.042395031474488</c:v>
                </c:pt>
                <c:pt idx="8">
                  <c:v>27.042395031474488</c:v>
                </c:pt>
                <c:pt idx="9">
                  <c:v>27.042395031474488</c:v>
                </c:pt>
                <c:pt idx="10">
                  <c:v>27.399779072443074</c:v>
                </c:pt>
                <c:pt idx="11">
                  <c:v>27.757163113411661</c:v>
                </c:pt>
                <c:pt idx="12">
                  <c:v>28.114547154380247</c:v>
                </c:pt>
                <c:pt idx="13">
                  <c:v>28.471931195348834</c:v>
                </c:pt>
                <c:pt idx="14">
                  <c:v>28.82931523631742</c:v>
                </c:pt>
                <c:pt idx="15">
                  <c:v>29.186699277286003</c:v>
                </c:pt>
                <c:pt idx="16">
                  <c:v>30.270063160100765</c:v>
                </c:pt>
                <c:pt idx="17">
                  <c:v>31.353427042915527</c:v>
                </c:pt>
                <c:pt idx="18">
                  <c:v>31.353427042915527</c:v>
                </c:pt>
                <c:pt idx="19">
                  <c:v>31.353427042915527</c:v>
                </c:pt>
                <c:pt idx="20">
                  <c:v>32.436790925730286</c:v>
                </c:pt>
                <c:pt idx="21">
                  <c:v>33.520154808545044</c:v>
                </c:pt>
                <c:pt idx="22">
                  <c:v>34.603518691359803</c:v>
                </c:pt>
                <c:pt idx="23">
                  <c:v>35.686882574174561</c:v>
                </c:pt>
                <c:pt idx="24">
                  <c:v>36.770246456989319</c:v>
                </c:pt>
                <c:pt idx="25">
                  <c:v>37.853610339804078</c:v>
                </c:pt>
                <c:pt idx="26">
                  <c:v>38.936974222618836</c:v>
                </c:pt>
                <c:pt idx="27">
                  <c:v>40.020338105433609</c:v>
                </c:pt>
                <c:pt idx="28">
                  <c:v>47.03085283591134</c:v>
                </c:pt>
                <c:pt idx="29">
                  <c:v>54.041367566389084</c:v>
                </c:pt>
                <c:pt idx="30">
                  <c:v>67.875998645520468</c:v>
                </c:pt>
                <c:pt idx="31">
                  <c:v>73.584170791170493</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88.015304929890732</c:v>
                </c:pt>
                <c:pt idx="2">
                  <c:v>87.357882681535756</c:v>
                </c:pt>
                <c:pt idx="3">
                  <c:v>84.559607459462228</c:v>
                </c:pt>
                <c:pt idx="4">
                  <c:v>86.9457419513449</c:v>
                </c:pt>
                <c:pt idx="5">
                  <c:v>87.492893650053077</c:v>
                </c:pt>
                <c:pt idx="6">
                  <c:v>88.040045348761254</c:v>
                </c:pt>
                <c:pt idx="7">
                  <c:v>88.587197047469431</c:v>
                </c:pt>
                <c:pt idx="8">
                  <c:v>88.587197047469431</c:v>
                </c:pt>
                <c:pt idx="9">
                  <c:v>88.587197047469431</c:v>
                </c:pt>
                <c:pt idx="10">
                  <c:v>89.134348746177608</c:v>
                </c:pt>
                <c:pt idx="11">
                  <c:v>89.681500444885785</c:v>
                </c:pt>
                <c:pt idx="12">
                  <c:v>90.228652143593962</c:v>
                </c:pt>
                <c:pt idx="13">
                  <c:v>90.775803842302139</c:v>
                </c:pt>
                <c:pt idx="14">
                  <c:v>91.322955541010316</c:v>
                </c:pt>
                <c:pt idx="15">
                  <c:v>91.870107239718436</c:v>
                </c:pt>
                <c:pt idx="16">
                  <c:v>93.941525788489685</c:v>
                </c:pt>
                <c:pt idx="17">
                  <c:v>96.012944337260933</c:v>
                </c:pt>
                <c:pt idx="18">
                  <c:v>96.012944337260933</c:v>
                </c:pt>
                <c:pt idx="19">
                  <c:v>96.012944337260933</c:v>
                </c:pt>
                <c:pt idx="20">
                  <c:v>98.084362886032181</c:v>
                </c:pt>
                <c:pt idx="21">
                  <c:v>100.15578143480343</c:v>
                </c:pt>
                <c:pt idx="22">
                  <c:v>102.22719998357468</c:v>
                </c:pt>
                <c:pt idx="23">
                  <c:v>104.29861853234593</c:v>
                </c:pt>
                <c:pt idx="24">
                  <c:v>106.37003708111718</c:v>
                </c:pt>
                <c:pt idx="25">
                  <c:v>108.44145562988842</c:v>
                </c:pt>
                <c:pt idx="26">
                  <c:v>110.51287417865967</c:v>
                </c:pt>
                <c:pt idx="27">
                  <c:v>112.58429272743091</c:v>
                </c:pt>
                <c:pt idx="28">
                  <c:v>130.49756643209119</c:v>
                </c:pt>
                <c:pt idx="29">
                  <c:v>148.41084013675146</c:v>
                </c:pt>
                <c:pt idx="30">
                  <c:v>183.24497714602427</c:v>
                </c:pt>
                <c:pt idx="31">
                  <c:v>196.27767980712804</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FTRA!$M$111:$AR$111</c:f>
              <c:numCache>
                <c:formatCode>0.00</c:formatCode>
                <c:ptCount val="32"/>
                <c:pt idx="0">
                  <c:v>47.584820585749902</c:v>
                </c:pt>
                <c:pt idx="1">
                  <c:v>47.880977189748378</c:v>
                </c:pt>
                <c:pt idx="2">
                  <c:v>48.177133793746854</c:v>
                </c:pt>
                <c:pt idx="3">
                  <c:v>46.38666602024783</c:v>
                </c:pt>
                <c:pt idx="4">
                  <c:v>48.177133793746854</c:v>
                </c:pt>
                <c:pt idx="5">
                  <c:v>46.38666602024783</c:v>
                </c:pt>
                <c:pt idx="6">
                  <c:v>46.854664337209421</c:v>
                </c:pt>
                <c:pt idx="7">
                  <c:v>47.499444955473628</c:v>
                </c:pt>
                <c:pt idx="8">
                  <c:v>48.144225573737835</c:v>
                </c:pt>
                <c:pt idx="9">
                  <c:v>48.789006192002041</c:v>
                </c:pt>
                <c:pt idx="10">
                  <c:v>49.433786810266248</c:v>
                </c:pt>
                <c:pt idx="11">
                  <c:v>50.078567428530455</c:v>
                </c:pt>
                <c:pt idx="12">
                  <c:v>50.723348046794662</c:v>
                </c:pt>
                <c:pt idx="13">
                  <c:v>51.368128665058869</c:v>
                </c:pt>
                <c:pt idx="14">
                  <c:v>50.723348046794662</c:v>
                </c:pt>
                <c:pt idx="15">
                  <c:v>51.368128665058869</c:v>
                </c:pt>
                <c:pt idx="16">
                  <c:v>52.012909283323076</c:v>
                </c:pt>
                <c:pt idx="17">
                  <c:v>52.65768990158729</c:v>
                </c:pt>
                <c:pt idx="18">
                  <c:v>54.450820010739768</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72.964430847966725</c:v>
                </c:pt>
                <c:pt idx="29">
                  <c:v>75.339870702821344</c:v>
                </c:pt>
                <c:pt idx="30">
                  <c:v>77.715310557675963</c:v>
                </c:pt>
                <c:pt idx="31">
                  <c:v>80.090750412530582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FTRA!$M$112:$AR$112</c:f>
              <c:numCache>
                <c:formatCode>0.00</c:formatCode>
                <c:ptCount val="32"/>
                <c:pt idx="0">
                  <c:v>3.6514783707452798</c:v>
                </c:pt>
                <c:pt idx="1">
                  <c:v>3.9360166491438862</c:v>
                </c:pt>
                <c:pt idx="2">
                  <c:v>4.2205549275424925</c:v>
                </c:pt>
                <c:pt idx="3">
                  <c:v>4.0637011052209129</c:v>
                </c:pt>
                <c:pt idx="4">
                  <c:v>4.2205549275424925</c:v>
                </c:pt>
                <c:pt idx="5">
                  <c:v>4.0637011052209129</c:v>
                </c:pt>
                <c:pt idx="6">
                  <c:v>4.1047000698166478</c:v>
                </c:pt>
                <c:pt idx="7">
                  <c:v>4.1611860373557157</c:v>
                </c:pt>
                <c:pt idx="8">
                  <c:v>4.2176720048947836</c:v>
                </c:pt>
                <c:pt idx="9">
                  <c:v>4.2741579724338514</c:v>
                </c:pt>
                <c:pt idx="10">
                  <c:v>4.3306439399729193</c:v>
                </c:pt>
                <c:pt idx="11">
                  <c:v>4.3871299075119872</c:v>
                </c:pt>
                <c:pt idx="12">
                  <c:v>4.443615875051055</c:v>
                </c:pt>
                <c:pt idx="13">
                  <c:v>4.5001018425901229</c:v>
                </c:pt>
                <c:pt idx="14">
                  <c:v>4.443615875051055</c:v>
                </c:pt>
                <c:pt idx="15">
                  <c:v>4.5001018425901229</c:v>
                </c:pt>
                <c:pt idx="16">
                  <c:v>4.5565878101291908</c:v>
                </c:pt>
                <c:pt idx="17">
                  <c:v>4.6130737776682551</c:v>
                </c:pt>
                <c:pt idx="18">
                  <c:v>4.7098673764458727</c:v>
                </c:pt>
                <c:pt idx="19">
                  <c:v>4.8066609752234903</c:v>
                </c:pt>
                <c:pt idx="20">
                  <c:v>4.903454574001108</c:v>
                </c:pt>
                <c:pt idx="21">
                  <c:v>5.0002481727787256</c:v>
                </c:pt>
                <c:pt idx="22">
                  <c:v>5.0970417715563432</c:v>
                </c:pt>
                <c:pt idx="23">
                  <c:v>5.1938353703339608</c:v>
                </c:pt>
                <c:pt idx="24">
                  <c:v>5.2906289691115784</c:v>
                </c:pt>
                <c:pt idx="25">
                  <c:v>5.387422567889196</c:v>
                </c:pt>
                <c:pt idx="26">
                  <c:v>5.4842161666668137</c:v>
                </c:pt>
                <c:pt idx="27">
                  <c:v>5.5810097654444339</c:v>
                </c:pt>
                <c:pt idx="28">
                  <c:v>5.7315246826575255</c:v>
                </c:pt>
                <c:pt idx="29">
                  <c:v>5.882039599870617</c:v>
                </c:pt>
                <c:pt idx="30">
                  <c:v>6.0325545170837085</c:v>
                </c:pt>
                <c:pt idx="31">
                  <c:v>6.1830694342968</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FTRA!$M$113:$AR$113</c:f>
              <c:numCache>
                <c:formatCode>0.00</c:formatCode>
                <c:ptCount val="32"/>
                <c:pt idx="0">
                  <c:v>1.0030192144974699</c:v>
                </c:pt>
                <c:pt idx="1">
                  <c:v>1.009261767493451</c:v>
                </c:pt>
                <c:pt idx="2">
                  <c:v>1.0155043204894318</c:v>
                </c:pt>
                <c:pt idx="3">
                  <c:v>0.97776384868242405</c:v>
                </c:pt>
                <c:pt idx="4">
                  <c:v>1.0155043204894318</c:v>
                </c:pt>
                <c:pt idx="5">
                  <c:v>0.97776384868242405</c:v>
                </c:pt>
                <c:pt idx="6">
                  <c:v>0.98762857651971914</c:v>
                </c:pt>
                <c:pt idx="7">
                  <c:v>0.99505324207490387</c:v>
                </c:pt>
                <c:pt idx="8">
                  <c:v>1.0024779076300885</c:v>
                </c:pt>
                <c:pt idx="9">
                  <c:v>1.0099025731852731</c:v>
                </c:pt>
                <c:pt idx="10">
                  <c:v>1.0173272387404577</c:v>
                </c:pt>
                <c:pt idx="11">
                  <c:v>1.0247519042956423</c:v>
                </c:pt>
                <c:pt idx="12">
                  <c:v>1.032176569850827</c:v>
                </c:pt>
                <c:pt idx="13">
                  <c:v>1.0396012354060116</c:v>
                </c:pt>
                <c:pt idx="14">
                  <c:v>1.032176569850827</c:v>
                </c:pt>
                <c:pt idx="15">
                  <c:v>1.0396012354060116</c:v>
                </c:pt>
                <c:pt idx="16">
                  <c:v>1.0470259009611962</c:v>
                </c:pt>
                <c:pt idx="17">
                  <c:v>1.0544505665163815</c:v>
                </c:pt>
                <c:pt idx="18">
                  <c:v>1.0832897361525546</c:v>
                </c:pt>
                <c:pt idx="19">
                  <c:v>1.1121289057887278</c:v>
                </c:pt>
                <c:pt idx="20">
                  <c:v>1.140968075424901</c:v>
                </c:pt>
                <c:pt idx="21">
                  <c:v>1.1698072450610741</c:v>
                </c:pt>
                <c:pt idx="22">
                  <c:v>1.1986464146972473</c:v>
                </c:pt>
                <c:pt idx="23">
                  <c:v>1.2274855843334205</c:v>
                </c:pt>
                <c:pt idx="24">
                  <c:v>1.2563247539695936</c:v>
                </c:pt>
                <c:pt idx="25">
                  <c:v>1.2851639236057668</c:v>
                </c:pt>
                <c:pt idx="26">
                  <c:v>1.31400309324194</c:v>
                </c:pt>
                <c:pt idx="27">
                  <c:v>1.3428422628781138</c:v>
                </c:pt>
                <c:pt idx="28">
                  <c:v>1.3790575358344126</c:v>
                </c:pt>
                <c:pt idx="29">
                  <c:v>1.4152728087907114</c:v>
                </c:pt>
                <c:pt idx="30">
                  <c:v>1.4514880817470102</c:v>
                </c:pt>
                <c:pt idx="31">
                  <c:v>1.4877033547033089</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FTRA!$M$114:$AR$114</c:f>
              <c:numCache>
                <c:formatCode>0.00</c:formatCode>
                <c:ptCount val="32"/>
                <c:pt idx="0">
                  <c:v>3.29935437842208</c:v>
                </c:pt>
                <c:pt idx="1">
                  <c:v>3.3198887752333528</c:v>
                </c:pt>
                <c:pt idx="2">
                  <c:v>3.3404231720446251</c:v>
                </c:pt>
                <c:pt idx="3">
                  <c:v>3.2162787996334212</c:v>
                </c:pt>
                <c:pt idx="4">
                  <c:v>3.3404231720446251</c:v>
                </c:pt>
                <c:pt idx="5">
                  <c:v>3.2162787996334212</c:v>
                </c:pt>
                <c:pt idx="6">
                  <c:v>3.2487280613339848</c:v>
                </c:pt>
                <c:pt idx="7">
                  <c:v>3.2731509262739067</c:v>
                </c:pt>
                <c:pt idx="8">
                  <c:v>3.2975737912138285</c:v>
                </c:pt>
                <c:pt idx="9">
                  <c:v>3.3219966561537504</c:v>
                </c:pt>
                <c:pt idx="10">
                  <c:v>3.3464195210936722</c:v>
                </c:pt>
                <c:pt idx="11">
                  <c:v>3.3708423860335941</c:v>
                </c:pt>
                <c:pt idx="12">
                  <c:v>3.3952652509735159</c:v>
                </c:pt>
                <c:pt idx="13">
                  <c:v>3.4196881159134378</c:v>
                </c:pt>
                <c:pt idx="14">
                  <c:v>3.3952652509735159</c:v>
                </c:pt>
                <c:pt idx="15">
                  <c:v>3.4196881159134378</c:v>
                </c:pt>
                <c:pt idx="16">
                  <c:v>3.4441109808533596</c:v>
                </c:pt>
                <c:pt idx="17">
                  <c:v>3.4685338457932815</c:v>
                </c:pt>
                <c:pt idx="18">
                  <c:v>3.5633980709585367</c:v>
                </c:pt>
                <c:pt idx="19">
                  <c:v>3.6582622961237918</c:v>
                </c:pt>
                <c:pt idx="20">
                  <c:v>3.753126521289047</c:v>
                </c:pt>
                <c:pt idx="21">
                  <c:v>3.8479907464543022</c:v>
                </c:pt>
                <c:pt idx="22">
                  <c:v>3.9428549716195573</c:v>
                </c:pt>
                <c:pt idx="23">
                  <c:v>4.0377191967848125</c:v>
                </c:pt>
                <c:pt idx="24">
                  <c:v>4.1325834219500672</c:v>
                </c:pt>
                <c:pt idx="25">
                  <c:v>4.2274476471153219</c:v>
                </c:pt>
                <c:pt idx="26">
                  <c:v>4.3223118722805767</c:v>
                </c:pt>
                <c:pt idx="27">
                  <c:v>4.4171760974458323</c:v>
                </c:pt>
                <c:pt idx="28">
                  <c:v>4.536303445822683</c:v>
                </c:pt>
                <c:pt idx="29">
                  <c:v>4.6554307941995337</c:v>
                </c:pt>
                <c:pt idx="30">
                  <c:v>4.7745581425763843</c:v>
                </c:pt>
                <c:pt idx="31">
                  <c:v>4.893685490953235</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FTRA!$M$115:$AR$115</c:f>
              <c:numCache>
                <c:formatCode>0.00</c:formatCode>
                <c:ptCount val="32"/>
                <c:pt idx="0">
                  <c:v>0.59840698910616097</c:v>
                </c:pt>
                <c:pt idx="1">
                  <c:v>0.6021313318591881</c:v>
                </c:pt>
                <c:pt idx="2">
                  <c:v>0.60585567461221534</c:v>
                </c:pt>
                <c:pt idx="3">
                  <c:v>0.58333949369060389</c:v>
                </c:pt>
                <c:pt idx="4">
                  <c:v>0.60585567461221534</c:v>
                </c:pt>
                <c:pt idx="5">
                  <c:v>0.58333949369060389</c:v>
                </c:pt>
                <c:pt idx="6">
                  <c:v>0.5892248466311506</c:v>
                </c:pt>
                <c:pt idx="7">
                  <c:v>0.5936544444850903</c:v>
                </c:pt>
                <c:pt idx="8">
                  <c:v>0.59808404233903001</c:v>
                </c:pt>
                <c:pt idx="9">
                  <c:v>0.60251364019296971</c:v>
                </c:pt>
                <c:pt idx="10">
                  <c:v>0.60694323804690942</c:v>
                </c:pt>
                <c:pt idx="11">
                  <c:v>0.61137283590084912</c:v>
                </c:pt>
                <c:pt idx="12">
                  <c:v>0.61580243375478882</c:v>
                </c:pt>
                <c:pt idx="13">
                  <c:v>0.62023203160872853</c:v>
                </c:pt>
                <c:pt idx="14">
                  <c:v>0.61580243375478882</c:v>
                </c:pt>
                <c:pt idx="15">
                  <c:v>0.62023203160872853</c:v>
                </c:pt>
                <c:pt idx="16">
                  <c:v>0.62466162946266823</c:v>
                </c:pt>
                <c:pt idx="17">
                  <c:v>0.62909122731660805</c:v>
                </c:pt>
                <c:pt idx="18">
                  <c:v>0.64629684055000014</c:v>
                </c:pt>
                <c:pt idx="19">
                  <c:v>0.66350245378339223</c:v>
                </c:pt>
                <c:pt idx="20">
                  <c:v>0.68070806701678432</c:v>
                </c:pt>
                <c:pt idx="21">
                  <c:v>0.69791368025017642</c:v>
                </c:pt>
                <c:pt idx="22">
                  <c:v>0.71511929348356851</c:v>
                </c:pt>
                <c:pt idx="23">
                  <c:v>0.7323249067169606</c:v>
                </c:pt>
                <c:pt idx="24">
                  <c:v>0.74953051995035269</c:v>
                </c:pt>
                <c:pt idx="25">
                  <c:v>0.76673613318374478</c:v>
                </c:pt>
                <c:pt idx="26">
                  <c:v>0.78394174641713688</c:v>
                </c:pt>
                <c:pt idx="27">
                  <c:v>0.8011473596505293</c:v>
                </c:pt>
                <c:pt idx="28">
                  <c:v>0.82275359823120731</c:v>
                </c:pt>
                <c:pt idx="29">
                  <c:v>0.84435983681188531</c:v>
                </c:pt>
                <c:pt idx="30">
                  <c:v>0.86596607539256332</c:v>
                </c:pt>
                <c:pt idx="31">
                  <c:v>0.88757231397324132</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FTRA!$M$116:$AR$116</c:f>
              <c:numCache>
                <c:formatCode>0.00</c:formatCode>
                <c:ptCount val="32"/>
                <c:pt idx="0">
                  <c:v>0.29798809605332599</c:v>
                </c:pt>
                <c:pt idx="1">
                  <c:v>0.29984270307869226</c:v>
                </c:pt>
                <c:pt idx="2">
                  <c:v>0.30169731010405854</c:v>
                </c:pt>
                <c:pt idx="3">
                  <c:v>0.29048495128243912</c:v>
                </c:pt>
                <c:pt idx="4">
                  <c:v>0.30169731010405854</c:v>
                </c:pt>
                <c:pt idx="5">
                  <c:v>0.29048495128243912</c:v>
                </c:pt>
                <c:pt idx="6">
                  <c:v>0.29341567426743453</c:v>
                </c:pt>
                <c:pt idx="7">
                  <c:v>0.29562147643018838</c:v>
                </c:pt>
                <c:pt idx="8">
                  <c:v>0.29782727859294222</c:v>
                </c:pt>
                <c:pt idx="9">
                  <c:v>0.30003308075569607</c:v>
                </c:pt>
                <c:pt idx="10">
                  <c:v>0.30223888291844991</c:v>
                </c:pt>
                <c:pt idx="11">
                  <c:v>0.30444468508120376</c:v>
                </c:pt>
                <c:pt idx="12">
                  <c:v>0.3066504872439576</c:v>
                </c:pt>
                <c:pt idx="13">
                  <c:v>0.30885628940671145</c:v>
                </c:pt>
                <c:pt idx="14">
                  <c:v>0.3066504872439576</c:v>
                </c:pt>
                <c:pt idx="15">
                  <c:v>0.30885628940671145</c:v>
                </c:pt>
                <c:pt idx="16">
                  <c:v>0.31106209156946529</c:v>
                </c:pt>
                <c:pt idx="17">
                  <c:v>0.3132678937322193</c:v>
                </c:pt>
                <c:pt idx="18">
                  <c:v>0.32183575477359305</c:v>
                </c:pt>
                <c:pt idx="19">
                  <c:v>0.3304036158149668</c:v>
                </c:pt>
                <c:pt idx="20">
                  <c:v>0.33897147685634055</c:v>
                </c:pt>
                <c:pt idx="21">
                  <c:v>0.3475393378977143</c:v>
                </c:pt>
                <c:pt idx="22">
                  <c:v>0.35610719893908804</c:v>
                </c:pt>
                <c:pt idx="23">
                  <c:v>0.36467505998046179</c:v>
                </c:pt>
                <c:pt idx="24">
                  <c:v>0.37324292102183554</c:v>
                </c:pt>
                <c:pt idx="25">
                  <c:v>0.38181078206320929</c:v>
                </c:pt>
                <c:pt idx="26">
                  <c:v>0.39037864310458303</c:v>
                </c:pt>
                <c:pt idx="27">
                  <c:v>0.39894650414595656</c:v>
                </c:pt>
                <c:pt idx="28">
                  <c:v>0.40970573994155979</c:v>
                </c:pt>
                <c:pt idx="29">
                  <c:v>0.42046497573716302</c:v>
                </c:pt>
                <c:pt idx="30">
                  <c:v>0.43122421153276624</c:v>
                </c:pt>
                <c:pt idx="31">
                  <c:v>0.44198344732836947</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FTRA!$M$117:$AR$117</c:f>
              <c:numCache>
                <c:formatCode>0.00</c:formatCode>
                <c:ptCount val="32"/>
                <c:pt idx="0">
                  <c:v>6.6621877646371201</c:v>
                </c:pt>
                <c:pt idx="1">
                  <c:v>6.7819219966270463</c:v>
                </c:pt>
                <c:pt idx="2">
                  <c:v>6.9016562286169734</c:v>
                </c:pt>
                <c:pt idx="3">
                  <c:v>6.7116128591697501</c:v>
                </c:pt>
                <c:pt idx="4">
                  <c:v>6.9016562286169734</c:v>
                </c:pt>
                <c:pt idx="5">
                  <c:v>6.7116128591697501</c:v>
                </c:pt>
                <c:pt idx="6">
                  <c:v>6.8240748222214735</c:v>
                </c:pt>
                <c:pt idx="7">
                  <c:v>6.8850023780075267</c:v>
                </c:pt>
                <c:pt idx="8">
                  <c:v>6.9459299337935798</c:v>
                </c:pt>
                <c:pt idx="9">
                  <c:v>7.0068574895796329</c:v>
                </c:pt>
                <c:pt idx="10">
                  <c:v>7.0677850453656861</c:v>
                </c:pt>
                <c:pt idx="11">
                  <c:v>7.1287126011517392</c:v>
                </c:pt>
                <c:pt idx="12">
                  <c:v>7.1896401569377923</c:v>
                </c:pt>
                <c:pt idx="13">
                  <c:v>7.2505677127238455</c:v>
                </c:pt>
                <c:pt idx="14">
                  <c:v>7.1896401569377923</c:v>
                </c:pt>
                <c:pt idx="15">
                  <c:v>7.2505677127238455</c:v>
                </c:pt>
                <c:pt idx="16">
                  <c:v>7.3114952685098986</c:v>
                </c:pt>
                <c:pt idx="17">
                  <c:v>7.3724228242959535</c:v>
                </c:pt>
                <c:pt idx="18">
                  <c:v>7.5271143317954401</c:v>
                </c:pt>
                <c:pt idx="19">
                  <c:v>7.6818058392949267</c:v>
                </c:pt>
                <c:pt idx="20">
                  <c:v>7.8364973467944132</c:v>
                </c:pt>
                <c:pt idx="21">
                  <c:v>7.9911888542938998</c:v>
                </c:pt>
                <c:pt idx="22">
                  <c:v>8.1458803617933864</c:v>
                </c:pt>
                <c:pt idx="23">
                  <c:v>8.3005718692928738</c:v>
                </c:pt>
                <c:pt idx="24">
                  <c:v>8.4552633767923613</c:v>
                </c:pt>
                <c:pt idx="25">
                  <c:v>8.6099548842918487</c:v>
                </c:pt>
                <c:pt idx="26">
                  <c:v>8.7646463917913362</c:v>
                </c:pt>
                <c:pt idx="27">
                  <c:v>8.9193378992908219</c:v>
                </c:pt>
                <c:pt idx="28">
                  <c:v>9.1598845856305537</c:v>
                </c:pt>
                <c:pt idx="29">
                  <c:v>9.4004312719702856</c:v>
                </c:pt>
                <c:pt idx="30">
                  <c:v>9.6409779583100175</c:v>
                </c:pt>
                <c:pt idx="31">
                  <c:v>9.8815246446497493</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FTRA!$M$118:$AR$118</c:f>
              <c:numCache>
                <c:formatCode>0.00</c:formatCode>
                <c:ptCount val="32"/>
                <c:pt idx="0">
                  <c:v>2.2261566306639899</c:v>
                </c:pt>
                <c:pt idx="1">
                  <c:v>2.2400116999821158</c:v>
                </c:pt>
                <c:pt idx="2">
                  <c:v>2.2538667693002417</c:v>
                </c:pt>
                <c:pt idx="3">
                  <c:v>2.1701034671189854</c:v>
                </c:pt>
                <c:pt idx="4">
                  <c:v>2.2538667693002417</c:v>
                </c:pt>
                <c:pt idx="5">
                  <c:v>2.1701034671189854</c:v>
                </c:pt>
                <c:pt idx="6">
                  <c:v>2.1919977927383534</c:v>
                </c:pt>
                <c:pt idx="7">
                  <c:v>2.2084765084172129</c:v>
                </c:pt>
                <c:pt idx="8">
                  <c:v>2.2249552240960724</c:v>
                </c:pt>
                <c:pt idx="9">
                  <c:v>2.2414339397749319</c:v>
                </c:pt>
                <c:pt idx="10">
                  <c:v>2.2579126554537914</c:v>
                </c:pt>
                <c:pt idx="11">
                  <c:v>2.2743913711326509</c:v>
                </c:pt>
                <c:pt idx="12">
                  <c:v>2.2908700868115104</c:v>
                </c:pt>
                <c:pt idx="13">
                  <c:v>2.3073488024903699</c:v>
                </c:pt>
                <c:pt idx="14">
                  <c:v>2.2908700868115104</c:v>
                </c:pt>
                <c:pt idx="15">
                  <c:v>2.3073488024903699</c:v>
                </c:pt>
                <c:pt idx="16">
                  <c:v>2.3238275181692294</c:v>
                </c:pt>
                <c:pt idx="17">
                  <c:v>2.3403062338480902</c:v>
                </c:pt>
                <c:pt idx="18">
                  <c:v>2.4043134909180122</c:v>
                </c:pt>
                <c:pt idx="19">
                  <c:v>2.4683207479879341</c:v>
                </c:pt>
                <c:pt idx="20">
                  <c:v>2.532328005057856</c:v>
                </c:pt>
                <c:pt idx="21">
                  <c:v>2.596335262127778</c:v>
                </c:pt>
                <c:pt idx="22">
                  <c:v>2.6603425191976999</c:v>
                </c:pt>
                <c:pt idx="23">
                  <c:v>2.7243497762676219</c:v>
                </c:pt>
                <c:pt idx="24">
                  <c:v>2.7883570333375438</c:v>
                </c:pt>
                <c:pt idx="25">
                  <c:v>2.8523642904074658</c:v>
                </c:pt>
                <c:pt idx="26">
                  <c:v>2.9163715474773877</c:v>
                </c:pt>
                <c:pt idx="27">
                  <c:v>2.9803788045473083</c:v>
                </c:pt>
                <c:pt idx="28">
                  <c:v>3.0607569955706611</c:v>
                </c:pt>
                <c:pt idx="29">
                  <c:v>3.1411351865940138</c:v>
                </c:pt>
                <c:pt idx="30">
                  <c:v>3.2215133776173666</c:v>
                </c:pt>
                <c:pt idx="31">
                  <c:v>3.3018915686407193</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FTRA!$M$119:$AR$119</c:f>
              <c:numCache>
                <c:formatCode>0.00</c:formatCode>
                <c:ptCount val="32"/>
                <c:pt idx="0">
                  <c:v>0.122213678849837</c:v>
                </c:pt>
                <c:pt idx="1">
                  <c:v>0.12297430771519344</c:v>
                </c:pt>
                <c:pt idx="2">
                  <c:v>0.12373493658054988</c:v>
                </c:pt>
                <c:pt idx="3">
                  <c:v>0.11913641859166579</c:v>
                </c:pt>
                <c:pt idx="4">
                  <c:v>0.12373493658054988</c:v>
                </c:pt>
                <c:pt idx="5">
                  <c:v>0.11913641859166579</c:v>
                </c:pt>
                <c:pt idx="6">
                  <c:v>0.12033839424918329</c:v>
                </c:pt>
                <c:pt idx="7">
                  <c:v>0.12124305856529353</c:v>
                </c:pt>
                <c:pt idx="8">
                  <c:v>0.12214772288140378</c:v>
                </c:pt>
                <c:pt idx="9">
                  <c:v>0.12305238719751403</c:v>
                </c:pt>
                <c:pt idx="10">
                  <c:v>0.12395705151362428</c:v>
                </c:pt>
                <c:pt idx="11">
                  <c:v>0.12486171582973453</c:v>
                </c:pt>
                <c:pt idx="12">
                  <c:v>0.12576638014584476</c:v>
                </c:pt>
                <c:pt idx="13">
                  <c:v>0.12667104446195501</c:v>
                </c:pt>
                <c:pt idx="14">
                  <c:v>0.12576638014584476</c:v>
                </c:pt>
                <c:pt idx="15">
                  <c:v>0.12667104446195501</c:v>
                </c:pt>
                <c:pt idx="16">
                  <c:v>0.12757570877806526</c:v>
                </c:pt>
                <c:pt idx="17">
                  <c:v>0.12848037309417548</c:v>
                </c:pt>
                <c:pt idx="18">
                  <c:v>0.1319943047968469</c:v>
                </c:pt>
                <c:pt idx="19">
                  <c:v>0.13550823649951832</c:v>
                </c:pt>
                <c:pt idx="20">
                  <c:v>0.13902216820218974</c:v>
                </c:pt>
                <c:pt idx="21">
                  <c:v>0.14253609990486116</c:v>
                </c:pt>
                <c:pt idx="22">
                  <c:v>0.14605003160753258</c:v>
                </c:pt>
                <c:pt idx="23">
                  <c:v>0.149563963310204</c:v>
                </c:pt>
                <c:pt idx="24">
                  <c:v>0.15307789501287541</c:v>
                </c:pt>
                <c:pt idx="25">
                  <c:v>0.15659182671554683</c:v>
                </c:pt>
                <c:pt idx="26">
                  <c:v>0.16010575841821825</c:v>
                </c:pt>
                <c:pt idx="27">
                  <c:v>0.1636196901208897</c:v>
                </c:pt>
                <c:pt idx="28">
                  <c:v>0.16803236903527899</c:v>
                </c:pt>
                <c:pt idx="29">
                  <c:v>0.17244504794966828</c:v>
                </c:pt>
                <c:pt idx="30">
                  <c:v>0.17685772686405757</c:v>
                </c:pt>
                <c:pt idx="31">
                  <c:v>0.18127040577844686</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FTRA!$M$120:$AR$120</c:f>
              <c:numCache>
                <c:formatCode>0.00</c:formatCode>
                <c:ptCount val="32"/>
                <c:pt idx="0">
                  <c:v>2.9412068148240201E-2</c:v>
                </c:pt>
                <c:pt idx="1">
                  <c:v>2.9595121863944723E-2</c:v>
                </c:pt>
                <c:pt idx="2">
                  <c:v>2.9778175579649242E-2</c:v>
                </c:pt>
                <c:pt idx="3">
                  <c:v>2.8671491567328906E-2</c:v>
                </c:pt>
                <c:pt idx="4">
                  <c:v>2.9778175579649242E-2</c:v>
                </c:pt>
                <c:pt idx="5">
                  <c:v>2.8671491567328906E-2</c:v>
                </c:pt>
                <c:pt idx="6">
                  <c:v>2.8960760250541256E-2</c:v>
                </c:pt>
                <c:pt idx="7">
                  <c:v>2.9178477684196198E-2</c:v>
                </c:pt>
                <c:pt idx="8">
                  <c:v>2.9396195117851139E-2</c:v>
                </c:pt>
                <c:pt idx="9">
                  <c:v>2.961391255150608E-2</c:v>
                </c:pt>
                <c:pt idx="10">
                  <c:v>2.9831629985161021E-2</c:v>
                </c:pt>
                <c:pt idx="11">
                  <c:v>3.0049347418815962E-2</c:v>
                </c:pt>
                <c:pt idx="12">
                  <c:v>3.0267064852470903E-2</c:v>
                </c:pt>
                <c:pt idx="13">
                  <c:v>3.0484782286125844E-2</c:v>
                </c:pt>
                <c:pt idx="14">
                  <c:v>3.0267064852470903E-2</c:v>
                </c:pt>
                <c:pt idx="15">
                  <c:v>3.0484782286125844E-2</c:v>
                </c:pt>
                <c:pt idx="16">
                  <c:v>3.0702499719780785E-2</c:v>
                </c:pt>
                <c:pt idx="17">
                  <c:v>3.0920217153435729E-2</c:v>
                </c:pt>
                <c:pt idx="18">
                  <c:v>3.1765883527935607E-2</c:v>
                </c:pt>
                <c:pt idx="19">
                  <c:v>3.2611549902435477E-2</c:v>
                </c:pt>
                <c:pt idx="20">
                  <c:v>3.3457216276935348E-2</c:v>
                </c:pt>
                <c:pt idx="21">
                  <c:v>3.4302882651435218E-2</c:v>
                </c:pt>
                <c:pt idx="22">
                  <c:v>3.5148549025935089E-2</c:v>
                </c:pt>
                <c:pt idx="23">
                  <c:v>3.5994215400434959E-2</c:v>
                </c:pt>
                <c:pt idx="24">
                  <c:v>3.683988177493483E-2</c:v>
                </c:pt>
                <c:pt idx="25">
                  <c:v>3.76855481494347E-2</c:v>
                </c:pt>
                <c:pt idx="26">
                  <c:v>3.853121452393457E-2</c:v>
                </c:pt>
                <c:pt idx="27">
                  <c:v>3.9376880898434469E-2</c:v>
                </c:pt>
                <c:pt idx="28">
                  <c:v>4.0438840690233117E-2</c:v>
                </c:pt>
                <c:pt idx="29">
                  <c:v>4.1500800482031766E-2</c:v>
                </c:pt>
                <c:pt idx="30">
                  <c:v>4.2562760273830415E-2</c:v>
                </c:pt>
                <c:pt idx="31">
                  <c:v>4.3624720065629063E-2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FTRA!$M$121:$AR$121</c:f>
              <c:numCache>
                <c:formatCode>0.00</c:formatCode>
                <c:ptCount val="32"/>
                <c:pt idx="0">
                  <c:v>22</c:v>
                </c:pt>
                <c:pt idx="1">
                  <c:v>20.60902456349335</c:v>
                </c:pt>
                <c:pt idx="2">
                  <c:v>19.218049126986699</c:v>
                </c:pt>
                <c:pt idx="3">
                  <c:v>17.206637381742077</c:v>
                </c:pt>
                <c:pt idx="4">
                  <c:v>19.218049126986699</c:v>
                </c:pt>
                <c:pt idx="5">
                  <c:v>17.206637381742077</c:v>
                </c:pt>
                <c:pt idx="6">
                  <c:v>16.506720027229584</c:v>
                </c:pt>
                <c:pt idx="7">
                  <c:v>17.806373021295286</c:v>
                </c:pt>
                <c:pt idx="8">
                  <c:v>19.106026015360989</c:v>
                </c:pt>
                <c:pt idx="9">
                  <c:v>20.405679009426692</c:v>
                </c:pt>
                <c:pt idx="10">
                  <c:v>21.705332003492394</c:v>
                </c:pt>
                <c:pt idx="11">
                  <c:v>23.004984997558097</c:v>
                </c:pt>
                <c:pt idx="12">
                  <c:v>24.3046379916238</c:v>
                </c:pt>
                <c:pt idx="13">
                  <c:v>25.604290985689502</c:v>
                </c:pt>
                <c:pt idx="14">
                  <c:v>24.3046379916238</c:v>
                </c:pt>
                <c:pt idx="15">
                  <c:v>25.604290985689502</c:v>
                </c:pt>
                <c:pt idx="16">
                  <c:v>26.903943979755205</c:v>
                </c:pt>
                <c:pt idx="17">
                  <c:v>28.203596973820897</c:v>
                </c:pt>
                <c:pt idx="18">
                  <c:v>31.536342249582265</c:v>
                </c:pt>
                <c:pt idx="19">
                  <c:v>34.86908752534363</c:v>
                </c:pt>
                <c:pt idx="20">
                  <c:v>38.201832801104999</c:v>
                </c:pt>
                <c:pt idx="21">
                  <c:v>41.534578076866367</c:v>
                </c:pt>
                <c:pt idx="22">
                  <c:v>44.867323352627736</c:v>
                </c:pt>
                <c:pt idx="23">
                  <c:v>48.200068628389104</c:v>
                </c:pt>
                <c:pt idx="24">
                  <c:v>51.532813904150473</c:v>
                </c:pt>
                <c:pt idx="25">
                  <c:v>54.865559179911841</c:v>
                </c:pt>
                <c:pt idx="26">
                  <c:v>58.19830445567321</c:v>
                </c:pt>
                <c:pt idx="27">
                  <c:v>61.531049731434578</c:v>
                </c:pt>
                <c:pt idx="28">
                  <c:v>65.389054824513252</c:v>
                </c:pt>
                <c:pt idx="29">
                  <c:v>69.247059917591926</c:v>
                </c:pt>
                <c:pt idx="30">
                  <c:v>73.1050650106706</c:v>
                </c:pt>
                <c:pt idx="31">
                  <c:v>76.963070103749274</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FTRA!$M$122:$AR$122</c:f>
              <c:numCache>
                <c:formatCode>0.00</c:formatCode>
                <c:ptCount val="32"/>
                <c:pt idx="0">
                  <c:v>27.142505514316699</c:v>
                </c:pt>
                <c:pt idx="1">
                  <c:v>26.922878309927583</c:v>
                </c:pt>
                <c:pt idx="2">
                  <c:v>26.703251105538467</c:v>
                </c:pt>
                <c:pt idx="3">
                  <c:v>25.710844401627732</c:v>
                </c:pt>
                <c:pt idx="4">
                  <c:v>26.703251105538467</c:v>
                </c:pt>
                <c:pt idx="5">
                  <c:v>25.710844401627732</c:v>
                </c:pt>
                <c:pt idx="6">
                  <c:v>25.970242908568729</c:v>
                </c:pt>
                <c:pt idx="7">
                  <c:v>26.327626949537315</c:v>
                </c:pt>
                <c:pt idx="8">
                  <c:v>26.685010990505901</c:v>
                </c:pt>
                <c:pt idx="9">
                  <c:v>27.042395031474488</c:v>
                </c:pt>
                <c:pt idx="10">
                  <c:v>27.399779072443074</c:v>
                </c:pt>
                <c:pt idx="11">
                  <c:v>27.757163113411661</c:v>
                </c:pt>
                <c:pt idx="12">
                  <c:v>28.114547154380247</c:v>
                </c:pt>
                <c:pt idx="13">
                  <c:v>28.471931195348834</c:v>
                </c:pt>
                <c:pt idx="14">
                  <c:v>28.114547154380247</c:v>
                </c:pt>
                <c:pt idx="15">
                  <c:v>28.471931195348834</c:v>
                </c:pt>
                <c:pt idx="16">
                  <c:v>28.82931523631742</c:v>
                </c:pt>
                <c:pt idx="17">
                  <c:v>29.186699277286003</c:v>
                </c:pt>
                <c:pt idx="18">
                  <c:v>30.270063160100765</c:v>
                </c:pt>
                <c:pt idx="19">
                  <c:v>31.353427042915527</c:v>
                </c:pt>
                <c:pt idx="20">
                  <c:v>32.436790925730286</c:v>
                </c:pt>
                <c:pt idx="21">
                  <c:v>33.520154808545044</c:v>
                </c:pt>
                <c:pt idx="22">
                  <c:v>34.603518691359803</c:v>
                </c:pt>
                <c:pt idx="23">
                  <c:v>35.686882574174561</c:v>
                </c:pt>
                <c:pt idx="24">
                  <c:v>36.770246456989319</c:v>
                </c:pt>
                <c:pt idx="25">
                  <c:v>37.853610339804078</c:v>
                </c:pt>
                <c:pt idx="26">
                  <c:v>38.936974222618836</c:v>
                </c:pt>
                <c:pt idx="27">
                  <c:v>40.020338105433609</c:v>
                </c:pt>
                <c:pt idx="28">
                  <c:v>41.422441051529155</c:v>
                </c:pt>
                <c:pt idx="29">
                  <c:v>42.824543997624701</c:v>
                </c:pt>
                <c:pt idx="30">
                  <c:v>44.226646943720247</c:v>
                </c:pt>
                <c:pt idx="31">
                  <c:v>45.628749889815793</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88.015304929890732</c:v>
                </c:pt>
                <c:pt idx="2">
                  <c:v>87.357882681535756</c:v>
                </c:pt>
                <c:pt idx="3">
                  <c:v>84.559607459462228</c:v>
                </c:pt>
                <c:pt idx="4">
                  <c:v>87.357882681535756</c:v>
                </c:pt>
                <c:pt idx="5">
                  <c:v>84.559607459462228</c:v>
                </c:pt>
                <c:pt idx="6">
                  <c:v>86.9457419513449</c:v>
                </c:pt>
                <c:pt idx="7">
                  <c:v>87.492893650053077</c:v>
                </c:pt>
                <c:pt idx="8">
                  <c:v>88.040045348761254</c:v>
                </c:pt>
                <c:pt idx="9">
                  <c:v>88.587197047469431</c:v>
                </c:pt>
                <c:pt idx="10">
                  <c:v>89.134348746177608</c:v>
                </c:pt>
                <c:pt idx="11">
                  <c:v>89.681500444885785</c:v>
                </c:pt>
                <c:pt idx="12">
                  <c:v>90.228652143593962</c:v>
                </c:pt>
                <c:pt idx="13">
                  <c:v>90.775803842302139</c:v>
                </c:pt>
                <c:pt idx="14">
                  <c:v>90.228652143593962</c:v>
                </c:pt>
                <c:pt idx="15">
                  <c:v>90.775803842302139</c:v>
                </c:pt>
                <c:pt idx="16">
                  <c:v>91.322955541010316</c:v>
                </c:pt>
                <c:pt idx="17">
                  <c:v>91.870107239718436</c:v>
                </c:pt>
                <c:pt idx="18">
                  <c:v>93.941525788489685</c:v>
                </c:pt>
                <c:pt idx="19">
                  <c:v>96.012944337260933</c:v>
                </c:pt>
                <c:pt idx="20">
                  <c:v>98.084362886032181</c:v>
                </c:pt>
                <c:pt idx="21">
                  <c:v>100.15578143480343</c:v>
                </c:pt>
                <c:pt idx="22">
                  <c:v>102.22719998357468</c:v>
                </c:pt>
                <c:pt idx="23">
                  <c:v>104.29861853234593</c:v>
                </c:pt>
                <c:pt idx="24">
                  <c:v>106.37003708111718</c:v>
                </c:pt>
                <c:pt idx="25">
                  <c:v>108.44145562988842</c:v>
                </c:pt>
                <c:pt idx="26">
                  <c:v>110.51287417865967</c:v>
                </c:pt>
                <c:pt idx="27">
                  <c:v>112.58429272743091</c:v>
                </c:pt>
                <c:pt idx="28">
                  <c:v>116.16694746836296</c:v>
                </c:pt>
                <c:pt idx="29">
                  <c:v>119.74960220929502</c:v>
                </c:pt>
                <c:pt idx="30">
                  <c:v>123.33225695022708</c:v>
                </c:pt>
                <c:pt idx="31">
                  <c:v>126.91491169115913</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27.455328536696602</c:v>
                </c:pt>
                <c:pt idx="4">
                  <c:v>26.935271889842749</c:v>
                </c:pt>
                <c:pt idx="5">
                  <c:v>24.254173810563351</c:v>
                </c:pt>
                <c:pt idx="6">
                  <c:v>20.518919007461761</c:v>
                </c:pt>
                <c:pt idx="7">
                  <c:v>16.031979551451432</c:v>
                </c:pt>
                <c:pt idx="8">
                  <c:v>11.054814108119393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18.373603858247002</c:v>
                </c:pt>
                <c:pt idx="4">
                  <c:v>21.192390664584384</c:v>
                </c:pt>
                <c:pt idx="5">
                  <c:v>24.300912429123557</c:v>
                </c:pt>
                <c:pt idx="6">
                  <c:v>27.961733624598693</c:v>
                </c:pt>
                <c:pt idx="7">
                  <c:v>31.113528998547864</c:v>
                </c:pt>
                <c:pt idx="8">
                  <c:v>33.862357303735472</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13.563322605056396</c:v>
                </c:pt>
                <c:pt idx="4">
                  <c:v>16.531615445572868</c:v>
                </c:pt>
                <c:pt idx="5">
                  <c:v>21.158850760313094</c:v>
                </c:pt>
                <c:pt idx="6">
                  <c:v>25.049100367939545</c:v>
                </c:pt>
                <c:pt idx="7">
                  <c:v>28.517689450000706</c:v>
                </c:pt>
                <c:pt idx="8">
                  <c:v>31.584983588145132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0.12794254147675305</c:v>
                </c:pt>
                <c:pt idx="15">
                  <c:v>0.11520732560017592</c:v>
                </c:pt>
                <c:pt idx="16">
                  <c:v>9.2591622021171202E-2</c:v>
                </c:pt>
                <c:pt idx="17">
                  <c:v>7.2344307725924581E-2</c:v>
                </c:pt>
                <c:pt idx="18">
                  <c:v>4.7390606229744323E-2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4.385395164516483</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9.9529146831187632</c:v>
                </c:pt>
                <c:pt idx="7">
                  <c:v>11.331110733973251</c:v>
                </c:pt>
                <c:pt idx="8">
                  <c:v>12.582995815205363</c:v>
                </c:pt>
                <c:pt idx="10">
                  <c:v>4.1038214947082041</c:v>
                </c:pt>
                <c:pt idx="11">
                  <c:v>4.3184589686023154</c:v>
                </c:pt>
                <c:pt idx="12">
                  <c:v>3.6132870620523043</c:v>
                </c:pt>
                <c:pt idx="13">
                  <c:v>4.172016483740788</c:v>
                </c:pt>
                <c:pt idx="14">
                  <c:v>4.7103292393160618</c:v>
                </c:pt>
                <c:pt idx="15">
                  <c:v>6.2571432480034241</c:v>
                </c:pt>
                <c:pt idx="16">
                  <c:v>8.5333802264389469</c:v>
                </c:pt>
                <c:pt idx="17">
                  <c:v>9.7150110655403132</c:v>
                </c:pt>
                <c:pt idx="18">
                  <c:v>10.248928735208612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0.80142174844719194</c:v>
                </c:pt>
                <c:pt idx="3">
                  <c:v>0.82026945481797375</c:v>
                </c:pt>
                <c:pt idx="4">
                  <c:v>0.8805364117356973</c:v>
                </c:pt>
                <c:pt idx="5">
                  <c:v>1.058394228411212</c:v>
                </c:pt>
                <c:pt idx="6">
                  <c:v>1.3120526068162606</c:v>
                </c:pt>
                <c:pt idx="7">
                  <c:v>1.3120526068162606</c:v>
                </c:pt>
                <c:pt idx="8">
                  <c:v>1.1912263818901978</c:v>
                </c:pt>
                <c:pt idx="9">
                  <c:v>0</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179.38432838590123</c:v>
                </c:pt>
                <c:pt idx="6">
                  <c:v>230.7494233669467</c:v>
                </c:pt>
                <c:pt idx="7">
                  <c:v>258.06851662624325</c:v>
                </c:pt>
                <c:pt idx="8">
                  <c:v>280.76881061774264</c:v>
                </c:pt>
                <c:pt idx="9" formatCode="General">
                  <c:v>0</c:v>
                </c:pt>
                <c:pt idx="10">
                  <c:v>113.03311091083582</c:v>
                </c:pt>
                <c:pt idx="11">
                  <c:v>118.46307900397879</c:v>
                </c:pt>
                <c:pt idx="12">
                  <c:v>109.6316893111631</c:v>
                </c:pt>
                <c:pt idx="13">
                  <c:v>116.21592076775832</c:v>
                </c:pt>
                <c:pt idx="14">
                  <c:v>120.4239108010257</c:v>
                </c:pt>
                <c:pt idx="15">
                  <c:v>140.46628357681126</c:v>
                </c:pt>
                <c:pt idx="16">
                  <c:v>178.78982903448522</c:v>
                </c:pt>
                <c:pt idx="17">
                  <c:v>199.9212653391173</c:v>
                </c:pt>
                <c:pt idx="18">
                  <c:v>198.40774048726047</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38.119169782004015</c:v>
                </c:pt>
                <c:pt idx="6">
                  <c:v>49.034252465476179</c:v>
                </c:pt>
                <c:pt idx="7">
                  <c:v>54.839559783076695</c:v>
                </c:pt>
                <c:pt idx="8">
                  <c:v>59.663372256270321</c:v>
                </c:pt>
                <c:pt idx="10">
                  <c:v>24.019536068552615</c:v>
                </c:pt>
                <c:pt idx="11">
                  <c:v>25.173404288345498</c:v>
                </c:pt>
                <c:pt idx="12">
                  <c:v>23.296733978622161</c:v>
                </c:pt>
                <c:pt idx="13">
                  <c:v>24.695883163148647</c:v>
                </c:pt>
                <c:pt idx="14">
                  <c:v>25.590081045217964</c:v>
                </c:pt>
                <c:pt idx="15">
                  <c:v>29.849085260072396</c:v>
                </c:pt>
                <c:pt idx="16">
                  <c:v>37.992838669828117</c:v>
                </c:pt>
                <c:pt idx="17">
                  <c:v>42.483268884562428</c:v>
                </c:pt>
                <c:pt idx="18">
                  <c:v>42.161644853542853</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6.7269123144712966</c:v>
                </c:pt>
                <c:pt idx="6">
                  <c:v>8.6531033762605016</c:v>
                </c:pt>
                <c:pt idx="7">
                  <c:v>9.6775693734841219</c:v>
                </c:pt>
                <c:pt idx="8">
                  <c:v>10.528830398165349</c:v>
                </c:pt>
                <c:pt idx="10">
                  <c:v>4.2387416591563438</c:v>
                </c:pt>
                <c:pt idx="11">
                  <c:v>4.4423654626492048</c:v>
                </c:pt>
                <c:pt idx="12">
                  <c:v>4.1111883491686161</c:v>
                </c:pt>
                <c:pt idx="13">
                  <c:v>4.3580970287909366</c:v>
                </c:pt>
                <c:pt idx="14">
                  <c:v>4.515896655038464</c:v>
                </c:pt>
                <c:pt idx="15">
                  <c:v>5.2674856341304226</c:v>
                </c:pt>
                <c:pt idx="16">
                  <c:v>6.7046185887931955</c:v>
                </c:pt>
                <c:pt idx="17">
                  <c:v>7.4970474502168987</c:v>
                </c:pt>
                <c:pt idx="18">
                  <c:v>7.4402902682722676</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PTRA!$O$164:$AG$164</c:f>
              <c:numCache>
                <c:formatCode>0.0</c:formatCode>
                <c:ptCount val="19"/>
                <c:pt idx="0">
                  <c:v>16.019623147367891</c:v>
                </c:pt>
                <c:pt idx="1">
                  <c:v>16.390365445896254</c:v>
                </c:pt>
                <c:pt idx="2">
                  <c:v>16.665664027538941</c:v>
                </c:pt>
                <c:pt idx="3">
                  <c:v>16.842454125788834</c:v>
                </c:pt>
                <c:pt idx="4">
                  <c:v>17.820918529388283</c:v>
                </c:pt>
                <c:pt idx="5">
                  <c:v>18.073916612121252</c:v>
                </c:pt>
                <c:pt idx="6">
                  <c:v>17.491635529566878</c:v>
                </c:pt>
                <c:pt idx="7">
                  <c:v>17.132754329065854</c:v>
                </c:pt>
                <c:pt idx="8">
                  <c:v>16.428437925556729</c:v>
                </c:pt>
                <c:pt idx="9" formatCode="General">
                  <c:v>0</c:v>
                </c:pt>
                <c:pt idx="10">
                  <c:v>16.019623147367891</c:v>
                </c:pt>
                <c:pt idx="11">
                  <c:v>16.390365445896254</c:v>
                </c:pt>
                <c:pt idx="12">
                  <c:v>16.665664027538941</c:v>
                </c:pt>
                <c:pt idx="13">
                  <c:v>16.842454125788834</c:v>
                </c:pt>
                <c:pt idx="14">
                  <c:v>18.497462633680335</c:v>
                </c:pt>
                <c:pt idx="15">
                  <c:v>19.466815458951071</c:v>
                </c:pt>
                <c:pt idx="16">
                  <c:v>19.218974768627252</c:v>
                </c:pt>
                <c:pt idx="17">
                  <c:v>19.036820975066412</c:v>
                </c:pt>
                <c:pt idx="18">
                  <c:v>19.304092103521135</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PTRA!$O$165:$AG$165</c:f>
              <c:numCache>
                <c:formatCode>0.0</c:formatCode>
                <c:ptCount val="19"/>
                <c:pt idx="0">
                  <c:v>100.65537861765586</c:v>
                </c:pt>
                <c:pt idx="1">
                  <c:v>102.9848470505062</c:v>
                </c:pt>
                <c:pt idx="2">
                  <c:v>104.71461826380103</c:v>
                </c:pt>
                <c:pt idx="3">
                  <c:v>105.82543554779683</c:v>
                </c:pt>
                <c:pt idx="4">
                  <c:v>111.97337698825345</c:v>
                </c:pt>
                <c:pt idx="5">
                  <c:v>113.56302847835181</c:v>
                </c:pt>
                <c:pt idx="6">
                  <c:v>109.90440790486855</c:v>
                </c:pt>
                <c:pt idx="7">
                  <c:v>107.64946577652486</c:v>
                </c:pt>
                <c:pt idx="8">
                  <c:v>103.22406615197222</c:v>
                </c:pt>
                <c:pt idx="9" formatCode="General">
                  <c:v>0</c:v>
                </c:pt>
                <c:pt idx="10">
                  <c:v>100.65537861765586</c:v>
                </c:pt>
                <c:pt idx="11">
                  <c:v>102.9848470505062</c:v>
                </c:pt>
                <c:pt idx="12">
                  <c:v>104.71461826380103</c:v>
                </c:pt>
                <c:pt idx="13">
                  <c:v>105.82543554779683</c:v>
                </c:pt>
                <c:pt idx="14">
                  <c:v>112.49004662673207</c:v>
                </c:pt>
                <c:pt idx="15">
                  <c:v>115.33859675678991</c:v>
                </c:pt>
                <c:pt idx="16">
                  <c:v>113.8701697559042</c:v>
                </c:pt>
                <c:pt idx="17">
                  <c:v>112.79092990860946</c:v>
                </c:pt>
                <c:pt idx="18">
                  <c:v>114.37447997485293</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PTRA!$O$166:$AG$166</c:f>
              <c:numCache>
                <c:formatCode>0.0</c:formatCode>
                <c:ptCount val="19"/>
                <c:pt idx="0">
                  <c:v>1.8199995725306073</c:v>
                </c:pt>
                <c:pt idx="1">
                  <c:v>2.7827386966557452</c:v>
                </c:pt>
                <c:pt idx="2">
                  <c:v>2.7728192749407472</c:v>
                </c:pt>
                <c:pt idx="3">
                  <c:v>2.8312206322409188</c:v>
                </c:pt>
                <c:pt idx="4">
                  <c:v>3.0837140091185553</c:v>
                </c:pt>
                <c:pt idx="5">
                  <c:v>3.3270719583361981</c:v>
                </c:pt>
                <c:pt idx="6">
                  <c:v>3.5116050165620889</c:v>
                </c:pt>
                <c:pt idx="7">
                  <c:v>3.6159272158105646</c:v>
                </c:pt>
                <c:pt idx="8">
                  <c:v>3.6584895419821946</c:v>
                </c:pt>
                <c:pt idx="10">
                  <c:v>1.8199995725306073</c:v>
                </c:pt>
                <c:pt idx="11">
                  <c:v>2.7827386966557452</c:v>
                </c:pt>
                <c:pt idx="12">
                  <c:v>2.7728192749407472</c:v>
                </c:pt>
                <c:pt idx="13">
                  <c:v>2.8312206322409188</c:v>
                </c:pt>
                <c:pt idx="14">
                  <c:v>2.7107997568530555</c:v>
                </c:pt>
                <c:pt idx="15">
                  <c:v>2.9247283726769364</c:v>
                </c:pt>
                <c:pt idx="16">
                  <c:v>3.0869458052569048</c:v>
                </c:pt>
                <c:pt idx="17">
                  <c:v>3.1786522966892869</c:v>
                </c:pt>
                <c:pt idx="18">
                  <c:v>3.2160675508587659</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PTRA!$O$167:$AG$167</c:f>
              <c:numCache>
                <c:formatCode>0.0</c:formatCode>
                <c:ptCount val="19"/>
                <c:pt idx="0">
                  <c:v>8.6741621423932465</c:v>
                </c:pt>
                <c:pt idx="1">
                  <c:v>8.8749083635056305</c:v>
                </c:pt>
                <c:pt idx="2">
                  <c:v>9.0239745751619225</c:v>
                </c:pt>
                <c:pt idx="3">
                  <c:v>9.1197012950280598</c:v>
                </c:pt>
                <c:pt idx="4">
                  <c:v>9.6495114415779959</c:v>
                </c:pt>
                <c:pt idx="5">
                  <c:v>9.7865025787072693</c:v>
                </c:pt>
                <c:pt idx="6">
                  <c:v>9.4712142304070923</c:v>
                </c:pt>
                <c:pt idx="7">
                  <c:v>9.2768904504800904</c:v>
                </c:pt>
                <c:pt idx="8">
                  <c:v>8.8955235089868872</c:v>
                </c:pt>
                <c:pt idx="9" formatCode="General">
                  <c:v>0</c:v>
                </c:pt>
                <c:pt idx="10">
                  <c:v>8.6741621423932465</c:v>
                </c:pt>
                <c:pt idx="11">
                  <c:v>8.8749083635056305</c:v>
                </c:pt>
                <c:pt idx="12">
                  <c:v>9.0239745751619225</c:v>
                </c:pt>
                <c:pt idx="13">
                  <c:v>9.1197012950280598</c:v>
                </c:pt>
                <c:pt idx="14">
                  <c:v>13.75007003286097</c:v>
                </c:pt>
                <c:pt idx="15">
                  <c:v>17.517087463062389</c:v>
                </c:pt>
                <c:pt idx="16">
                  <c:v>17.294069627481488</c:v>
                </c:pt>
                <c:pt idx="17">
                  <c:v>17.130159719347713</c:v>
                </c:pt>
                <c:pt idx="18">
                  <c:v>17.370661908489286</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9" formatCode="General">
                  <c:v>0</c:v>
                </c:pt>
                <c:pt idx="10">
                  <c:v>0.64854136839212595</c:v>
                </c:pt>
                <c:pt idx="11">
                  <c:v>0.6995709084876961</c:v>
                </c:pt>
                <c:pt idx="12">
                  <c:v>0.64248252977129328</c:v>
                </c:pt>
                <c:pt idx="13">
                  <c:v>0.68522387738371804</c:v>
                </c:pt>
                <c:pt idx="14">
                  <c:v>1.4694762168121909</c:v>
                </c:pt>
                <c:pt idx="15">
                  <c:v>2.4875212067437662</c:v>
                </c:pt>
                <c:pt idx="16">
                  <c:v>4.2575864646612285</c:v>
                </c:pt>
                <c:pt idx="17">
                  <c:v>5.5494308972229671</c:v>
                </c:pt>
                <c:pt idx="18">
                  <c:v>6.5688265757783757</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83.011371976970224</c:v>
                </c:pt>
                <c:pt idx="4">
                  <c:v>99.240263719345407</c:v>
                </c:pt>
                <c:pt idx="5">
                  <c:v>128.1316631327866</c:v>
                </c:pt>
                <c:pt idx="6">
                  <c:v>164.82101669067623</c:v>
                </c:pt>
                <c:pt idx="7">
                  <c:v>184.3346547330309</c:v>
                </c:pt>
                <c:pt idx="8">
                  <c:v>200.54915044124479</c:v>
                </c:pt>
                <c:pt idx="10">
                  <c:v>80.737936364882756</c:v>
                </c:pt>
                <c:pt idx="11">
                  <c:v>84.616485002842012</c:v>
                </c:pt>
                <c:pt idx="12">
                  <c:v>78.308349507973659</c:v>
                </c:pt>
                <c:pt idx="13">
                  <c:v>83.011371976970224</c:v>
                </c:pt>
                <c:pt idx="14">
                  <c:v>86.017079143589797</c:v>
                </c:pt>
                <c:pt idx="15">
                  <c:v>100.33305969772233</c:v>
                </c:pt>
                <c:pt idx="16">
                  <c:v>127.70702073891803</c:v>
                </c:pt>
                <c:pt idx="17">
                  <c:v>142.8009038136552</c:v>
                </c:pt>
                <c:pt idx="18">
                  <c:v>141.71981463375749</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17.639916545106175</c:v>
                </c:pt>
                <c:pt idx="4">
                  <c:v>21.088556040360903</c:v>
                </c:pt>
                <c:pt idx="5">
                  <c:v>27.227978415717157</c:v>
                </c:pt>
                <c:pt idx="6">
                  <c:v>35.024466046768701</c:v>
                </c:pt>
                <c:pt idx="7">
                  <c:v>39.171114130769077</c:v>
                </c:pt>
                <c:pt idx="8">
                  <c:v>42.616694468764528</c:v>
                </c:pt>
                <c:pt idx="10">
                  <c:v>17.156811477537588</c:v>
                </c:pt>
                <c:pt idx="11">
                  <c:v>17.98100306310393</c:v>
                </c:pt>
                <c:pt idx="12">
                  <c:v>16.640524270444406</c:v>
                </c:pt>
                <c:pt idx="13">
                  <c:v>17.639916545106175</c:v>
                </c:pt>
                <c:pt idx="14">
                  <c:v>18.278629318012836</c:v>
                </c:pt>
                <c:pt idx="15">
                  <c:v>21.320775185765999</c:v>
                </c:pt>
                <c:pt idx="16">
                  <c:v>27.137741907020086</c:v>
                </c:pt>
                <c:pt idx="17">
                  <c:v>30.345192060401736</c:v>
                </c:pt>
                <c:pt idx="18">
                  <c:v>30.115460609673473</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3.1129264491363839</c:v>
                </c:pt>
                <c:pt idx="4">
                  <c:v>3.7215098894754526</c:v>
                </c:pt>
                <c:pt idx="5">
                  <c:v>4.8049373674794982</c:v>
                </c:pt>
                <c:pt idx="6">
                  <c:v>6.1807881259003592</c:v>
                </c:pt>
                <c:pt idx="7">
                  <c:v>6.9125495524886595</c:v>
                </c:pt>
                <c:pt idx="8">
                  <c:v>7.52059314154668</c:v>
                </c:pt>
                <c:pt idx="10">
                  <c:v>3.0276726136831034</c:v>
                </c:pt>
                <c:pt idx="11">
                  <c:v>3.1731181876065753</c:v>
                </c:pt>
                <c:pt idx="12">
                  <c:v>2.9365631065490123</c:v>
                </c:pt>
                <c:pt idx="13">
                  <c:v>3.1129264491363839</c:v>
                </c:pt>
                <c:pt idx="14">
                  <c:v>3.2256404678846176</c:v>
                </c:pt>
                <c:pt idx="15">
                  <c:v>3.7624897386645877</c:v>
                </c:pt>
                <c:pt idx="16">
                  <c:v>4.7890132777094268</c:v>
                </c:pt>
                <c:pt idx="17">
                  <c:v>5.3550338930120702</c:v>
                </c:pt>
                <c:pt idx="18">
                  <c:v>5.3144930487659066</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0.6407849258947157</c:v>
                </c:pt>
                <c:pt idx="1">
                  <c:v>0.65561461783585018</c:v>
                </c:pt>
                <c:pt idx="2">
                  <c:v>0.6666265611015576</c:v>
                </c:pt>
                <c:pt idx="3">
                  <c:v>0.67369816503155333</c:v>
                </c:pt>
                <c:pt idx="4">
                  <c:v>0.71283674117553131</c:v>
                </c:pt>
                <c:pt idx="5">
                  <c:v>0.72295666448485008</c:v>
                </c:pt>
                <c:pt idx="6">
                  <c:v>0.69966542118267516</c:v>
                </c:pt>
                <c:pt idx="7">
                  <c:v>0.68531017316263421</c:v>
                </c:pt>
                <c:pt idx="8">
                  <c:v>0.65713751702226919</c:v>
                </c:pt>
                <c:pt idx="10">
                  <c:v>0.6407849258947157</c:v>
                </c:pt>
                <c:pt idx="11">
                  <c:v>0.65561461783585018</c:v>
                </c:pt>
                <c:pt idx="12">
                  <c:v>0.6666265611015576</c:v>
                </c:pt>
                <c:pt idx="13">
                  <c:v>0.67369816503155333</c:v>
                </c:pt>
                <c:pt idx="14">
                  <c:v>0.73989850534721346</c:v>
                </c:pt>
                <c:pt idx="15">
                  <c:v>0.7786726183580428</c:v>
                </c:pt>
                <c:pt idx="16">
                  <c:v>0.76875899074509002</c:v>
                </c:pt>
                <c:pt idx="17">
                  <c:v>0.7614728390026565</c:v>
                </c:pt>
                <c:pt idx="18">
                  <c:v>0.77216368414084546</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7.1896699012611327</c:v>
                </c:pt>
                <c:pt idx="1">
                  <c:v>7.3560605036075861</c:v>
                </c:pt>
                <c:pt idx="2">
                  <c:v>7.4796155902715018</c:v>
                </c:pt>
                <c:pt idx="3">
                  <c:v>7.5589596819854874</c:v>
                </c:pt>
                <c:pt idx="4">
                  <c:v>7.9980983563038182</c:v>
                </c:pt>
                <c:pt idx="5">
                  <c:v>8.1116448913108439</c:v>
                </c:pt>
                <c:pt idx="6">
                  <c:v>7.8503148503477531</c:v>
                </c:pt>
                <c:pt idx="7">
                  <c:v>7.6892475554660615</c:v>
                </c:pt>
                <c:pt idx="8">
                  <c:v>7.37314758228373</c:v>
                </c:pt>
                <c:pt idx="10">
                  <c:v>7.1896699012611327</c:v>
                </c:pt>
                <c:pt idx="11">
                  <c:v>7.3560605036075861</c:v>
                </c:pt>
                <c:pt idx="12">
                  <c:v>7.4796155902715018</c:v>
                </c:pt>
                <c:pt idx="13">
                  <c:v>7.5589596819854874</c:v>
                </c:pt>
                <c:pt idx="14">
                  <c:v>8.0350033304808619</c:v>
                </c:pt>
                <c:pt idx="15">
                  <c:v>8.2384711969135651</c:v>
                </c:pt>
                <c:pt idx="16">
                  <c:v>8.1335835539931569</c:v>
                </c:pt>
                <c:pt idx="17">
                  <c:v>8.0564949934721035</c:v>
                </c:pt>
                <c:pt idx="18">
                  <c:v>8.1696057124894956</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formatCode="0.000">
                  <c:v>7.2799982901224289E-2</c:v>
                </c:pt>
                <c:pt idx="1">
                  <c:v>0.1113095478662298</c:v>
                </c:pt>
                <c:pt idx="2">
                  <c:v>0.11091277099762989</c:v>
                </c:pt>
                <c:pt idx="3">
                  <c:v>0.11324882528963676</c:v>
                </c:pt>
                <c:pt idx="4">
                  <c:v>0.12334856036474222</c:v>
                </c:pt>
                <c:pt idx="5">
                  <c:v>0.13308287833344792</c:v>
                </c:pt>
                <c:pt idx="6">
                  <c:v>0.14046420066248355</c:v>
                </c:pt>
                <c:pt idx="7">
                  <c:v>0.14463708863242258</c:v>
                </c:pt>
                <c:pt idx="8">
                  <c:v>0.14633958167928779</c:v>
                </c:pt>
                <c:pt idx="10">
                  <c:v>7.2799982901224289E-2</c:v>
                </c:pt>
                <c:pt idx="11">
                  <c:v>0.1113095478662298</c:v>
                </c:pt>
                <c:pt idx="12">
                  <c:v>0.11091277099762989</c:v>
                </c:pt>
                <c:pt idx="13">
                  <c:v>0.11324882528963676</c:v>
                </c:pt>
                <c:pt idx="14">
                  <c:v>0.10843199027412222</c:v>
                </c:pt>
                <c:pt idx="15">
                  <c:v>0.11698913490707746</c:v>
                </c:pt>
                <c:pt idx="16">
                  <c:v>0.12347783221027619</c:v>
                </c:pt>
                <c:pt idx="17">
                  <c:v>0.12714609186757148</c:v>
                </c:pt>
                <c:pt idx="18">
                  <c:v>0.12864270203435063</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179.38432838590123</c:v>
                </c:pt>
                <c:pt idx="6">
                  <c:v>230.7494233669467</c:v>
                </c:pt>
                <c:pt idx="7">
                  <c:v>258.06851662624325</c:v>
                </c:pt>
                <c:pt idx="8">
                  <c:v>280.76881061774264</c:v>
                </c:pt>
                <c:pt idx="9" formatCode="General">
                  <c:v>0</c:v>
                </c:pt>
                <c:pt idx="10">
                  <c:v>113.03311091083582</c:v>
                </c:pt>
                <c:pt idx="11">
                  <c:v>118.46307900397879</c:v>
                </c:pt>
                <c:pt idx="12">
                  <c:v>109.6316893111631</c:v>
                </c:pt>
                <c:pt idx="13">
                  <c:v>116.21592076775832</c:v>
                </c:pt>
                <c:pt idx="14">
                  <c:v>120.4239108010257</c:v>
                </c:pt>
                <c:pt idx="15">
                  <c:v>140.46628357681126</c:v>
                </c:pt>
                <c:pt idx="16">
                  <c:v>178.78982903448522</c:v>
                </c:pt>
                <c:pt idx="17">
                  <c:v>199.9212653391173</c:v>
                </c:pt>
                <c:pt idx="18">
                  <c:v>198.40774048726047</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38.119169782004015</c:v>
                </c:pt>
                <c:pt idx="6">
                  <c:v>49.034252465476179</c:v>
                </c:pt>
                <c:pt idx="7">
                  <c:v>54.839559783076695</c:v>
                </c:pt>
                <c:pt idx="8">
                  <c:v>59.663372256270321</c:v>
                </c:pt>
                <c:pt idx="10">
                  <c:v>24.019536068552615</c:v>
                </c:pt>
                <c:pt idx="11">
                  <c:v>25.173404288345498</c:v>
                </c:pt>
                <c:pt idx="12">
                  <c:v>23.296733978622161</c:v>
                </c:pt>
                <c:pt idx="13">
                  <c:v>24.695883163148647</c:v>
                </c:pt>
                <c:pt idx="14">
                  <c:v>25.590081045217964</c:v>
                </c:pt>
                <c:pt idx="15">
                  <c:v>29.849085260072396</c:v>
                </c:pt>
                <c:pt idx="16">
                  <c:v>37.992838669828117</c:v>
                </c:pt>
                <c:pt idx="17">
                  <c:v>42.483268884562428</c:v>
                </c:pt>
                <c:pt idx="18">
                  <c:v>42.161644853542853</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6.7269123144712966</c:v>
                </c:pt>
                <c:pt idx="6">
                  <c:v>8.6531033762605016</c:v>
                </c:pt>
                <c:pt idx="7">
                  <c:v>9.6775693734841219</c:v>
                </c:pt>
                <c:pt idx="8">
                  <c:v>10.528830398165349</c:v>
                </c:pt>
                <c:pt idx="10">
                  <c:v>4.2387416591563438</c:v>
                </c:pt>
                <c:pt idx="11">
                  <c:v>4.4423654626492048</c:v>
                </c:pt>
                <c:pt idx="12">
                  <c:v>4.1111883491686161</c:v>
                </c:pt>
                <c:pt idx="13">
                  <c:v>4.3580970287909366</c:v>
                </c:pt>
                <c:pt idx="14">
                  <c:v>4.515896655038464</c:v>
                </c:pt>
                <c:pt idx="15">
                  <c:v>5.2674856341304226</c:v>
                </c:pt>
                <c:pt idx="16">
                  <c:v>6.7046185887931955</c:v>
                </c:pt>
                <c:pt idx="17">
                  <c:v>7.4970474502168987</c:v>
                </c:pt>
                <c:pt idx="18">
                  <c:v>7.4402902682722676</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16.390365445896254</c:v>
                </c:pt>
                <c:pt idx="2">
                  <c:v>16.665664027538941</c:v>
                </c:pt>
                <c:pt idx="3">
                  <c:v>16.842454125788834</c:v>
                </c:pt>
                <c:pt idx="4">
                  <c:v>17.820918529388283</c:v>
                </c:pt>
                <c:pt idx="5">
                  <c:v>18.073916612121252</c:v>
                </c:pt>
                <c:pt idx="6">
                  <c:v>17.491635529566878</c:v>
                </c:pt>
                <c:pt idx="7">
                  <c:v>17.132754329065854</c:v>
                </c:pt>
                <c:pt idx="8">
                  <c:v>16.428437925556729</c:v>
                </c:pt>
                <c:pt idx="9" formatCode="General">
                  <c:v>0</c:v>
                </c:pt>
                <c:pt idx="10">
                  <c:v>16.019623147367891</c:v>
                </c:pt>
                <c:pt idx="11">
                  <c:v>16.390365445896254</c:v>
                </c:pt>
                <c:pt idx="12">
                  <c:v>16.665664027538941</c:v>
                </c:pt>
                <c:pt idx="13">
                  <c:v>16.842454125788834</c:v>
                </c:pt>
                <c:pt idx="14">
                  <c:v>18.497462633680335</c:v>
                </c:pt>
                <c:pt idx="15">
                  <c:v>19.466815458951071</c:v>
                </c:pt>
                <c:pt idx="16">
                  <c:v>19.218974768627252</c:v>
                </c:pt>
                <c:pt idx="17">
                  <c:v>19.036820975066412</c:v>
                </c:pt>
                <c:pt idx="18">
                  <c:v>19.304092103521135</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102.9848470505062</c:v>
                </c:pt>
                <c:pt idx="2">
                  <c:v>104.71461826380103</c:v>
                </c:pt>
                <c:pt idx="3">
                  <c:v>105.82543554779683</c:v>
                </c:pt>
                <c:pt idx="4">
                  <c:v>111.97337698825345</c:v>
                </c:pt>
                <c:pt idx="5">
                  <c:v>113.56302847835181</c:v>
                </c:pt>
                <c:pt idx="6">
                  <c:v>109.90440790486855</c:v>
                </c:pt>
                <c:pt idx="7">
                  <c:v>107.64946577652486</c:v>
                </c:pt>
                <c:pt idx="8">
                  <c:v>103.22406615197222</c:v>
                </c:pt>
                <c:pt idx="9" formatCode="General">
                  <c:v>0</c:v>
                </c:pt>
                <c:pt idx="10">
                  <c:v>100.65537861765586</c:v>
                </c:pt>
                <c:pt idx="11">
                  <c:v>102.9848470505062</c:v>
                </c:pt>
                <c:pt idx="12">
                  <c:v>104.71461826380103</c:v>
                </c:pt>
                <c:pt idx="13">
                  <c:v>105.82543554779683</c:v>
                </c:pt>
                <c:pt idx="14">
                  <c:v>112.49004662673207</c:v>
                </c:pt>
                <c:pt idx="15">
                  <c:v>115.33859675678991</c:v>
                </c:pt>
                <c:pt idx="16">
                  <c:v>113.8701697559042</c:v>
                </c:pt>
                <c:pt idx="17">
                  <c:v>112.79092990860946</c:v>
                </c:pt>
                <c:pt idx="18">
                  <c:v>114.37447997485293</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2.7827386966557452</c:v>
                </c:pt>
                <c:pt idx="2">
                  <c:v>2.7728192749407472</c:v>
                </c:pt>
                <c:pt idx="3">
                  <c:v>2.8312206322409188</c:v>
                </c:pt>
                <c:pt idx="4">
                  <c:v>3.0837140091185553</c:v>
                </c:pt>
                <c:pt idx="5">
                  <c:v>3.3270719583361981</c:v>
                </c:pt>
                <c:pt idx="6">
                  <c:v>3.5116050165620889</c:v>
                </c:pt>
                <c:pt idx="7">
                  <c:v>3.6159272158105646</c:v>
                </c:pt>
                <c:pt idx="8">
                  <c:v>3.6584895419821946</c:v>
                </c:pt>
                <c:pt idx="10">
                  <c:v>1.8199995725306073</c:v>
                </c:pt>
                <c:pt idx="11">
                  <c:v>2.7827386966557452</c:v>
                </c:pt>
                <c:pt idx="12">
                  <c:v>2.7728192749407472</c:v>
                </c:pt>
                <c:pt idx="13">
                  <c:v>2.8312206322409188</c:v>
                </c:pt>
                <c:pt idx="14">
                  <c:v>2.7107997568530555</c:v>
                </c:pt>
                <c:pt idx="15">
                  <c:v>2.9247283726769364</c:v>
                </c:pt>
                <c:pt idx="16">
                  <c:v>3.0869458052569048</c:v>
                </c:pt>
                <c:pt idx="17">
                  <c:v>3.1786522966892869</c:v>
                </c:pt>
                <c:pt idx="18">
                  <c:v>3.2160675508587659</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8.8749083635056305</c:v>
                </c:pt>
                <c:pt idx="2">
                  <c:v>9.0239745751619225</c:v>
                </c:pt>
                <c:pt idx="3">
                  <c:v>9.1197012950280598</c:v>
                </c:pt>
                <c:pt idx="4">
                  <c:v>9.6495114415779959</c:v>
                </c:pt>
                <c:pt idx="5">
                  <c:v>9.7865025787072693</c:v>
                </c:pt>
                <c:pt idx="6">
                  <c:v>9.4712142304070923</c:v>
                </c:pt>
                <c:pt idx="7">
                  <c:v>9.2768904504800904</c:v>
                </c:pt>
                <c:pt idx="8">
                  <c:v>8.8955235089868872</c:v>
                </c:pt>
                <c:pt idx="9" formatCode="General">
                  <c:v>0</c:v>
                </c:pt>
                <c:pt idx="10">
                  <c:v>8.6741621423932465</c:v>
                </c:pt>
                <c:pt idx="11">
                  <c:v>8.8749083635056305</c:v>
                </c:pt>
                <c:pt idx="12">
                  <c:v>9.0239745751619225</c:v>
                </c:pt>
                <c:pt idx="13">
                  <c:v>9.1197012950280598</c:v>
                </c:pt>
                <c:pt idx="14">
                  <c:v>13.75007003286097</c:v>
                </c:pt>
                <c:pt idx="15">
                  <c:v>17.517087463062389</c:v>
                </c:pt>
                <c:pt idx="16">
                  <c:v>17.294069627481488</c:v>
                </c:pt>
                <c:pt idx="17">
                  <c:v>17.130159719347713</c:v>
                </c:pt>
                <c:pt idx="18">
                  <c:v>17.370661908489286</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9" formatCode="General">
                  <c:v>0</c:v>
                </c:pt>
                <c:pt idx="10">
                  <c:v>0.64854136839212595</c:v>
                </c:pt>
                <c:pt idx="11">
                  <c:v>0.6995709084876961</c:v>
                </c:pt>
                <c:pt idx="12">
                  <c:v>0.64248252977129328</c:v>
                </c:pt>
                <c:pt idx="13">
                  <c:v>0.68522387738371804</c:v>
                </c:pt>
                <c:pt idx="14">
                  <c:v>1.4694762168121909</c:v>
                </c:pt>
                <c:pt idx="15">
                  <c:v>2.4875212067437662</c:v>
                </c:pt>
                <c:pt idx="16">
                  <c:v>4.2575864646612285</c:v>
                </c:pt>
                <c:pt idx="17">
                  <c:v>5.5494308972229671</c:v>
                </c:pt>
                <c:pt idx="18">
                  <c:v>6.5688265757783757</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formatCode="0.0%">
                  <c:v>0.02</c:v>
                </c:pt>
                <c:pt idx="11" formatCode="0.0%">
                  <c:v>0.02</c:v>
                </c:pt>
                <c:pt idx="12" formatCode="0.0%">
                  <c:v>0.02</c:v>
                </c:pt>
                <c:pt idx="13" formatCode="0.0%">
                  <c:v>0.02</c:v>
                </c:pt>
                <c:pt idx="14" formatCode="0.0%">
                  <c:v>0.02</c:v>
                </c:pt>
                <c:pt idx="15" formatCode="0.0%">
                  <c:v>0.02</c:v>
                </c:pt>
                <c:pt idx="16" formatCode="0.0%">
                  <c:v>0.02</c:v>
                </c:pt>
                <c:pt idx="17" formatCode="0.0%">
                  <c:v>0.02</c:v>
                </c:pt>
                <c:pt idx="18" formatCode="0.0%">
                  <c:v>0.02</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0.72970270270270254</c:v>
                </c:pt>
                <c:pt idx="15">
                  <c:v>0.69321756756756736</c:v>
                </c:pt>
                <c:pt idx="16">
                  <c:v>0.69321756756756736</c:v>
                </c:pt>
                <c:pt idx="17">
                  <c:v>0.69321756756756736</c:v>
                </c:pt>
                <c:pt idx="18">
                  <c:v>0.65855668918918897</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0.23749999999999999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c:v>0.28499999999999998</c:v>
                </c:pt>
                <c:pt idx="15">
                  <c:v>0.28499999999999998</c:v>
                </c:pt>
                <c:pt idx="16">
                  <c:v>0.28499999999999998</c:v>
                </c:pt>
                <c:pt idx="17">
                  <c:v>0.28499999999999998</c:v>
                </c:pt>
                <c:pt idx="18">
                  <c:v>0.28499999999999998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0.40045855369940653</c:v>
                </c:pt>
                <c:pt idx="4">
                  <c:v>0.41102326977270026</c:v>
                </c:pt>
                <c:pt idx="5">
                  <c:v>0.44904602555498063</c:v>
                </c:pt>
                <c:pt idx="6">
                  <c:v>0.51729204386729877</c:v>
                </c:pt>
                <c:pt idx="7">
                  <c:v>0.51729204386729877</c:v>
                </c:pt>
                <c:pt idx="8">
                  <c:v>0.51865795945727067</c:v>
                </c:pt>
                <c:pt idx="10" formatCode="0%">
                  <c:v>0.40039186287579059</c:v>
                </c:pt>
                <c:pt idx="11" formatCode="0%">
                  <c:v>0.40039186287579059</c:v>
                </c:pt>
                <c:pt idx="12" formatCode="0%">
                  <c:v>0.3966824420527032</c:v>
                </c:pt>
                <c:pt idx="13" formatCode="0%">
                  <c:v>0.40045855369940653</c:v>
                </c:pt>
                <c:pt idx="14">
                  <c:v>0.39047210628406526</c:v>
                </c:pt>
                <c:pt idx="15">
                  <c:v>0.42659372427723158</c:v>
                </c:pt>
                <c:pt idx="16">
                  <c:v>0.49142744167393382</c:v>
                </c:pt>
                <c:pt idx="17">
                  <c:v>0.49142744167393382</c:v>
                </c:pt>
                <c:pt idx="18">
                  <c:v>0.49272506148440709</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9">
                  <c:v>0</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12.663533555486266</c:v>
                </c:pt>
                <c:pt idx="15" formatCode="0.00">
                  <c:v>12.030356877711952</c:v>
                </c:pt>
                <c:pt idx="16" formatCode="0.00">
                  <c:v>12.030356877711952</c:v>
                </c:pt>
                <c:pt idx="17" formatCode="0.00">
                  <c:v>12.030356877711952</c:v>
                </c:pt>
                <c:pt idx="18" formatCode="0.00">
                  <c:v>11.428839033826353</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1.1170935951260446</c:v>
                </c:pt>
                <c:pt idx="4">
                  <c:v>1.2349762229363646</c:v>
                </c:pt>
                <c:pt idx="5">
                  <c:v>1.6919547229380809</c:v>
                </c:pt>
                <c:pt idx="6">
                  <c:v>2.2230447152746691</c:v>
                </c:pt>
                <c:pt idx="7">
                  <c:v>2.5121731010596071</c:v>
                </c:pt>
                <c:pt idx="8">
                  <c:v>2.7411143514484757</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0.12794254147675305</c:v>
                </c:pt>
                <c:pt idx="15">
                  <c:v>0.11520732560017592</c:v>
                </c:pt>
                <c:pt idx="16">
                  <c:v>9.2591622021171202E-2</c:v>
                </c:pt>
                <c:pt idx="17">
                  <c:v>7.2344307725924581E-2</c:v>
                </c:pt>
                <c:pt idx="18">
                  <c:v>4.7390606229744323E-2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4.385395164516483</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9.9529146831187632</c:v>
                </c:pt>
                <c:pt idx="7">
                  <c:v>11.331110733973251</c:v>
                </c:pt>
                <c:pt idx="8">
                  <c:v>12.582995815205363</c:v>
                </c:pt>
                <c:pt idx="10">
                  <c:v>4.1038214947082041</c:v>
                </c:pt>
                <c:pt idx="11">
                  <c:v>4.3184589686023154</c:v>
                </c:pt>
                <c:pt idx="12">
                  <c:v>3.6132870620523043</c:v>
                </c:pt>
                <c:pt idx="13">
                  <c:v>4.172016483740788</c:v>
                </c:pt>
                <c:pt idx="14">
                  <c:v>4.7103292393160618</c:v>
                </c:pt>
                <c:pt idx="15">
                  <c:v>6.2571432480034241</c:v>
                </c:pt>
                <c:pt idx="16">
                  <c:v>8.5333802264389469</c:v>
                </c:pt>
                <c:pt idx="17">
                  <c:v>9.7150110655403132</c:v>
                </c:pt>
                <c:pt idx="18">
                  <c:v>10.248928735208612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0.80142174844719194</c:v>
                </c:pt>
                <c:pt idx="3">
                  <c:v>0.82026945481797375</c:v>
                </c:pt>
                <c:pt idx="4">
                  <c:v>0.8805364117356973</c:v>
                </c:pt>
                <c:pt idx="5">
                  <c:v>1.058394228411212</c:v>
                </c:pt>
                <c:pt idx="6">
                  <c:v>1.3120526068162606</c:v>
                </c:pt>
                <c:pt idx="7">
                  <c:v>1.3120526068162606</c:v>
                </c:pt>
                <c:pt idx="8">
                  <c:v>1.1912263818901978</c:v>
                </c:pt>
                <c:pt idx="9">
                  <c:v>0</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8.0509655947035181</c:v>
                      </c:pt>
                      <c:pt idx="4">
                        <c:v>9.6040042600572217</c:v>
                      </c:pt>
                      <c:pt idx="5">
                        <c:v>12.341534081556958</c:v>
                      </c:pt>
                      <c:pt idx="6">
                        <c:v>15.813477531283526</c:v>
                      </c:pt>
                      <c:pt idx="7">
                        <c:v>17.670374349315878</c:v>
                      </c:pt>
                      <c:pt idx="8">
                        <c:v>19.213611078930096</c:v>
                      </c:pt>
                      <c:pt idx="10">
                        <c:v>7.8228147287494769</c:v>
                      </c:pt>
                      <c:pt idx="11">
                        <c:v>8.1980519800018872</c:v>
                      </c:pt>
                      <c:pt idx="12">
                        <c:v>7.6201903898356402</c:v>
                      </c:pt>
                      <c:pt idx="13">
                        <c:v>8.0509655947035181</c:v>
                      </c:pt>
                      <c:pt idx="14">
                        <c:v>8.7612480533487549</c:v>
                      </c:pt>
                      <c:pt idx="15">
                        <c:v>10.708214367198767</c:v>
                      </c:pt>
                      <c:pt idx="16">
                        <c:v>13.577788817071829</c:v>
                      </c:pt>
                      <c:pt idx="17">
                        <c:v>15.168833360717558</c:v>
                      </c:pt>
                      <c:pt idx="18">
                        <c:v>15.830909197712968</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135.55581606900626</c:v>
                </c:pt>
                <c:pt idx="4">
                  <c:v>148.53250078136074</c:v>
                </c:pt>
                <c:pt idx="5">
                  <c:v>177.03108750775269</c:v>
                </c:pt>
                <c:pt idx="6">
                  <c:v>208.9982706160996</c:v>
                </c:pt>
                <c:pt idx="7">
                  <c:v>233.53988222009701</c:v>
                </c:pt>
                <c:pt idx="8">
                  <c:v>251.15123984324489</c:v>
                </c:pt>
                <c:pt idx="10">
                  <c:v>138.40313364615901</c:v>
                </c:pt>
                <c:pt idx="11">
                  <c:v>140.46218054044525</c:v>
                </c:pt>
                <c:pt idx="12">
                  <c:v>131.00262524999772</c:v>
                </c:pt>
                <c:pt idx="13">
                  <c:v>135.55581606900626</c:v>
                </c:pt>
                <c:pt idx="14">
                  <c:v>135.49869909386794</c:v>
                </c:pt>
                <c:pt idx="15">
                  <c:v>153.6022039208425</c:v>
                </c:pt>
                <c:pt idx="16">
                  <c:v>184.65707095564198</c:v>
                </c:pt>
                <c:pt idx="17">
                  <c:v>200.478353567841</c:v>
                </c:pt>
                <c:pt idx="18">
                  <c:v>206.93416019082034</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c:v>0.23381516587677725</c:v>
                </c:pt>
                <c:pt idx="3">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0.20046727784360185</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0.0%</c:formatCode>
                <c:ptCount val="19"/>
                <c:pt idx="0">
                  <c:v>5.0000000000000001E-3</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formatCode="0%">
                  <c:v>5.0000000000000001E-3</c:v>
                </c:pt>
                <c:pt idx="11" formatCode="0%">
                  <c:v>5.0000000000000001E-3</c:v>
                </c:pt>
                <c:pt idx="12" formatCode="0%">
                  <c:v>5.0000000000000001E-3</c:v>
                </c:pt>
                <c:pt idx="13">
                  <c:v>5.0000000000000001E-3</c:v>
                </c:pt>
                <c:pt idx="14">
                  <c:v>5.0000000000000001E-3</c:v>
                </c:pt>
                <c:pt idx="15">
                  <c:v>5.0000000000000001E-3</c:v>
                </c:pt>
                <c:pt idx="16">
                  <c:v>5.0000000000000001E-3</c:v>
                </c:pt>
                <c:pt idx="17">
                  <c:v>5.0000000000000001E-3</c:v>
                </c:pt>
                <c:pt idx="18">
                  <c:v>5.0000000000000001E-3</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0.75618483412322268</c:v>
                </c:pt>
                <c:pt idx="4">
                  <c:v>0.75618483412322268</c:v>
                </c:pt>
                <c:pt idx="5">
                  <c:v>0.75618483412322268</c:v>
                </c:pt>
                <c:pt idx="6">
                  <c:v>0.75618483412322268</c:v>
                </c:pt>
                <c:pt idx="7">
                  <c:v>0.75618483412322268</c:v>
                </c:pt>
                <c:pt idx="8">
                  <c:v>0.75618483412322268</c:v>
                </c:pt>
                <c:pt idx="10" formatCode="0%">
                  <c:v>0.7611848341232228</c:v>
                </c:pt>
                <c:pt idx="11" formatCode="0%">
                  <c:v>0.75618483412322268</c:v>
                </c:pt>
                <c:pt idx="12" formatCode="0%">
                  <c:v>0.75618483412322268</c:v>
                </c:pt>
                <c:pt idx="13" formatCode="0%">
                  <c:v>0.75618483412322268</c:v>
                </c:pt>
                <c:pt idx="14">
                  <c:v>0.7839818127962086</c:v>
                </c:pt>
                <c:pt idx="15">
                  <c:v>0.79453272215639814</c:v>
                </c:pt>
                <c:pt idx="16">
                  <c:v>0.80455608604857831</c:v>
                </c:pt>
                <c:pt idx="17">
                  <c:v>0.80455608604857831</c:v>
                </c:pt>
                <c:pt idx="18">
                  <c:v>0.82312436765884178</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0.40210488688128182</c:v>
                </c:pt>
                <c:pt idx="17">
                  <c:v>0.40210488688128182</c:v>
                </c:pt>
                <c:pt idx="18">
                  <c:v>0.3819996425372178</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
                  <c:v>0.01</c:v>
                </c:pt>
                <c:pt idx="3" formatCode="0%">
                  <c:v>0.01</c:v>
                </c:pt>
                <c:pt idx="4">
                  <c:v>0.01</c:v>
                </c:pt>
                <c:pt idx="5">
                  <c:v>0.01</c:v>
                </c:pt>
                <c:pt idx="6">
                  <c:v>0.01</c:v>
                </c:pt>
                <c:pt idx="7">
                  <c:v>0.01</c:v>
                </c:pt>
                <c:pt idx="8">
                  <c:v>0.01</c:v>
                </c:pt>
                <c:pt idx="10" formatCode="0%">
                  <c:v>0.01</c:v>
                </c:pt>
                <c:pt idx="11" formatCode="0%">
                  <c:v>0.01</c:v>
                </c:pt>
                <c:pt idx="12" formatCode="0%">
                  <c:v>0.01</c:v>
                </c:pt>
                <c:pt idx="13" formatCode="0%">
                  <c:v>0.01</c:v>
                </c:pt>
                <c:pt idx="14" formatCode="0%">
                  <c:v>0.01</c:v>
                </c:pt>
                <c:pt idx="15" formatCode="0%">
                  <c:v>0.01</c:v>
                </c:pt>
                <c:pt idx="16" formatCode="0%">
                  <c:v>0.01</c:v>
                </c:pt>
                <c:pt idx="17" formatCode="0%">
                  <c:v>0.01</c:v>
                </c:pt>
                <c:pt idx="18" formatCode="0%">
                  <c:v>0.01</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0.51900465154537745</c:v>
                </c:pt>
                <c:pt idx="4">
                  <c:v>0.51900465154537745</c:v>
                </c:pt>
                <c:pt idx="5">
                  <c:v>0.51900465154537745</c:v>
                </c:pt>
                <c:pt idx="6">
                  <c:v>0.51900465154537745</c:v>
                </c:pt>
                <c:pt idx="7">
                  <c:v>0.51900465154537745</c:v>
                </c:pt>
                <c:pt idx="8">
                  <c:v>0.51900465154537745</c:v>
                </c:pt>
                <c:pt idx="10" formatCode="0%">
                  <c:v>0.51900465154537745</c:v>
                </c:pt>
                <c:pt idx="11" formatCode="0%">
                  <c:v>0.51900465154537745</c:v>
                </c:pt>
                <c:pt idx="12" formatCode="0%">
                  <c:v>0.51900465154537745</c:v>
                </c:pt>
                <c:pt idx="13" formatCode="0%">
                  <c:v>0.51900465154537745</c:v>
                </c:pt>
                <c:pt idx="14">
                  <c:v>0.55673169801970324</c:v>
                </c:pt>
                <c:pt idx="15">
                  <c:v>0.56789511311871821</c:v>
                </c:pt>
                <c:pt idx="16">
                  <c:v>0.5578951131187182</c:v>
                </c:pt>
                <c:pt idx="17">
                  <c:v>0.5578951131187182</c:v>
                </c:pt>
                <c:pt idx="18">
                  <c:v>0.57800035746278222</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0.67601785001266457</c:v>
                </c:pt>
                <c:pt idx="4">
                  <c:v>0.69385224655604116</c:v>
                </c:pt>
                <c:pt idx="5">
                  <c:v>0.75803881812016827</c:v>
                </c:pt>
                <c:pt idx="6">
                  <c:v>0.87324556335065862</c:v>
                </c:pt>
                <c:pt idx="7">
                  <c:v>0.87324556335065862</c:v>
                </c:pt>
                <c:pt idx="8">
                  <c:v>0.87555137830179786</c:v>
                </c:pt>
                <c:pt idx="10">
                  <c:v>0.67590526860622457</c:v>
                </c:pt>
                <c:pt idx="11">
                  <c:v>0.67590526860622457</c:v>
                </c:pt>
                <c:pt idx="12">
                  <c:v>0.66964336043507822</c:v>
                </c:pt>
                <c:pt idx="13">
                  <c:v>0.67601785001266457</c:v>
                </c:pt>
                <c:pt idx="14">
                  <c:v>0.62620165251682702</c:v>
                </c:pt>
                <c:pt idx="15">
                  <c:v>0.64992353168577921</c:v>
                </c:pt>
                <c:pt idx="16">
                  <c:v>0.74869891487777096</c:v>
                </c:pt>
                <c:pt idx="17">
                  <c:v>0.74869891487777096</c:v>
                </c:pt>
                <c:pt idx="18">
                  <c:v>0.71314206982292838</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0.0%</c:formatCode>
                <c:ptCount val="19"/>
                <c:pt idx="0">
                  <c:v>0.01</c:v>
                </c:pt>
                <c:pt idx="1">
                  <c:v>0.01</c:v>
                </c:pt>
                <c:pt idx="2">
                  <c:v>0.01</c:v>
                </c:pt>
                <c:pt idx="3" formatCode="0%">
                  <c:v>0.01</c:v>
                </c:pt>
                <c:pt idx="4">
                  <c:v>0.01</c:v>
                </c:pt>
                <c:pt idx="5">
                  <c:v>0.01</c:v>
                </c:pt>
                <c:pt idx="6">
                  <c:v>0.01</c:v>
                </c:pt>
                <c:pt idx="7">
                  <c:v>0.01</c:v>
                </c:pt>
                <c:pt idx="8">
                  <c:v>0.01</c:v>
                </c:pt>
                <c:pt idx="10">
                  <c:v>0.01</c:v>
                </c:pt>
                <c:pt idx="11">
                  <c:v>0.01</c:v>
                </c:pt>
                <c:pt idx="12">
                  <c:v>0.01</c:v>
                </c:pt>
                <c:pt idx="13" formatCode="0%">
                  <c:v>0.01</c:v>
                </c:pt>
                <c:pt idx="14">
                  <c:v>0.01</c:v>
                </c:pt>
                <c:pt idx="15">
                  <c:v>0.01</c:v>
                </c:pt>
                <c:pt idx="16">
                  <c:v>0.01</c:v>
                </c:pt>
                <c:pt idx="17">
                  <c:v>0.01</c:v>
                </c:pt>
                <c:pt idx="18">
                  <c:v>0.01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5.0000000000000001E-3</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c:v>5.0000000000000001E-3</c:v>
                </c:pt>
                <c:pt idx="11">
                  <c:v>5.0000000000000001E-3</c:v>
                </c:pt>
                <c:pt idx="12">
                  <c:v>5.0000000000000001E-3</c:v>
                </c:pt>
                <c:pt idx="13">
                  <c:v>5.0000000000000001E-3</c:v>
                </c:pt>
                <c:pt idx="14">
                  <c:v>0.01</c:v>
                </c:pt>
                <c:pt idx="15">
                  <c:v>0.01</c:v>
                </c:pt>
                <c:pt idx="16">
                  <c:v>1.4999999999999999E-2</c:v>
                </c:pt>
                <c:pt idx="17">
                  <c:v>0.02</c:v>
                </c:pt>
                <c:pt idx="18">
                  <c:v>0.02</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0.30909473139377541</c:v>
                </c:pt>
                <c:pt idx="1">
                  <c:v>0.30909473139377541</c:v>
                </c:pt>
                <c:pt idx="2">
                  <c:v>0.31535663956492177</c:v>
                </c:pt>
                <c:pt idx="3">
                  <c:v>0.30898214998733542</c:v>
                </c:pt>
                <c:pt idx="4">
                  <c:v>0.29114775344395882</c:v>
                </c:pt>
                <c:pt idx="5">
                  <c:v>0.22696118187983172</c:v>
                </c:pt>
                <c:pt idx="6">
                  <c:v>0.11175443664934137</c:v>
                </c:pt>
                <c:pt idx="7">
                  <c:v>0.11175443664934137</c:v>
                </c:pt>
                <c:pt idx="8">
                  <c:v>0.10944862169820213</c:v>
                </c:pt>
                <c:pt idx="10" formatCode="0%">
                  <c:v>0.30909473139377541</c:v>
                </c:pt>
                <c:pt idx="11" formatCode="0%">
                  <c:v>0.30909473139377541</c:v>
                </c:pt>
                <c:pt idx="12" formatCode="0%">
                  <c:v>0.31535663956492177</c:v>
                </c:pt>
                <c:pt idx="13" formatCode="0%">
                  <c:v>0.30898214998733542</c:v>
                </c:pt>
                <c:pt idx="14">
                  <c:v>0.35379834748317296</c:v>
                </c:pt>
                <c:pt idx="15">
                  <c:v>0.33007646831422077</c:v>
                </c:pt>
                <c:pt idx="16">
                  <c:v>0.22630108512222902</c:v>
                </c:pt>
                <c:pt idx="17">
                  <c:v>0.22130108512222901</c:v>
                </c:pt>
                <c:pt idx="18">
                  <c:v>0.25685793017707159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a:solidFill>
                <a:schemeClr val="accent1"/>
              </a:solidFill>
              <a:round/>
            </a:ln>
            <a:effectLst/>
          </c:spPr>
          <c:marker>
            <c:symbol val="none"/>
          </c:marker>
          <c:val>
            <c:numRef>
              <c:f>PTRA!$N$219:$AU$219</c:f>
              <c:numCache>
                <c:formatCode>0.00</c:formatCode>
                <c:ptCount val="34"/>
                <c:pt idx="0">
                  <c:v>81.1386031348502</c:v>
                </c:pt>
                <c:pt idx="1">
                  <c:v>82.877544068846106</c:v>
                </c:pt>
                <c:pt idx="2">
                  <c:v>84.616485002842012</c:v>
                </c:pt>
                <c:pt idx="3">
                  <c:v>78.308349507973659</c:v>
                </c:pt>
                <c:pt idx="4">
                  <c:v>83.011371976970224</c:v>
                </c:pt>
                <c:pt idx="5">
                  <c:v>83.345339439927955</c:v>
                </c:pt>
                <c:pt idx="6">
                  <c:v>83.679306902885685</c:v>
                </c:pt>
                <c:pt idx="7">
                  <c:v>83.679306902885685</c:v>
                </c:pt>
                <c:pt idx="8">
                  <c:v>83.679306902885685</c:v>
                </c:pt>
                <c:pt idx="9">
                  <c:v>84.013274365843415</c:v>
                </c:pt>
                <c:pt idx="10">
                  <c:v>84.347241828801145</c:v>
                </c:pt>
                <c:pt idx="11">
                  <c:v>84.681209291758876</c:v>
                </c:pt>
                <c:pt idx="12">
                  <c:v>85.015176754716606</c:v>
                </c:pt>
                <c:pt idx="13">
                  <c:v>85.349144217674336</c:v>
                </c:pt>
                <c:pt idx="14">
                  <c:v>85.683111680632067</c:v>
                </c:pt>
                <c:pt idx="15">
                  <c:v>86.017079143589797</c:v>
                </c:pt>
                <c:pt idx="16">
                  <c:v>87.448677199003043</c:v>
                </c:pt>
                <c:pt idx="17">
                  <c:v>88.88027525441629</c:v>
                </c:pt>
                <c:pt idx="18">
                  <c:v>88.88027525441629</c:v>
                </c:pt>
                <c:pt idx="19">
                  <c:v>88.88027525441629</c:v>
                </c:pt>
                <c:pt idx="20">
                  <c:v>90.311873309829537</c:v>
                </c:pt>
                <c:pt idx="21">
                  <c:v>91.743471365242783</c:v>
                </c:pt>
                <c:pt idx="22">
                  <c:v>93.17506942065603</c:v>
                </c:pt>
                <c:pt idx="23">
                  <c:v>94.606667476069276</c:v>
                </c:pt>
                <c:pt idx="24">
                  <c:v>96.038265531482523</c:v>
                </c:pt>
                <c:pt idx="25">
                  <c:v>97.469863586895769</c:v>
                </c:pt>
                <c:pt idx="26">
                  <c:v>97.469863586895769</c:v>
                </c:pt>
                <c:pt idx="27">
                  <c:v>98.901461642309016</c:v>
                </c:pt>
                <c:pt idx="28">
                  <c:v>100.33305969772233</c:v>
                </c:pt>
                <c:pt idx="29">
                  <c:v>100.33305969772233</c:v>
                </c:pt>
                <c:pt idx="30">
                  <c:v>114.02004021832019</c:v>
                </c:pt>
                <c:pt idx="31">
                  <c:v>127.70702073891803</c:v>
                </c:pt>
                <c:pt idx="32">
                  <c:v>142.8009038136552</c:v>
                </c:pt>
                <c:pt idx="33">
                  <c:v>141.71981463375749</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a:solidFill>
                <a:schemeClr val="accent2"/>
              </a:solidFill>
              <a:round/>
            </a:ln>
            <a:effectLst/>
          </c:spPr>
          <c:marker>
            <c:symbol val="none"/>
          </c:marker>
          <c:val>
            <c:numRef>
              <c:f>PTRA!$N$220:$AU$220</c:f>
              <c:numCache>
                <c:formatCode>0.00</c:formatCode>
                <c:ptCount val="34"/>
                <c:pt idx="0">
                  <c:v>17.754191802068</c:v>
                </c:pt>
                <c:pt idx="1">
                  <c:v>17.867597432585967</c:v>
                </c:pt>
                <c:pt idx="2">
                  <c:v>17.98100306310393</c:v>
                </c:pt>
                <c:pt idx="3">
                  <c:v>16.640524270444406</c:v>
                </c:pt>
                <c:pt idx="4">
                  <c:v>17.639916545106175</c:v>
                </c:pt>
                <c:pt idx="5">
                  <c:v>17.710884630984694</c:v>
                </c:pt>
                <c:pt idx="6">
                  <c:v>17.781852716863213</c:v>
                </c:pt>
                <c:pt idx="7">
                  <c:v>17.781852716863213</c:v>
                </c:pt>
                <c:pt idx="8">
                  <c:v>17.781852716863213</c:v>
                </c:pt>
                <c:pt idx="9">
                  <c:v>17.852820802741732</c:v>
                </c:pt>
                <c:pt idx="10">
                  <c:v>17.923788888620251</c:v>
                </c:pt>
                <c:pt idx="11">
                  <c:v>17.99475697449877</c:v>
                </c:pt>
                <c:pt idx="12">
                  <c:v>18.065725060377289</c:v>
                </c:pt>
                <c:pt idx="13">
                  <c:v>18.136693146255809</c:v>
                </c:pt>
                <c:pt idx="14">
                  <c:v>18.207661232134328</c:v>
                </c:pt>
                <c:pt idx="15">
                  <c:v>18.278629318012836</c:v>
                </c:pt>
                <c:pt idx="16">
                  <c:v>18.582843904788152</c:v>
                </c:pt>
                <c:pt idx="17">
                  <c:v>18.887058491563469</c:v>
                </c:pt>
                <c:pt idx="18">
                  <c:v>18.887058491563469</c:v>
                </c:pt>
                <c:pt idx="19">
                  <c:v>18.887058491563469</c:v>
                </c:pt>
                <c:pt idx="20">
                  <c:v>19.191273078338785</c:v>
                </c:pt>
                <c:pt idx="21">
                  <c:v>19.495487665114101</c:v>
                </c:pt>
                <c:pt idx="22">
                  <c:v>19.799702251889418</c:v>
                </c:pt>
                <c:pt idx="23">
                  <c:v>20.103916838664734</c:v>
                </c:pt>
                <c:pt idx="24">
                  <c:v>20.40813142544005</c:v>
                </c:pt>
                <c:pt idx="25">
                  <c:v>20.712346012215367</c:v>
                </c:pt>
                <c:pt idx="26">
                  <c:v>20.712346012215367</c:v>
                </c:pt>
                <c:pt idx="27">
                  <c:v>21.016560598990683</c:v>
                </c:pt>
                <c:pt idx="28">
                  <c:v>21.320775185765999</c:v>
                </c:pt>
                <c:pt idx="29">
                  <c:v>21.320775185765999</c:v>
                </c:pt>
                <c:pt idx="30">
                  <c:v>24.229258546393041</c:v>
                </c:pt>
                <c:pt idx="31">
                  <c:v>27.137741907020086</c:v>
                </c:pt>
                <c:pt idx="32">
                  <c:v>30.345192060401736</c:v>
                </c:pt>
                <c:pt idx="33">
                  <c:v>30.115460609673473</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a:solidFill>
                <a:schemeClr val="accent3"/>
              </a:solidFill>
              <a:round/>
            </a:ln>
            <a:effectLst/>
          </c:spPr>
          <c:marker>
            <c:symbol val="none"/>
          </c:marker>
          <c:val>
            <c:numRef>
              <c:f>PTRA!$N$221:$AU$221</c:f>
              <c:numCache>
                <c:formatCode>0.00</c:formatCode>
                <c:ptCount val="34"/>
                <c:pt idx="0">
                  <c:v>5.9227912022632498</c:v>
                </c:pt>
                <c:pt idx="1">
                  <c:v>4.5479546949349121</c:v>
                </c:pt>
                <c:pt idx="2">
                  <c:v>3.1731181876065753</c:v>
                </c:pt>
                <c:pt idx="3">
                  <c:v>2.9365631065490123</c:v>
                </c:pt>
                <c:pt idx="4">
                  <c:v>3.1129264491363839</c:v>
                </c:pt>
                <c:pt idx="5">
                  <c:v>3.1254502289972987</c:v>
                </c:pt>
                <c:pt idx="6">
                  <c:v>3.1379740088582135</c:v>
                </c:pt>
                <c:pt idx="7">
                  <c:v>3.1379740088582135</c:v>
                </c:pt>
                <c:pt idx="8">
                  <c:v>3.1379740088582135</c:v>
                </c:pt>
                <c:pt idx="9">
                  <c:v>3.1504977887191283</c:v>
                </c:pt>
                <c:pt idx="10">
                  <c:v>3.1630215685800431</c:v>
                </c:pt>
                <c:pt idx="11">
                  <c:v>3.1755453484409579</c:v>
                </c:pt>
                <c:pt idx="12">
                  <c:v>3.1880691283018727</c:v>
                </c:pt>
                <c:pt idx="13">
                  <c:v>3.2005929081627875</c:v>
                </c:pt>
                <c:pt idx="14">
                  <c:v>3.2131166880237023</c:v>
                </c:pt>
                <c:pt idx="15">
                  <c:v>3.2256404678846176</c:v>
                </c:pt>
                <c:pt idx="16">
                  <c:v>3.2793253949626147</c:v>
                </c:pt>
                <c:pt idx="17">
                  <c:v>3.3330103220406118</c:v>
                </c:pt>
                <c:pt idx="18">
                  <c:v>3.3330103220406118</c:v>
                </c:pt>
                <c:pt idx="19">
                  <c:v>3.3330103220406118</c:v>
                </c:pt>
                <c:pt idx="20">
                  <c:v>3.3866952491186089</c:v>
                </c:pt>
                <c:pt idx="21">
                  <c:v>3.440380176196606</c:v>
                </c:pt>
                <c:pt idx="22">
                  <c:v>3.4940651032746031</c:v>
                </c:pt>
                <c:pt idx="23">
                  <c:v>3.5477500303526002</c:v>
                </c:pt>
                <c:pt idx="24">
                  <c:v>3.6014349574305973</c:v>
                </c:pt>
                <c:pt idx="25">
                  <c:v>3.6551198845085944</c:v>
                </c:pt>
                <c:pt idx="26">
                  <c:v>3.6551198845085944</c:v>
                </c:pt>
                <c:pt idx="27">
                  <c:v>3.7088048115865915</c:v>
                </c:pt>
                <c:pt idx="28">
                  <c:v>3.7624897386645877</c:v>
                </c:pt>
                <c:pt idx="29">
                  <c:v>3.7624897386645877</c:v>
                </c:pt>
                <c:pt idx="30">
                  <c:v>4.2757515081870068</c:v>
                </c:pt>
                <c:pt idx="31">
                  <c:v>4.7890132777094268</c:v>
                </c:pt>
                <c:pt idx="32">
                  <c:v>5.3550338930120702</c:v>
                </c:pt>
                <c:pt idx="33">
                  <c:v>5.3144930487659066</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a:solidFill>
                <a:schemeClr val="accent4"/>
              </a:solidFill>
              <a:round/>
            </a:ln>
            <a:effectLst/>
          </c:spPr>
          <c:marker>
            <c:symbol val="none"/>
          </c:marker>
          <c:val>
            <c:numRef>
              <c:f>PTRA!$N$222:$AU$222</c:f>
              <c:numCache>
                <c:formatCode>0.00</c:formatCode>
                <c:ptCount val="34"/>
                <c:pt idx="0">
                  <c:v>0.64296697178877804</c:v>
                </c:pt>
                <c:pt idx="1">
                  <c:v>0.64929079481231411</c:v>
                </c:pt>
                <c:pt idx="2">
                  <c:v>0.65561461783585018</c:v>
                </c:pt>
                <c:pt idx="3">
                  <c:v>0.6666265611015576</c:v>
                </c:pt>
                <c:pt idx="4">
                  <c:v>0.67369816503155333</c:v>
                </c:pt>
                <c:pt idx="5">
                  <c:v>0.68105375839995996</c:v>
                </c:pt>
                <c:pt idx="6">
                  <c:v>0.6884093517683666</c:v>
                </c:pt>
                <c:pt idx="7">
                  <c:v>0.6884093517683666</c:v>
                </c:pt>
                <c:pt idx="8">
                  <c:v>0.6884093517683666</c:v>
                </c:pt>
                <c:pt idx="9">
                  <c:v>0.69576494513677323</c:v>
                </c:pt>
                <c:pt idx="10">
                  <c:v>0.70312053850517986</c:v>
                </c:pt>
                <c:pt idx="11">
                  <c:v>0.71047613187358649</c:v>
                </c:pt>
                <c:pt idx="12">
                  <c:v>0.71783172524199312</c:v>
                </c:pt>
                <c:pt idx="13">
                  <c:v>0.72518731861039976</c:v>
                </c:pt>
                <c:pt idx="14">
                  <c:v>0.73254291197880639</c:v>
                </c:pt>
                <c:pt idx="15">
                  <c:v>0.73989850534721346</c:v>
                </c:pt>
                <c:pt idx="16">
                  <c:v>0.74377591664829645</c:v>
                </c:pt>
                <c:pt idx="17">
                  <c:v>0.74765332794937933</c:v>
                </c:pt>
                <c:pt idx="18">
                  <c:v>0.74765332794937933</c:v>
                </c:pt>
                <c:pt idx="19">
                  <c:v>0.74765332794937933</c:v>
                </c:pt>
                <c:pt idx="20">
                  <c:v>0.75153073925046221</c:v>
                </c:pt>
                <c:pt idx="21">
                  <c:v>0.75540815055154509</c:v>
                </c:pt>
                <c:pt idx="22">
                  <c:v>0.75928556185262797</c:v>
                </c:pt>
                <c:pt idx="23">
                  <c:v>0.76316297315371084</c:v>
                </c:pt>
                <c:pt idx="24">
                  <c:v>0.76704038445479372</c:v>
                </c:pt>
                <c:pt idx="25">
                  <c:v>0.7709177957558766</c:v>
                </c:pt>
                <c:pt idx="26">
                  <c:v>0.7709177957558766</c:v>
                </c:pt>
                <c:pt idx="27">
                  <c:v>0.77479520705695948</c:v>
                </c:pt>
                <c:pt idx="28">
                  <c:v>0.7786726183580428</c:v>
                </c:pt>
                <c:pt idx="29">
                  <c:v>0.7786726183580428</c:v>
                </c:pt>
                <c:pt idx="30">
                  <c:v>0.77371580455156641</c:v>
                </c:pt>
                <c:pt idx="31">
                  <c:v>0.76875899074509002</c:v>
                </c:pt>
                <c:pt idx="32">
                  <c:v>0.7614728390026565</c:v>
                </c:pt>
                <c:pt idx="33">
                  <c:v>0.77216368414084546</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a:solidFill>
                <a:schemeClr val="accent5"/>
              </a:solidFill>
              <a:round/>
            </a:ln>
            <a:effectLst/>
          </c:spPr>
          <c:marker>
            <c:symbol val="none"/>
          </c:marker>
          <c:val>
            <c:numRef>
              <c:f>PTRA!$N$223:$AU$223</c:f>
              <c:numCache>
                <c:formatCode>0.00</c:formatCode>
                <c:ptCount val="34"/>
                <c:pt idx="0" formatCode="0.000">
                  <c:v>7.2130505455454896</c:v>
                </c:pt>
                <c:pt idx="1">
                  <c:v>7.2845555245765379</c:v>
                </c:pt>
                <c:pt idx="2">
                  <c:v>7.3560605036075861</c:v>
                </c:pt>
                <c:pt idx="3">
                  <c:v>7.4796155902715018</c:v>
                </c:pt>
                <c:pt idx="4">
                  <c:v>7.5589596819854874</c:v>
                </c:pt>
                <c:pt idx="5">
                  <c:v>7.6118534207071953</c:v>
                </c:pt>
                <c:pt idx="6">
                  <c:v>7.6647471594289032</c:v>
                </c:pt>
                <c:pt idx="7">
                  <c:v>7.6647471594289032</c:v>
                </c:pt>
                <c:pt idx="8">
                  <c:v>7.6647471594289032</c:v>
                </c:pt>
                <c:pt idx="9">
                  <c:v>7.7176408981506111</c:v>
                </c:pt>
                <c:pt idx="10">
                  <c:v>7.7705346368723189</c:v>
                </c:pt>
                <c:pt idx="11">
                  <c:v>7.8234283755940268</c:v>
                </c:pt>
                <c:pt idx="12">
                  <c:v>7.8763221143157347</c:v>
                </c:pt>
                <c:pt idx="13">
                  <c:v>7.9292158530374426</c:v>
                </c:pt>
                <c:pt idx="14">
                  <c:v>7.9821095917591505</c:v>
                </c:pt>
                <c:pt idx="15">
                  <c:v>8.0350033304808619</c:v>
                </c:pt>
                <c:pt idx="16">
                  <c:v>8.0553501171241315</c:v>
                </c:pt>
                <c:pt idx="17">
                  <c:v>8.0756969037674011</c:v>
                </c:pt>
                <c:pt idx="18">
                  <c:v>8.0756969037674011</c:v>
                </c:pt>
                <c:pt idx="19">
                  <c:v>8.0756969037674011</c:v>
                </c:pt>
                <c:pt idx="20">
                  <c:v>8.0960436904106707</c:v>
                </c:pt>
                <c:pt idx="21">
                  <c:v>8.1163904770539403</c:v>
                </c:pt>
                <c:pt idx="22">
                  <c:v>8.13673726369721</c:v>
                </c:pt>
                <c:pt idx="23">
                  <c:v>8.1570840503404796</c:v>
                </c:pt>
                <c:pt idx="24">
                  <c:v>8.1774308369837492</c:v>
                </c:pt>
                <c:pt idx="25">
                  <c:v>8.1977776236270188</c:v>
                </c:pt>
                <c:pt idx="26">
                  <c:v>8.1977776236270188</c:v>
                </c:pt>
                <c:pt idx="27">
                  <c:v>8.2181244102702884</c:v>
                </c:pt>
                <c:pt idx="28">
                  <c:v>8.2384711969135651</c:v>
                </c:pt>
                <c:pt idx="29">
                  <c:v>8.2384711969135651</c:v>
                </c:pt>
                <c:pt idx="30">
                  <c:v>8.1860273754533601</c:v>
                </c:pt>
                <c:pt idx="31">
                  <c:v>8.1335835539931569</c:v>
                </c:pt>
                <c:pt idx="32">
                  <c:v>8.0564949934721035</c:v>
                </c:pt>
                <c:pt idx="33">
                  <c:v>8.1696057124894956</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a:solidFill>
                <a:schemeClr val="accent6"/>
              </a:solidFill>
              <a:round/>
            </a:ln>
            <a:effectLst/>
          </c:spPr>
          <c:marker>
            <c:symbol val="none"/>
          </c:marker>
          <c:val>
            <c:numRef>
              <c:f>PTRA!$N$224:$AU$224</c:f>
              <c:numCache>
                <c:formatCode>0.00</c:formatCode>
                <c:ptCount val="34"/>
                <c:pt idx="0">
                  <c:v>7.2799982901224303E-2</c:v>
                </c:pt>
                <c:pt idx="1">
                  <c:v>9.2054765383727061E-2</c:v>
                </c:pt>
                <c:pt idx="2">
                  <c:v>0.1113095478662298</c:v>
                </c:pt>
                <c:pt idx="3">
                  <c:v>0.11091277099762989</c:v>
                </c:pt>
                <c:pt idx="4">
                  <c:v>0.11324882528963676</c:v>
                </c:pt>
                <c:pt idx="5">
                  <c:v>0.11271362139902404</c:v>
                </c:pt>
                <c:pt idx="6">
                  <c:v>0.11217841750841132</c:v>
                </c:pt>
                <c:pt idx="7">
                  <c:v>0.11217841750841132</c:v>
                </c:pt>
                <c:pt idx="8">
                  <c:v>0.11217841750841132</c:v>
                </c:pt>
                <c:pt idx="9">
                  <c:v>0.1116432136177986</c:v>
                </c:pt>
                <c:pt idx="10">
                  <c:v>0.11110800972718587</c:v>
                </c:pt>
                <c:pt idx="11">
                  <c:v>0.11057280583657315</c:v>
                </c:pt>
                <c:pt idx="12">
                  <c:v>0.11003760194596043</c:v>
                </c:pt>
                <c:pt idx="13">
                  <c:v>0.10950239805534771</c:v>
                </c:pt>
                <c:pt idx="14">
                  <c:v>0.10896719416473499</c:v>
                </c:pt>
                <c:pt idx="15">
                  <c:v>0.10843199027412222</c:v>
                </c:pt>
                <c:pt idx="16">
                  <c:v>0.10928770473741774</c:v>
                </c:pt>
                <c:pt idx="17">
                  <c:v>0.11014341920071326</c:v>
                </c:pt>
                <c:pt idx="18">
                  <c:v>0.11014341920071326</c:v>
                </c:pt>
                <c:pt idx="19">
                  <c:v>0.11014341920071326</c:v>
                </c:pt>
                <c:pt idx="20">
                  <c:v>0.11099913366400878</c:v>
                </c:pt>
                <c:pt idx="21">
                  <c:v>0.1118548481273043</c:v>
                </c:pt>
                <c:pt idx="22">
                  <c:v>0.11271056259059982</c:v>
                </c:pt>
                <c:pt idx="23">
                  <c:v>0.11356627705389534</c:v>
                </c:pt>
                <c:pt idx="24">
                  <c:v>0.11442199151719086</c:v>
                </c:pt>
                <c:pt idx="25">
                  <c:v>0.11527770598048638</c:v>
                </c:pt>
                <c:pt idx="26">
                  <c:v>0.11527770598048638</c:v>
                </c:pt>
                <c:pt idx="27">
                  <c:v>0.1161334204437819</c:v>
                </c:pt>
                <c:pt idx="28">
                  <c:v>0.11698913490707746</c:v>
                </c:pt>
                <c:pt idx="29">
                  <c:v>0.11698913490707746</c:v>
                </c:pt>
                <c:pt idx="30">
                  <c:v>0.12023348355867683</c:v>
                </c:pt>
                <c:pt idx="31">
                  <c:v>0.12347783221027619</c:v>
                </c:pt>
                <c:pt idx="32">
                  <c:v>0.12714609186757148</c:v>
                </c:pt>
                <c:pt idx="33">
                  <c:v>0.12864270203435063</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a:solidFill>
                <a:schemeClr val="accent1">
                  <a:lumMod val="60000"/>
                </a:schemeClr>
              </a:solidFill>
              <a:round/>
            </a:ln>
            <a:effectLst/>
          </c:spPr>
          <c:marker>
            <c:symbol val="none"/>
          </c:marker>
          <c:val>
            <c:numRef>
              <c:f>PTRA!$N$225:$AU$225</c:f>
              <c:numCache>
                <c:formatCode>0.00</c:formatCode>
                <c:ptCount val="34"/>
                <c:pt idx="0">
                  <c:v>8.7048317578401608</c:v>
                </c:pt>
                <c:pt idx="1">
                  <c:v>8.7898700606728966</c:v>
                </c:pt>
                <c:pt idx="2">
                  <c:v>8.8749083635056305</c:v>
                </c:pt>
                <c:pt idx="3">
                  <c:v>9.0239745751619225</c:v>
                </c:pt>
                <c:pt idx="4">
                  <c:v>9.1197012950280598</c:v>
                </c:pt>
                <c:pt idx="5">
                  <c:v>9.6341867103428278</c:v>
                </c:pt>
                <c:pt idx="6">
                  <c:v>10.148672125657596</c:v>
                </c:pt>
                <c:pt idx="7">
                  <c:v>10.148672125657596</c:v>
                </c:pt>
                <c:pt idx="8">
                  <c:v>10.148672125657596</c:v>
                </c:pt>
                <c:pt idx="9">
                  <c:v>10.663157540972364</c:v>
                </c:pt>
                <c:pt idx="10">
                  <c:v>11.177642956287132</c:v>
                </c:pt>
                <c:pt idx="11">
                  <c:v>11.6921283716019</c:v>
                </c:pt>
                <c:pt idx="12">
                  <c:v>12.206613786916668</c:v>
                </c:pt>
                <c:pt idx="13">
                  <c:v>12.721099202231436</c:v>
                </c:pt>
                <c:pt idx="14">
                  <c:v>13.235584617546204</c:v>
                </c:pt>
                <c:pt idx="15">
                  <c:v>13.75007003286097</c:v>
                </c:pt>
                <c:pt idx="16">
                  <c:v>14.126771775881112</c:v>
                </c:pt>
                <c:pt idx="17">
                  <c:v>14.503473518901254</c:v>
                </c:pt>
                <c:pt idx="18">
                  <c:v>14.503473518901254</c:v>
                </c:pt>
                <c:pt idx="19">
                  <c:v>14.503473518901254</c:v>
                </c:pt>
                <c:pt idx="20">
                  <c:v>14.880175261921396</c:v>
                </c:pt>
                <c:pt idx="21">
                  <c:v>15.256877004941538</c:v>
                </c:pt>
                <c:pt idx="22">
                  <c:v>15.63357874796168</c:v>
                </c:pt>
                <c:pt idx="23">
                  <c:v>16.01028049098182</c:v>
                </c:pt>
                <c:pt idx="24">
                  <c:v>16.386982234001962</c:v>
                </c:pt>
                <c:pt idx="25">
                  <c:v>16.763683977022104</c:v>
                </c:pt>
                <c:pt idx="26">
                  <c:v>16.763683977022104</c:v>
                </c:pt>
                <c:pt idx="27">
                  <c:v>17.140385720042246</c:v>
                </c:pt>
                <c:pt idx="28">
                  <c:v>17.517087463062389</c:v>
                </c:pt>
                <c:pt idx="29">
                  <c:v>17.517087463062389</c:v>
                </c:pt>
                <c:pt idx="30">
                  <c:v>17.405578545271936</c:v>
                </c:pt>
                <c:pt idx="31">
                  <c:v>17.294069627481488</c:v>
                </c:pt>
                <c:pt idx="32">
                  <c:v>17.130159719347713</c:v>
                </c:pt>
                <c:pt idx="33">
                  <c:v>17.370661908489286</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a:solidFill>
                <a:schemeClr val="accent2">
                  <a:lumMod val="60000"/>
                </a:schemeClr>
              </a:solidFill>
              <a:round/>
            </a:ln>
            <a:effectLst/>
          </c:spPr>
          <c:marker>
            <c:symbol val="none"/>
          </c:marker>
          <c:val>
            <c:numRef>
              <c:f>PTRA!$N$226:$AU$226</c:f>
              <c:numCache>
                <c:formatCode>0.00</c:formatCode>
                <c:ptCount val="34"/>
                <c:pt idx="0">
                  <c:v>0.64854136839212595</c:v>
                </c:pt>
                <c:pt idx="1">
                  <c:v>0.67405613843991108</c:v>
                </c:pt>
                <c:pt idx="2">
                  <c:v>0.6995709084876961</c:v>
                </c:pt>
                <c:pt idx="3">
                  <c:v>0.64248252977129328</c:v>
                </c:pt>
                <c:pt idx="4">
                  <c:v>0.68522387738371804</c:v>
                </c:pt>
                <c:pt idx="5">
                  <c:v>0.77236302620910391</c:v>
                </c:pt>
                <c:pt idx="6">
                  <c:v>0.85950217503448978</c:v>
                </c:pt>
                <c:pt idx="7">
                  <c:v>0.85950217503448978</c:v>
                </c:pt>
                <c:pt idx="8">
                  <c:v>0.85950217503448978</c:v>
                </c:pt>
                <c:pt idx="9">
                  <c:v>0.94664132385987565</c:v>
                </c:pt>
                <c:pt idx="10">
                  <c:v>1.0337804726852615</c:v>
                </c:pt>
                <c:pt idx="11">
                  <c:v>1.1209196215106474</c:v>
                </c:pt>
                <c:pt idx="12">
                  <c:v>1.2080587703360333</c:v>
                </c:pt>
                <c:pt idx="13">
                  <c:v>1.2951979191614191</c:v>
                </c:pt>
                <c:pt idx="14">
                  <c:v>1.382337067986805</c:v>
                </c:pt>
                <c:pt idx="15">
                  <c:v>1.4694762168121909</c:v>
                </c:pt>
                <c:pt idx="16">
                  <c:v>1.5712807158053483</c:v>
                </c:pt>
                <c:pt idx="17">
                  <c:v>1.6730852147985058</c:v>
                </c:pt>
                <c:pt idx="18">
                  <c:v>1.6730852147985058</c:v>
                </c:pt>
                <c:pt idx="19">
                  <c:v>1.6730852147985058</c:v>
                </c:pt>
                <c:pt idx="20">
                  <c:v>1.7748897137916633</c:v>
                </c:pt>
                <c:pt idx="21">
                  <c:v>1.8766942127848207</c:v>
                </c:pt>
                <c:pt idx="22">
                  <c:v>1.9784987117779782</c:v>
                </c:pt>
                <c:pt idx="23">
                  <c:v>2.0803032107711359</c:v>
                </c:pt>
                <c:pt idx="24">
                  <c:v>2.1821077097642934</c:v>
                </c:pt>
                <c:pt idx="25">
                  <c:v>2.2839122087574508</c:v>
                </c:pt>
                <c:pt idx="26">
                  <c:v>2.2839122087574508</c:v>
                </c:pt>
                <c:pt idx="27">
                  <c:v>2.3857167077506083</c:v>
                </c:pt>
                <c:pt idx="28">
                  <c:v>2.4875212067437662</c:v>
                </c:pt>
                <c:pt idx="29">
                  <c:v>2.4875212067437662</c:v>
                </c:pt>
                <c:pt idx="30">
                  <c:v>3.3725538357024973</c:v>
                </c:pt>
                <c:pt idx="31">
                  <c:v>4.2575864646612285</c:v>
                </c:pt>
                <c:pt idx="32">
                  <c:v>5.5494308972229671</c:v>
                </c:pt>
                <c:pt idx="33">
                  <c:v>6.5688265757783757</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0.52503386937918861</c:v>
                </c:pt>
                <c:pt idx="1">
                  <c:v>0.52920972009328504</c:v>
                </c:pt>
                <c:pt idx="2">
                  <c:v>0.50594414611115535</c:v>
                </c:pt>
                <c:pt idx="3">
                  <c:v>0.51775978483244489</c:v>
                </c:pt>
                <c:pt idx="4">
                  <c:v>0.50269167704197382</c:v>
                </c:pt>
                <c:pt idx="5">
                  <c:v>0.52677342122513338</c:v>
                </c:pt>
                <c:pt idx="6">
                  <c:v>0.52677342122513338</c:v>
                </c:pt>
                <c:pt idx="7">
                  <c:v>0.52677342122513338</c:v>
                </c:pt>
                <c:pt idx="8">
                  <c:v>0.60661228897421271</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0.47496613062081139</c:v>
                </c:pt>
                <c:pt idx="1">
                  <c:v>0.47079027990671496</c:v>
                </c:pt>
                <c:pt idx="2">
                  <c:v>0.49405585388884465</c:v>
                </c:pt>
                <c:pt idx="3">
                  <c:v>0.48224021516755511</c:v>
                </c:pt>
                <c:pt idx="4">
                  <c:v>0.49730832295802618</c:v>
                </c:pt>
                <c:pt idx="5">
                  <c:v>0.47322657877486662</c:v>
                </c:pt>
                <c:pt idx="6">
                  <c:v>0.47322657877486662</c:v>
                </c:pt>
                <c:pt idx="7">
                  <c:v>0.47322657877486662</c:v>
                </c:pt>
                <c:pt idx="8">
                  <c:v>0.39338771102578729</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83.011371976970224</c:v>
                </c:pt>
                <c:pt idx="4">
                  <c:v>99.240263719345407</c:v>
                </c:pt>
                <c:pt idx="5">
                  <c:v>128.1316631327866</c:v>
                </c:pt>
                <c:pt idx="6">
                  <c:v>164.82101669067623</c:v>
                </c:pt>
                <c:pt idx="7">
                  <c:v>184.3346547330309</c:v>
                </c:pt>
                <c:pt idx="8">
                  <c:v>200.54915044124479</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83.011371976970224</c:v>
                </c:pt>
                <c:pt idx="4">
                  <c:v>86.017079143589797</c:v>
                </c:pt>
                <c:pt idx="5">
                  <c:v>100.33305969772233</c:v>
                </c:pt>
                <c:pt idx="6">
                  <c:v>127.70702073891803</c:v>
                </c:pt>
                <c:pt idx="7">
                  <c:v>142.8009038136552</c:v>
                </c:pt>
                <c:pt idx="8">
                  <c:v>141.71981463375749</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306916</xdr:colOff>
      <xdr:row>56</xdr:row>
      <xdr:rowOff>137584</xdr:rowOff>
    </xdr:from>
    <xdr:to>
      <xdr:col>20</xdr:col>
      <xdr:colOff>148167</xdr:colOff>
      <xdr:row>73</xdr:row>
      <xdr:rowOff>52917</xdr:rowOff>
    </xdr:to>
    <xdr:graphicFrame macro="">
      <xdr:nvGraphicFramePr>
        <xdr:cNvPr id="6" name="Chart 5">
          <a:extLst>
            <a:ext uri="{FF2B5EF4-FFF2-40B4-BE49-F238E27FC236}">
              <a16:creationId xmlns:a16="http://schemas.microsoft.com/office/drawing/2014/main" id="{AE1D7E4C-0B54-4696-9664-21987065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253055</xdr:colOff>
      <xdr:row>135</xdr:row>
      <xdr:rowOff>150435</xdr:rowOff>
    </xdr:from>
    <xdr:to>
      <xdr:col>2</xdr:col>
      <xdr:colOff>4835638</xdr:colOff>
      <xdr:row>149</xdr:row>
      <xdr:rowOff>44601</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6759625" y="1654968"/>
          <a:ext cx="16550661" cy="8223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32</xdr:col>
      <xdr:colOff>140124</xdr:colOff>
      <xdr:row>258</xdr:row>
      <xdr:rowOff>113877</xdr:rowOff>
    </xdr:from>
    <xdr:to>
      <xdr:col>45</xdr:col>
      <xdr:colOff>402168</xdr:colOff>
      <xdr:row>275</xdr:row>
      <xdr:rowOff>136737</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52916</xdr:colOff>
      <xdr:row>237</xdr:row>
      <xdr:rowOff>0</xdr:rowOff>
    </xdr:from>
    <xdr:to>
      <xdr:col>31</xdr:col>
      <xdr:colOff>423333</xdr:colOff>
      <xdr:row>262</xdr:row>
      <xdr:rowOff>116258</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514204</xdr:colOff>
      <xdr:row>263</xdr:row>
      <xdr:rowOff>38717</xdr:rowOff>
    </xdr:from>
    <xdr:to>
      <xdr:col>32</xdr:col>
      <xdr:colOff>5946</xdr:colOff>
      <xdr:row>285</xdr:row>
      <xdr:rowOff>91395</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637812</xdr:colOff>
      <xdr:row>13</xdr:row>
      <xdr:rowOff>158205</xdr:rowOff>
    </xdr:from>
    <xdr:to>
      <xdr:col>49</xdr:col>
      <xdr:colOff>64498</xdr:colOff>
      <xdr:row>29</xdr:row>
      <xdr:rowOff>5353</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65858</xdr:colOff>
      <xdr:row>29</xdr:row>
      <xdr:rowOff>39915</xdr:rowOff>
    </xdr:from>
    <xdr:to>
      <xdr:col>50</xdr:col>
      <xdr:colOff>71664</xdr:colOff>
      <xdr:row>44</xdr:row>
      <xdr:rowOff>34472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40</xdr:col>
      <xdr:colOff>418698</xdr:colOff>
      <xdr:row>44</xdr:row>
      <xdr:rowOff>47625</xdr:rowOff>
    </xdr:from>
    <xdr:to>
      <xdr:col>52</xdr:col>
      <xdr:colOff>128867</xdr:colOff>
      <xdr:row>59</xdr:row>
      <xdr:rowOff>77355</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35</xdr:col>
      <xdr:colOff>28122</xdr:colOff>
      <xdr:row>85</xdr:row>
      <xdr:rowOff>159657</xdr:rowOff>
    </xdr:from>
    <xdr:to>
      <xdr:col>45</xdr:col>
      <xdr:colOff>197758</xdr:colOff>
      <xdr:row>100</xdr:row>
      <xdr:rowOff>181882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45</xdr:col>
      <xdr:colOff>280761</xdr:colOff>
      <xdr:row>85</xdr:row>
      <xdr:rowOff>151644</xdr:rowOff>
    </xdr:from>
    <xdr:to>
      <xdr:col>53</xdr:col>
      <xdr:colOff>462190</xdr:colOff>
      <xdr:row>100</xdr:row>
      <xdr:rowOff>173869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72664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C:\Models\SATIMGE\SATIM\DataSpreadsheets\TCH_NH3.xlsx" TargetMode="External"/><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0.820564128</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2.1376388478991801</v>
          </cell>
        </row>
        <row r="11">
          <cell r="A11" t="str">
            <v/>
          </cell>
          <cell r="D11" t="str">
            <v>IMIA</v>
          </cell>
          <cell r="J11">
            <v>0.99318058118269725</v>
          </cell>
        </row>
        <row r="12">
          <cell r="A12" t="str">
            <v/>
          </cell>
          <cell r="D12" t="str">
            <v>IMIL</v>
          </cell>
          <cell r="J12">
            <v>1.4429062223319464</v>
          </cell>
        </row>
        <row r="13">
          <cell r="A13" t="str">
            <v/>
          </cell>
          <cell r="D13" t="str">
            <v>IMIC</v>
          </cell>
          <cell r="J13">
            <v>17.35324025908308</v>
          </cell>
        </row>
        <row r="14">
          <cell r="A14" t="str">
            <v/>
          </cell>
          <cell r="D14" t="str">
            <v>IMIH</v>
          </cell>
          <cell r="J14">
            <v>7.6954998524370488</v>
          </cell>
        </row>
        <row r="15">
          <cell r="A15" t="str">
            <v/>
          </cell>
          <cell r="D15" t="str">
            <v>IMIP</v>
          </cell>
          <cell r="J15">
            <v>15.294517272248457</v>
          </cell>
        </row>
        <row r="16">
          <cell r="A16" t="str">
            <v/>
          </cell>
          <cell r="D16" t="str">
            <v>IMIF</v>
          </cell>
          <cell r="J16">
            <v>5.8889063414920679</v>
          </cell>
        </row>
        <row r="17">
          <cell r="A17" t="str">
            <v/>
          </cell>
          <cell r="D17" t="str">
            <v>IMIO</v>
          </cell>
          <cell r="J17">
            <v>28.894976807848312</v>
          </cell>
        </row>
        <row r="18">
          <cell r="A18" t="str">
            <v/>
          </cell>
          <cell r="D18" t="str">
            <v>IMIE</v>
          </cell>
          <cell r="J18">
            <v>0.18682963530638833</v>
          </cell>
        </row>
        <row r="19">
          <cell r="D19">
            <v>0</v>
          </cell>
          <cell r="J19" t="str">
            <v/>
          </cell>
        </row>
        <row r="20">
          <cell r="A20" t="str">
            <v/>
          </cell>
          <cell r="D20" t="str">
            <v>IMIS</v>
          </cell>
          <cell r="J20">
            <v>20.275122960000004</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51.488523217763458</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xml:space="preserve">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0.55647663194961794</v>
          </cell>
        </row>
        <row r="74">
          <cell r="A74" t="str">
            <v/>
          </cell>
          <cell r="D74" t="str">
            <v>ICPA</v>
          </cell>
          <cell r="J74">
            <v>0.2086787369811067</v>
          </cell>
        </row>
        <row r="75">
          <cell r="A75" t="str">
            <v/>
          </cell>
          <cell r="D75" t="str">
            <v>ICPL</v>
          </cell>
          <cell r="J75">
            <v>0.3338859791697707</v>
          </cell>
        </row>
        <row r="76">
          <cell r="A76" t="str">
            <v/>
          </cell>
          <cell r="D76" t="str">
            <v>ICPC</v>
          </cell>
          <cell r="J76">
            <v>2.7823831597480893</v>
          </cell>
        </row>
        <row r="77">
          <cell r="A77" t="str">
            <v/>
          </cell>
          <cell r="D77" t="str">
            <v>ICPH</v>
          </cell>
          <cell r="J77">
            <v>0.5008289687546561</v>
          </cell>
        </row>
        <row r="78">
          <cell r="A78" t="str">
            <v/>
          </cell>
          <cell r="D78" t="str">
            <v>ICPP</v>
          </cell>
          <cell r="J78">
            <v>7.7906728472946494</v>
          </cell>
        </row>
        <row r="79">
          <cell r="A79" t="str">
            <v/>
          </cell>
          <cell r="D79" t="str">
            <v>ICPF</v>
          </cell>
          <cell r="J79">
            <v>1.7807252222387775</v>
          </cell>
        </row>
        <row r="80">
          <cell r="A80" t="str">
            <v/>
          </cell>
          <cell r="D80" t="str">
            <v>ICPO</v>
          </cell>
          <cell r="J80">
            <v>4.4518130555969435</v>
          </cell>
        </row>
        <row r="81">
          <cell r="A81" t="str">
            <v/>
          </cell>
          <cell r="D81" t="str">
            <v>ICPE</v>
          </cell>
          <cell r="J81">
            <v>1.6916889611268384</v>
          </cell>
        </row>
        <row r="82">
          <cell r="D82" t="str">
            <v xml:space="preserve"> </v>
          </cell>
          <cell r="J82" t="str">
            <v/>
          </cell>
        </row>
        <row r="83">
          <cell r="A83" t="str">
            <v/>
          </cell>
          <cell r="D83" t="str">
            <v>ICPS</v>
          </cell>
          <cell r="J83">
            <v>27.288197120140854</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0.66789588210349726</v>
          </cell>
        </row>
        <row r="95">
          <cell r="A95" t="str">
            <v/>
          </cell>
          <cell r="D95" t="str">
            <v>INFA</v>
          </cell>
          <cell r="J95">
            <v>0</v>
          </cell>
        </row>
        <row r="96">
          <cell r="A96" t="str">
            <v/>
          </cell>
          <cell r="D96" t="str">
            <v>INFL</v>
          </cell>
          <cell r="J96">
            <v>0.20036876463104916</v>
          </cell>
        </row>
        <row r="97">
          <cell r="A97" t="str">
            <v/>
          </cell>
          <cell r="D97" t="str">
            <v>INFC</v>
          </cell>
          <cell r="J97">
            <v>0</v>
          </cell>
        </row>
        <row r="98">
          <cell r="A98" t="str">
            <v/>
          </cell>
          <cell r="D98" t="str">
            <v>INFH</v>
          </cell>
          <cell r="J98">
            <v>0.60110629389314751</v>
          </cell>
        </row>
        <row r="99">
          <cell r="A99" t="str">
            <v/>
          </cell>
          <cell r="D99" t="str">
            <v>INFP</v>
          </cell>
          <cell r="J99">
            <v>0</v>
          </cell>
        </row>
        <row r="100">
          <cell r="A100" t="str">
            <v/>
          </cell>
          <cell r="D100" t="str">
            <v>INFF</v>
          </cell>
          <cell r="J100">
            <v>0</v>
          </cell>
        </row>
        <row r="101">
          <cell r="A101" t="str">
            <v/>
          </cell>
          <cell r="D101" t="str">
            <v>INFO</v>
          </cell>
          <cell r="J101">
            <v>3.7402169397795855</v>
          </cell>
        </row>
        <row r="102">
          <cell r="A102" t="str">
            <v/>
          </cell>
          <cell r="D102" t="str">
            <v>INFE</v>
          </cell>
          <cell r="J102">
            <v>45.684078335879221</v>
          </cell>
        </row>
        <row r="103">
          <cell r="D103" t="str">
            <v xml:space="preserve">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xml:space="preserve">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1.1176071642017353</v>
          </cell>
        </row>
        <row r="133">
          <cell r="A133" t="str">
            <v/>
          </cell>
          <cell r="D133" t="str">
            <v>IFBA</v>
          </cell>
          <cell r="J133">
            <v>3.1931633262906718E-2</v>
          </cell>
        </row>
        <row r="134">
          <cell r="A134" t="str">
            <v/>
          </cell>
          <cell r="D134" t="str">
            <v>IFBL</v>
          </cell>
          <cell r="J134">
            <v>0.23948724947180039</v>
          </cell>
        </row>
        <row r="135">
          <cell r="A135" t="str">
            <v/>
          </cell>
          <cell r="D135" t="str">
            <v>IFBC</v>
          </cell>
          <cell r="J135">
            <v>7.3442756504685454</v>
          </cell>
        </row>
        <row r="136">
          <cell r="A136" t="str">
            <v/>
          </cell>
          <cell r="D136" t="str">
            <v>IFBH</v>
          </cell>
          <cell r="J136">
            <v>0.86215409809848131</v>
          </cell>
        </row>
        <row r="137">
          <cell r="A137" t="str">
            <v/>
          </cell>
          <cell r="D137" t="str">
            <v>IFBP</v>
          </cell>
          <cell r="J137">
            <v>3.576342925445553</v>
          </cell>
        </row>
        <row r="138">
          <cell r="A138" t="str">
            <v/>
          </cell>
          <cell r="D138" t="str">
            <v>IFBF</v>
          </cell>
          <cell r="J138">
            <v>0.51090613220650749</v>
          </cell>
        </row>
        <row r="139">
          <cell r="A139" t="str">
            <v/>
          </cell>
          <cell r="D139" t="str">
            <v>IFBO</v>
          </cell>
          <cell r="J139">
            <v>2.6822571940841642</v>
          </cell>
        </row>
        <row r="140">
          <cell r="A140" t="str">
            <v/>
          </cell>
          <cell r="D140" t="str">
            <v>IFBE</v>
          </cell>
          <cell r="J140">
            <v>0</v>
          </cell>
        </row>
        <row r="141">
          <cell r="D141" t="str">
            <v xml:space="preserve"> </v>
          </cell>
          <cell r="J141" t="str">
            <v/>
          </cell>
        </row>
        <row r="142">
          <cell r="A142" t="str">
            <v/>
          </cell>
          <cell r="D142" t="str">
            <v>IFBS</v>
          </cell>
          <cell r="J142">
            <v>20.421862032418336</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xml:space="preserve">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4.0241553496851505</v>
          </cell>
        </row>
        <row r="173">
          <cell r="A173" t="str">
            <v/>
          </cell>
          <cell r="D173" t="str">
            <v>IOTA</v>
          </cell>
          <cell r="J173">
            <v>0.22789646617646991</v>
          </cell>
        </row>
        <row r="174">
          <cell r="A174" t="str">
            <v/>
          </cell>
          <cell r="D174" t="str">
            <v>IOTL</v>
          </cell>
          <cell r="J174">
            <v>1.0095834302163471</v>
          </cell>
        </row>
        <row r="175">
          <cell r="A175" t="str">
            <v/>
          </cell>
          <cell r="D175" t="str">
            <v>IOTC</v>
          </cell>
          <cell r="J175">
            <v>4.2868722274366169</v>
          </cell>
        </row>
        <row r="176">
          <cell r="A176" t="str">
            <v/>
          </cell>
          <cell r="D176" t="str">
            <v>IOTH</v>
          </cell>
          <cell r="J176">
            <v>3.1863804172999206</v>
          </cell>
        </row>
        <row r="177">
          <cell r="A177" t="str">
            <v/>
          </cell>
          <cell r="D177" t="str">
            <v>IOTP</v>
          </cell>
          <cell r="J177">
            <v>4.3369135374845138</v>
          </cell>
        </row>
        <row r="178">
          <cell r="A178" t="str">
            <v/>
          </cell>
          <cell r="D178" t="str">
            <v>IOTF</v>
          </cell>
          <cell r="J178">
            <v>1.8465243407674456</v>
          </cell>
        </row>
        <row r="179">
          <cell r="A179" t="str">
            <v/>
          </cell>
          <cell r="D179" t="str">
            <v>IOTO</v>
          </cell>
          <cell r="J179">
            <v>12.304490923310874</v>
          </cell>
        </row>
        <row r="180">
          <cell r="A180" t="str">
            <v/>
          </cell>
          <cell r="D180" t="str">
            <v>IOTE</v>
          </cell>
          <cell r="J180">
            <v>0.41264064265496897</v>
          </cell>
        </row>
        <row r="181">
          <cell r="D181" t="str">
            <v xml:space="preserve"> </v>
          </cell>
          <cell r="J181" t="str">
            <v/>
          </cell>
        </row>
        <row r="182">
          <cell r="A182" t="str">
            <v/>
          </cell>
          <cell r="D182" t="str">
            <v>IOTS</v>
          </cell>
          <cell r="J182">
            <v>73.690487252999532</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9.4685659246785185</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 val="HDRI scenario"/>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row>
        <row r="11">
          <cell r="J11">
            <v>7.8517549075018991</v>
          </cell>
        </row>
        <row r="12">
          <cell r="J12">
            <v>9.894499756529763</v>
          </cell>
        </row>
        <row r="13">
          <cell r="J13">
            <v>121.5402719056889</v>
          </cell>
        </row>
        <row r="14">
          <cell r="J14">
            <v>29.566390373747051</v>
          </cell>
        </row>
        <row r="15">
          <cell r="J15">
            <v>9.6831090230750316</v>
          </cell>
        </row>
        <row r="16">
          <cell r="J16">
            <v>10.30055287377321</v>
          </cell>
        </row>
        <row r="17">
          <cell r="J17">
            <v>3.5593512487513528</v>
          </cell>
        </row>
        <row r="18">
          <cell r="J18">
            <v>18.760184357078931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Savanha Jade" id="{DE6D7A0B-B629-45DE-B1C8-46C372AE083F}" userId="f20aa8d2a4529e79" providerId="Windows Live"/>
  <person displayName="Bruno Merven" id="{3025FD11-6782-44FE-A19D-715D23E16E99}" userId="S::01405439@wf.uct.ac.za::c7f06137-2c3b-4c5c-8f38-fe1abbc9686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116" dT="2023-10-02T06:05:15.19" personId="{DE6D7A0B-B629-45DE-B1C8-46C372AE083F}" id="{265657B1-FF8B-41BB-A508-A4FDB500BE3D}">
    <text xml:space="preserve">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ext>
  </threadedComment>
</ThreadedComments>
</file>

<file path=xl/threadedComments/threadedComment4.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5.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5.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66" t="s">
        <v>202</v>
      </c>
      <c r="B1" s="66" t="s">
        <v>28</v>
      </c>
      <c r="C1" s="66" t="s">
        <v>204</v>
      </c>
      <c r="D1" s="66" t="s">
        <v>200</v>
      </c>
    </row>
    <row r="2" spans="1:4">
      <c r="A2" s="65">
        <v>41499</v>
      </c>
      <c r="B2" s="64" t="s">
        <v>203</v>
      </c>
      <c r="C2" s="64" t="s">
        <v>205</v>
      </c>
      <c r="D2" t="s">
        <v>201</v>
      </c>
    </row>
    <row r="3" spans="1:4">
      <c r="A3" s="65">
        <v>41500</v>
      </c>
      <c r="B3" t="s">
        <v>208</v>
      </c>
      <c r="C3" t="s">
        <v>209</v>
      </c>
      <c r="D3" t="s">
        <v>201</v>
      </c>
    </row>
    <row r="4" spans="1:4">
      <c r="A4" s="65">
        <v>41502</v>
      </c>
      <c r="B4" t="s">
        <v>210</v>
      </c>
      <c r="C4" t="s">
        <v>209</v>
      </c>
      <c r="D4" t="s">
        <v>201</v>
      </c>
    </row>
    <row r="5" spans="1:4">
      <c r="A5" s="65">
        <v>41505</v>
      </c>
      <c r="B5" t="s">
        <v>212</v>
      </c>
      <c r="C5" t="s">
        <v>247</v>
      </c>
      <c r="D5" t="s">
        <v>211</v>
      </c>
    </row>
    <row r="7" spans="1:4">
      <c r="A7" s="65">
        <v>41599</v>
      </c>
      <c r="B7" t="s">
        <v>252</v>
      </c>
      <c r="C7" t="s">
        <v>4</v>
      </c>
      <c r="D7" t="s">
        <v>211</v>
      </c>
    </row>
    <row r="9" spans="1:4">
      <c r="A9" s="65" t="s">
        <v>391</v>
      </c>
      <c r="B9" t="s">
        <v>392</v>
      </c>
      <c r="D9" t="s">
        <v>393</v>
      </c>
    </row>
    <row r="11" spans="1:4">
      <c r="A11" s="65">
        <v>42467</v>
      </c>
      <c r="B11" t="s">
        <v>414</v>
      </c>
      <c r="C11" t="s">
        <v>415</v>
      </c>
      <c r="D11" t="s">
        <v>416</v>
      </c>
    </row>
    <row r="13" spans="1:4">
      <c r="A13" s="122">
        <v>42963</v>
      </c>
      <c r="B13" t="s">
        <v>431</v>
      </c>
      <c r="C13" t="s">
        <v>430</v>
      </c>
      <c r="D13" t="s">
        <v>211</v>
      </c>
    </row>
    <row r="14" spans="1:4">
      <c r="B14" t="s">
        <v>432</v>
      </c>
    </row>
    <row r="15" spans="1:4">
      <c r="B15" t="s">
        <v>433</v>
      </c>
    </row>
    <row r="17" spans="1:4">
      <c r="A17" s="122">
        <v>43007</v>
      </c>
      <c r="B17" t="s">
        <v>484</v>
      </c>
      <c r="D17" t="s">
        <v>211</v>
      </c>
    </row>
    <row r="18" spans="1:4">
      <c r="B18" t="s">
        <v>485</v>
      </c>
    </row>
    <row r="20" spans="1:4">
      <c r="A20" s="122">
        <v>43039</v>
      </c>
      <c r="B20" t="s">
        <v>500</v>
      </c>
      <c r="C20" t="s">
        <v>501</v>
      </c>
      <c r="D20" t="s">
        <v>502</v>
      </c>
    </row>
    <row r="21" spans="1:4">
      <c r="B21" t="s">
        <v>503</v>
      </c>
      <c r="C21" t="s">
        <v>4</v>
      </c>
      <c r="D21" t="s">
        <v>502</v>
      </c>
    </row>
    <row r="24" spans="1:4">
      <c r="A24" s="183">
        <v>44007.756886921299</v>
      </c>
      <c r="B24" t="s">
        <v>583</v>
      </c>
      <c r="C24" t="s">
        <v>584</v>
      </c>
      <c r="D24" t="s">
        <v>585</v>
      </c>
    </row>
    <row r="26" spans="1:4">
      <c r="A26" s="65">
        <v>44061</v>
      </c>
      <c r="B26" t="s">
        <v>629</v>
      </c>
      <c r="C26" t="s">
        <v>523</v>
      </c>
      <c r="D26" t="s">
        <v>393</v>
      </c>
    </row>
    <row r="27" spans="1:4">
      <c r="B27" t="s">
        <v>630</v>
      </c>
      <c r="C27" t="s">
        <v>523</v>
      </c>
      <c r="D27" t="s">
        <v>393</v>
      </c>
    </row>
    <row r="28" spans="1:4">
      <c r="B28" t="s">
        <v>631</v>
      </c>
      <c r="C28" t="s">
        <v>523</v>
      </c>
      <c r="D28" t="s">
        <v>393</v>
      </c>
    </row>
    <row r="30" spans="1:4">
      <c r="A30" s="65">
        <v>44298</v>
      </c>
      <c r="B30" t="s">
        <v>679</v>
      </c>
      <c r="C30" t="s">
        <v>584</v>
      </c>
      <c r="D30" t="s">
        <v>585</v>
      </c>
    </row>
    <row r="38" spans="1:2">
      <c r="A38" s="183">
        <f ca="1">NOW()</f>
        <v>45314.542828356483</v>
      </c>
    </row>
    <row r="39" spans="1:2">
      <c r="A39" t="s">
        <v>488</v>
      </c>
      <c r="B39" t="s">
        <v>489</v>
      </c>
    </row>
    <row r="40" spans="1:2">
      <c r="B40" t="s">
        <v>492</v>
      </c>
    </row>
    <row r="41" spans="1:2">
      <c r="B41" t="s">
        <v>490</v>
      </c>
    </row>
    <row r="42" spans="1:2">
      <c r="B42" t="s">
        <v>491</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2" customWidth="1"/>
    <col min="2" max="2" width="42.42578125" style="12" customWidth="1"/>
    <col min="3" max="3" width="28.42578125" style="12" customWidth="1"/>
    <col min="4" max="4" width="21.85546875" style="12" customWidth="1"/>
    <col min="5" max="16384" width="9.14062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5546875" defaultRowHeight="15"/>
  <cols>
    <col min="2" max="2" width="31.42578125" customWidth="1"/>
    <col min="6" max="6" width="13.140625" customWidth="1"/>
  </cols>
  <sheetData>
    <row r="2" spans="2:5">
      <c r="E2" s="2"/>
    </row>
    <row r="3" spans="2:5" ht="18" thickBot="1">
      <c r="B3" s="28" t="s">
        <v>388</v>
      </c>
    </row>
    <row r="4" spans="2:5" ht="18.75" thickTop="1" thickBot="1">
      <c r="B4" s="28" t="s">
        <v>270</v>
      </c>
    </row>
    <row r="5" spans="2:5" ht="15.75" thickTop="1"/>
    <row r="6" spans="2:5" ht="18" thickBot="1">
      <c r="B6" s="28" t="s">
        <v>271</v>
      </c>
    </row>
    <row r="7" spans="2:5" ht="15.75" thickTop="1">
      <c r="B7" t="s">
        <v>1</v>
      </c>
      <c r="C7" s="20">
        <v>1</v>
      </c>
      <c r="D7" s="2"/>
    </row>
    <row r="8" spans="2:5">
      <c r="B8" t="s">
        <v>3</v>
      </c>
      <c r="C8" s="20">
        <v>1</v>
      </c>
      <c r="D8" s="2"/>
    </row>
    <row r="9" spans="2:5">
      <c r="B9" t="s">
        <v>127</v>
      </c>
      <c r="C9" s="20">
        <v>1</v>
      </c>
      <c r="D9" s="2"/>
    </row>
    <row r="10" spans="2:5">
      <c r="B10" t="s">
        <v>128</v>
      </c>
      <c r="C10" s="20">
        <v>1</v>
      </c>
      <c r="D10" s="2"/>
    </row>
    <row r="11" spans="2:5">
      <c r="B11" t="s">
        <v>2</v>
      </c>
      <c r="C11" s="20">
        <v>1</v>
      </c>
      <c r="D11" s="2"/>
    </row>
    <row r="13" spans="2:5">
      <c r="B13" s="2" t="s">
        <v>262</v>
      </c>
    </row>
    <row r="14" spans="2:5">
      <c r="B14" t="s">
        <v>255</v>
      </c>
    </row>
    <row r="15" spans="2:5">
      <c r="B15" t="s">
        <v>256</v>
      </c>
    </row>
    <row r="16" spans="2:5">
      <c r="B16" t="s">
        <v>257</v>
      </c>
    </row>
    <row r="17" spans="2:8">
      <c r="B17" t="s">
        <v>258</v>
      </c>
      <c r="G17" t="s">
        <v>456</v>
      </c>
    </row>
    <row r="18" spans="2:8">
      <c r="G18" t="s">
        <v>455</v>
      </c>
      <c r="H18" t="s">
        <v>457</v>
      </c>
    </row>
    <row r="19" spans="2:8">
      <c r="B19" t="s">
        <v>454</v>
      </c>
      <c r="C19" s="20">
        <v>1</v>
      </c>
      <c r="G19">
        <v>1</v>
      </c>
      <c r="H19" s="21">
        <v>0</v>
      </c>
    </row>
    <row r="20" spans="2:8">
      <c r="G20">
        <v>2</v>
      </c>
      <c r="H20" s="21">
        <v>0.04</v>
      </c>
    </row>
    <row r="21" spans="2:8">
      <c r="G21">
        <v>3</v>
      </c>
      <c r="H21" s="21">
        <v>0.06</v>
      </c>
    </row>
    <row r="22" spans="2:8">
      <c r="G22">
        <v>4</v>
      </c>
      <c r="H22" s="21">
        <v>0.08</v>
      </c>
    </row>
    <row r="23" spans="2:8">
      <c r="G23">
        <v>5</v>
      </c>
      <c r="H23" s="21">
        <v>0.1</v>
      </c>
    </row>
    <row r="29" spans="2:8">
      <c r="B29" t="s">
        <v>114</v>
      </c>
      <c r="C29" s="22">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287</v>
      </c>
      <c r="E6" t="s">
        <v>288</v>
      </c>
      <c r="F6" t="s">
        <v>394</v>
      </c>
    </row>
    <row r="7" spans="1:6">
      <c r="A7" t="s">
        <v>286</v>
      </c>
      <c r="B7" t="s">
        <v>616</v>
      </c>
      <c r="C7" t="str">
        <f>"DriversGams!"&amp;ADDRESS(ROW(DriversGams!A5),COLUMN(DriversGams!A5),4)</f>
        <v>DriversGams!A5</v>
      </c>
      <c r="D7">
        <v>1</v>
      </c>
      <c r="E7">
        <v>1</v>
      </c>
    </row>
    <row r="8" spans="1:6">
      <c r="A8" t="s">
        <v>286</v>
      </c>
      <c r="B8" t="s">
        <v>593</v>
      </c>
      <c r="C8" t="str">
        <f>"DriversGams!"&amp;ADDRESS(ROW(DriversGams!A43),COLUMN(DriversGams!A43),4)</f>
        <v>DriversGams!A43</v>
      </c>
      <c r="E8">
        <v>1</v>
      </c>
    </row>
    <row r="9" spans="1:6">
      <c r="A9" t="s">
        <v>286</v>
      </c>
      <c r="B9" t="s">
        <v>617</v>
      </c>
      <c r="C9" t="str">
        <f>"DriversGams!"&amp;ADDRESS(ROW(DriversGams!A61),COLUMN(DriversGams!A61),4)</f>
        <v>DriversGams!A61</v>
      </c>
      <c r="D9">
        <v>1</v>
      </c>
      <c r="E9">
        <v>1</v>
      </c>
    </row>
    <row r="10" spans="1:6">
      <c r="A10" t="s">
        <v>286</v>
      </c>
      <c r="B10" t="s">
        <v>493</v>
      </c>
      <c r="C10" t="str">
        <f>"DriversGams!"&amp;ADDRESS(ROW(DriversGams!A71),COLUMN(DriversGams!A71),4)</f>
        <v>DriversGams!A71</v>
      </c>
      <c r="E10">
        <v>1</v>
      </c>
    </row>
    <row r="11" spans="1:6">
      <c r="A11" t="s">
        <v>486</v>
      </c>
      <c r="B11" t="s">
        <v>487</v>
      </c>
      <c r="C11" t="str">
        <f>"DriversGams!"&amp;ADDRESS(ROW(DriversGams!A102),COLUMN(DriversGams!A102),4)</f>
        <v>DriversGams!A102</v>
      </c>
      <c r="D11">
        <v>2</v>
      </c>
      <c r="E11">
        <v>1</v>
      </c>
    </row>
    <row r="12" spans="1:6">
      <c r="A12" t="s">
        <v>286</v>
      </c>
      <c r="B12" t="s">
        <v>693</v>
      </c>
      <c r="C12" t="str">
        <f>"DriversGams!"&amp;ADDRESS(ROW(DriversGams!A130),COLUMN(DriversGams!A130),4)</f>
        <v>DriversGams!A130</v>
      </c>
      <c r="D12">
        <v>1</v>
      </c>
      <c r="E12">
        <v>1</v>
      </c>
    </row>
    <row r="13" spans="1:6">
      <c r="A13" t="s">
        <v>286</v>
      </c>
      <c r="B13" t="s">
        <v>619</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287</v>
      </c>
      <c r="E6" t="s">
        <v>288</v>
      </c>
    </row>
    <row r="7" spans="1:5">
      <c r="A7" t="s">
        <v>286</v>
      </c>
      <c r="B7" t="s">
        <v>374</v>
      </c>
      <c r="C7" t="s">
        <v>373</v>
      </c>
      <c r="D7">
        <v>1</v>
      </c>
      <c r="E7">
        <v>1</v>
      </c>
    </row>
    <row r="14" spans="1:5">
      <c r="C14"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453</v>
      </c>
      <c r="D1">
        <v>2002</v>
      </c>
      <c r="E1">
        <v>2003</v>
      </c>
      <c r="F1">
        <v>2004</v>
      </c>
      <c r="G1">
        <v>2005</v>
      </c>
      <c r="H1">
        <v>2006</v>
      </c>
      <c r="I1">
        <v>2007</v>
      </c>
      <c r="J1">
        <v>2008</v>
      </c>
      <c r="K1">
        <v>2009</v>
      </c>
      <c r="L1">
        <v>2010</v>
      </c>
      <c r="M1">
        <v>2011</v>
      </c>
      <c r="N1">
        <v>2012</v>
      </c>
      <c r="O1">
        <v>2013</v>
      </c>
      <c r="P1">
        <v>2014</v>
      </c>
      <c r="Q1">
        <v>2015</v>
      </c>
      <c r="R1">
        <v>2016</v>
      </c>
      <c r="S1">
        <v>2017</v>
      </c>
    </row>
    <row r="2" spans="1:31">
      <c r="B2" t="s">
        <v>434</v>
      </c>
      <c r="C2" t="s">
        <v>435</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434</v>
      </c>
      <c r="C3" t="s">
        <v>436</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434</v>
      </c>
      <c r="C4" t="s">
        <v>437</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434</v>
      </c>
      <c r="C5" t="s">
        <v>438</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434</v>
      </c>
      <c r="C6" t="s">
        <v>439</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434</v>
      </c>
      <c r="C7" t="s">
        <v>440</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434</v>
      </c>
      <c r="C8" t="s">
        <v>441</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434</v>
      </c>
      <c r="C9" t="s">
        <v>442</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434</v>
      </c>
      <c r="C10" t="s">
        <v>443</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434</v>
      </c>
      <c r="C11" t="s">
        <v>444</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434</v>
      </c>
      <c r="C12" t="s">
        <v>445</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434</v>
      </c>
      <c r="C13" t="s">
        <v>446</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434</v>
      </c>
      <c r="C14" t="s">
        <v>447</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434</v>
      </c>
      <c r="C15" t="s">
        <v>448</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434</v>
      </c>
      <c r="C16" t="s">
        <v>449</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434</v>
      </c>
      <c r="C17" t="s">
        <v>450</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434</v>
      </c>
      <c r="C18" t="s">
        <v>451</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452</v>
      </c>
      <c r="C19" t="s">
        <v>435</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452</v>
      </c>
      <c r="C20" t="s">
        <v>436</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452</v>
      </c>
      <c r="C21" t="s">
        <v>437</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452</v>
      </c>
      <c r="C22" t="s">
        <v>438</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452</v>
      </c>
      <c r="C23" t="s">
        <v>439</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452</v>
      </c>
      <c r="C24" t="s">
        <v>440</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452</v>
      </c>
      <c r="C25" t="s">
        <v>441</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452</v>
      </c>
      <c r="C26" t="s">
        <v>442</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452</v>
      </c>
      <c r="C27" t="s">
        <v>443</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452</v>
      </c>
      <c r="C28" t="s">
        <v>444</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452</v>
      </c>
      <c r="C29" t="s">
        <v>445</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452</v>
      </c>
      <c r="C30" t="s">
        <v>446</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452</v>
      </c>
      <c r="C31" t="s">
        <v>447</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452</v>
      </c>
      <c r="C32" t="s">
        <v>448</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452</v>
      </c>
      <c r="C33" t="s">
        <v>449</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452</v>
      </c>
      <c r="C34" t="s">
        <v>450</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452</v>
      </c>
      <c r="C35" t="s">
        <v>451</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224</v>
      </c>
      <c r="C36" t="s">
        <v>435</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224</v>
      </c>
      <c r="C37" t="s">
        <v>436</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224</v>
      </c>
      <c r="C38" t="s">
        <v>437</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224</v>
      </c>
      <c r="C39" t="s">
        <v>438</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224</v>
      </c>
      <c r="C40" t="s">
        <v>439</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224</v>
      </c>
      <c r="C41" t="s">
        <v>440</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224</v>
      </c>
      <c r="C42" t="s">
        <v>441</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224</v>
      </c>
      <c r="C43" t="s">
        <v>442</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224</v>
      </c>
      <c r="C44" t="s">
        <v>443</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224</v>
      </c>
      <c r="C45" t="s">
        <v>444</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224</v>
      </c>
      <c r="C46" t="s">
        <v>445</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224</v>
      </c>
      <c r="C47" t="s">
        <v>446</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224</v>
      </c>
      <c r="C48" t="s">
        <v>447</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224</v>
      </c>
      <c r="C49" t="s">
        <v>448</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224</v>
      </c>
      <c r="C50" t="s">
        <v>449</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224</v>
      </c>
      <c r="C51" t="s">
        <v>450</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224</v>
      </c>
      <c r="C52" t="s">
        <v>451</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224</v>
      </c>
      <c r="C53" t="s">
        <v>389</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workbookViewId="0">
      <selection activeCell="B165" sqref="B165"/>
    </sheetView>
  </sheetViews>
  <sheetFormatPr defaultColWidth="8.7109375" defaultRowHeight="15"/>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589</v>
      </c>
    </row>
    <row r="5" spans="1:53">
      <c r="B5" s="26" t="s">
        <v>550</v>
      </c>
      <c r="C5" s="26" t="s">
        <v>538</v>
      </c>
      <c r="D5" s="26" t="s">
        <v>551</v>
      </c>
      <c r="E5" s="26" t="s">
        <v>552</v>
      </c>
      <c r="F5" s="26" t="s">
        <v>553</v>
      </c>
      <c r="G5" s="26" t="s">
        <v>554</v>
      </c>
      <c r="H5" s="26" t="s">
        <v>539</v>
      </c>
      <c r="I5" s="26" t="s">
        <v>555</v>
      </c>
      <c r="J5" s="26" t="s">
        <v>556</v>
      </c>
      <c r="K5" s="26" t="s">
        <v>557</v>
      </c>
      <c r="L5" s="26" t="s">
        <v>558</v>
      </c>
      <c r="M5" s="26" t="s">
        <v>540</v>
      </c>
      <c r="N5" s="26" t="s">
        <v>559</v>
      </c>
      <c r="O5" s="26" t="s">
        <v>560</v>
      </c>
      <c r="P5" s="26" t="s">
        <v>561</v>
      </c>
      <c r="Q5" s="26" t="s">
        <v>562</v>
      </c>
      <c r="R5" s="26" t="s">
        <v>541</v>
      </c>
      <c r="S5" s="26" t="s">
        <v>563</v>
      </c>
      <c r="T5" s="26" t="s">
        <v>564</v>
      </c>
      <c r="U5" s="26" t="s">
        <v>565</v>
      </c>
      <c r="V5" s="26" t="s">
        <v>566</v>
      </c>
      <c r="W5" s="26" t="s">
        <v>542</v>
      </c>
      <c r="X5" s="26" t="s">
        <v>567</v>
      </c>
      <c r="Y5" s="26" t="s">
        <v>568</v>
      </c>
      <c r="Z5" s="26" t="s">
        <v>569</v>
      </c>
      <c r="AA5" s="26" t="s">
        <v>570</v>
      </c>
      <c r="AB5" s="26" t="s">
        <v>543</v>
      </c>
      <c r="AC5" s="26" t="s">
        <v>571</v>
      </c>
      <c r="AD5" s="26" t="s">
        <v>572</v>
      </c>
      <c r="AE5" s="26" t="s">
        <v>573</v>
      </c>
      <c r="AF5" s="26" t="s">
        <v>574</v>
      </c>
      <c r="AG5" s="26" t="s">
        <v>544</v>
      </c>
      <c r="AH5" s="26" t="s">
        <v>702</v>
      </c>
      <c r="AI5" s="26" t="s">
        <v>703</v>
      </c>
      <c r="AJ5" s="26" t="s">
        <v>704</v>
      </c>
      <c r="AK5" s="26" t="s">
        <v>705</v>
      </c>
      <c r="AL5" s="26" t="s">
        <v>706</v>
      </c>
      <c r="AM5" s="26" t="s">
        <v>707</v>
      </c>
      <c r="AN5" s="26" t="s">
        <v>708</v>
      </c>
      <c r="AO5" s="26" t="s">
        <v>709</v>
      </c>
      <c r="AP5" s="26" t="s">
        <v>710</v>
      </c>
      <c r="AQ5" s="26" t="s">
        <v>711</v>
      </c>
      <c r="AR5" s="26" t="s">
        <v>712</v>
      </c>
      <c r="AS5" s="26" t="s">
        <v>713</v>
      </c>
      <c r="AT5" s="26" t="s">
        <v>714</v>
      </c>
      <c r="AU5" s="26" t="s">
        <v>715</v>
      </c>
      <c r="AV5" s="26" t="s">
        <v>716</v>
      </c>
      <c r="AW5" s="26" t="s">
        <v>717</v>
      </c>
      <c r="AX5" s="26" t="s">
        <v>718</v>
      </c>
      <c r="AY5" s="26" t="s">
        <v>719</v>
      </c>
      <c r="AZ5" s="26" t="s">
        <v>720</v>
      </c>
      <c r="BA5" s="26" t="s">
        <v>721</v>
      </c>
    </row>
    <row r="6" spans="1:53">
      <c r="A6" s="26" t="s">
        <v>4</v>
      </c>
      <c r="B6">
        <v>2746.44</v>
      </c>
      <c r="C6">
        <v>2570.58</v>
      </c>
      <c r="D6">
        <v>2701.6634132159884</v>
      </c>
      <c r="E6">
        <v>2753.2761577379706</v>
      </c>
      <c r="F6">
        <v>2758.7827100534464</v>
      </c>
      <c r="G6">
        <v>2786.3705371539809</v>
      </c>
      <c r="H6">
        <v>2817.0206130626743</v>
      </c>
      <c r="I6">
        <v>2856.4589016455516</v>
      </c>
      <c r="J6">
        <v>2902.1622440718807</v>
      </c>
      <c r="K6">
        <v>2954.4011644651746</v>
      </c>
      <c r="L6">
        <v>3019.4917101814099</v>
      </c>
      <c r="M6">
        <v>3098.6578143357187</v>
      </c>
      <c r="N6">
        <v>3189.6914736349381</v>
      </c>
      <c r="O6">
        <v>3285.6295440723929</v>
      </c>
      <c r="P6">
        <v>3387.4108076665748</v>
      </c>
      <c r="Q6">
        <v>3503.822316485358</v>
      </c>
      <c r="R6">
        <v>3627.1733086751424</v>
      </c>
      <c r="S6">
        <v>3757.9091917406686</v>
      </c>
      <c r="T6">
        <v>3896.9782058681149</v>
      </c>
      <c r="U6">
        <v>4042.5535023498846</v>
      </c>
      <c r="V6">
        <v>4190.3715224582984</v>
      </c>
      <c r="W6">
        <v>4338.746729551779</v>
      </c>
      <c r="X6">
        <v>4493.9258030174624</v>
      </c>
      <c r="Y6">
        <v>4646.851544407692</v>
      </c>
      <c r="Z6">
        <v>4805.5666888006072</v>
      </c>
      <c r="AA6">
        <v>4972.1201415478799</v>
      </c>
      <c r="AB6">
        <v>5147.0885387860135</v>
      </c>
      <c r="AC6">
        <v>5331.0307755607055</v>
      </c>
      <c r="AD6">
        <v>5511.8158924623676</v>
      </c>
      <c r="AE6">
        <v>5701.6585608207461</v>
      </c>
      <c r="AF6">
        <v>5905.341267381451</v>
      </c>
      <c r="AG6">
        <v>6121.2224083428055</v>
      </c>
      <c r="AH6">
        <v>6333.9671215713788</v>
      </c>
      <c r="AI6">
        <v>6542.6941603914947</v>
      </c>
      <c r="AJ6">
        <v>6746.5117779400616</v>
      </c>
      <c r="AK6">
        <v>6944.5237698208839</v>
      </c>
      <c r="AL6">
        <v>7135.8357778147301</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6" t="s">
        <v>618</v>
      </c>
      <c r="B7">
        <v>103.19</v>
      </c>
      <c r="C7">
        <v>101.98</v>
      </c>
      <c r="D7">
        <v>106.77618269276007</v>
      </c>
      <c r="E7">
        <v>108.81604147435188</v>
      </c>
      <c r="F7">
        <v>109.03367355730057</v>
      </c>
      <c r="G7">
        <v>110.12401029287358</v>
      </c>
      <c r="H7">
        <v>111.33537440609517</v>
      </c>
      <c r="I7">
        <v>112.8940696477805</v>
      </c>
      <c r="J7">
        <v>114.70037476214499</v>
      </c>
      <c r="K7">
        <v>116.7649815078636</v>
      </c>
      <c r="L7">
        <v>119.33751514287142</v>
      </c>
      <c r="M7">
        <v>122.46634842347326</v>
      </c>
      <c r="N7">
        <v>126.06421579250767</v>
      </c>
      <c r="O7">
        <v>129.8559171888065</v>
      </c>
      <c r="P7">
        <v>133.87855551713014</v>
      </c>
      <c r="Q7">
        <v>138.47941603601245</v>
      </c>
      <c r="R7">
        <v>143.35454149130049</v>
      </c>
      <c r="S7">
        <v>148.52153545006567</v>
      </c>
      <c r="T7">
        <v>154.01787462641707</v>
      </c>
      <c r="U7">
        <v>159.77135760162864</v>
      </c>
      <c r="V7">
        <v>165.61347836440339</v>
      </c>
      <c r="W7">
        <v>171.47762048595308</v>
      </c>
      <c r="X7">
        <v>177.61066763661245</v>
      </c>
      <c r="Y7">
        <v>183.65465772850604</v>
      </c>
      <c r="Z7">
        <v>189.92745883722461</v>
      </c>
      <c r="AA7">
        <v>196.51004858976646</v>
      </c>
      <c r="AB7">
        <v>203.42521702176563</v>
      </c>
      <c r="AC7">
        <v>210.69505299862763</v>
      </c>
      <c r="AD7">
        <v>217.84011206705003</v>
      </c>
      <c r="AE7">
        <v>225.34314717510799</v>
      </c>
      <c r="AF7">
        <v>233.3931736072285</v>
      </c>
      <c r="AG7">
        <v>241.92531126525446</v>
      </c>
      <c r="AH7">
        <v>250.33348981758286</v>
      </c>
      <c r="AI7">
        <v>258.58288029344737</v>
      </c>
      <c r="AJ7">
        <v>266.63823872962757</v>
      </c>
      <c r="AK7">
        <v>274.46414499056186</v>
      </c>
      <c r="AL7">
        <v>282.02525190600596</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6" t="s">
        <v>371</v>
      </c>
      <c r="B8">
        <v>198.05</v>
      </c>
      <c r="C8">
        <v>190.12</v>
      </c>
      <c r="D8">
        <v>199.06146159587709</v>
      </c>
      <c r="E8">
        <v>202.86434403906432</v>
      </c>
      <c r="F8">
        <v>203.27007272714246</v>
      </c>
      <c r="G8">
        <v>205.30277345441388</v>
      </c>
      <c r="H8">
        <v>207.5611039624124</v>
      </c>
      <c r="I8">
        <v>210.46695941788619</v>
      </c>
      <c r="J8">
        <v>213.83443076857236</v>
      </c>
      <c r="K8">
        <v>217.68345052240667</v>
      </c>
      <c r="L8">
        <v>222.47939183136617</v>
      </c>
      <c r="M8">
        <v>228.31243540175274</v>
      </c>
      <c r="N8">
        <v>235.01989317975648</v>
      </c>
      <c r="O8">
        <v>242.08871323726126</v>
      </c>
      <c r="P8">
        <v>249.58806604154535</v>
      </c>
      <c r="Q8">
        <v>258.16539102536478</v>
      </c>
      <c r="R8">
        <v>267.25402459625479</v>
      </c>
      <c r="S8">
        <v>276.88678485748676</v>
      </c>
      <c r="T8">
        <v>287.13353916429128</v>
      </c>
      <c r="U8">
        <v>297.85968334204398</v>
      </c>
      <c r="V8">
        <v>308.75107380506353</v>
      </c>
      <c r="W8">
        <v>319.68351840350471</v>
      </c>
      <c r="X8">
        <v>331.11727918290615</v>
      </c>
      <c r="Y8">
        <v>342.38501203514005</v>
      </c>
      <c r="Z8">
        <v>354.0793143178384</v>
      </c>
      <c r="AA8">
        <v>366.35115157762715</v>
      </c>
      <c r="AB8">
        <v>379.24301098429203</v>
      </c>
      <c r="AC8">
        <v>392.79607252499613</v>
      </c>
      <c r="AD8">
        <v>406.11651408303169</v>
      </c>
      <c r="AE8">
        <v>420.10432575928178</v>
      </c>
      <c r="AF8">
        <v>435.11188631306442</v>
      </c>
      <c r="AG8">
        <v>451.01824061335759</v>
      </c>
      <c r="AH8">
        <v>466.69349955009693</v>
      </c>
      <c r="AI8">
        <v>482.07273192184982</v>
      </c>
      <c r="AJ8">
        <v>497.09023286209873</v>
      </c>
      <c r="AK8">
        <v>511.67996906850021</v>
      </c>
      <c r="AL8">
        <v>525.77604326701203</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6" t="s">
        <v>505</v>
      </c>
      <c r="B9">
        <v>155.24</v>
      </c>
      <c r="C9">
        <v>152.88999999999999</v>
      </c>
      <c r="D9">
        <v>149.89510886468165</v>
      </c>
      <c r="E9">
        <v>153.05903116134692</v>
      </c>
      <c r="F9">
        <v>153.32655627042456</v>
      </c>
      <c r="G9">
        <v>154.89162019025139</v>
      </c>
      <c r="H9">
        <v>156.56135961246716</v>
      </c>
      <c r="I9">
        <v>159.0292585636183</v>
      </c>
      <c r="J9">
        <v>161.81927303587736</v>
      </c>
      <c r="K9">
        <v>164.87448014005415</v>
      </c>
      <c r="L9">
        <v>168.72421730058949</v>
      </c>
      <c r="M9">
        <v>173.40896507001955</v>
      </c>
      <c r="N9">
        <v>178.95541697933879</v>
      </c>
      <c r="O9">
        <v>184.75085539349249</v>
      </c>
      <c r="P9">
        <v>191.05600864487914</v>
      </c>
      <c r="Q9">
        <v>198.12309082173635</v>
      </c>
      <c r="R9">
        <v>205.79924561662574</v>
      </c>
      <c r="S9">
        <v>213.91826391923422</v>
      </c>
      <c r="T9">
        <v>222.43078325058318</v>
      </c>
      <c r="U9">
        <v>231.45082025356473</v>
      </c>
      <c r="V9">
        <v>240.60602473379652</v>
      </c>
      <c r="W9">
        <v>249.79924851910897</v>
      </c>
      <c r="X9">
        <v>259.28271052626644</v>
      </c>
      <c r="Y9">
        <v>268.62814668587379</v>
      </c>
      <c r="Z9">
        <v>278.32250635499526</v>
      </c>
      <c r="AA9">
        <v>288.48705670492302</v>
      </c>
      <c r="AB9">
        <v>299.16098922830128</v>
      </c>
      <c r="AC9">
        <v>310.37355014965215</v>
      </c>
      <c r="AD9">
        <v>321.39583353365316</v>
      </c>
      <c r="AE9">
        <v>332.96622859009818</v>
      </c>
      <c r="AF9">
        <v>345.36853463611919</v>
      </c>
      <c r="AG9">
        <v>358.50603229683588</v>
      </c>
      <c r="AH9">
        <v>371.45300834958601</v>
      </c>
      <c r="AI9">
        <v>384.15634190330559</v>
      </c>
      <c r="AJ9">
        <v>396.56230596020259</v>
      </c>
      <c r="AK9">
        <v>408.616904653912</v>
      </c>
      <c r="AL9">
        <v>420.26625317254434</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6" t="s">
        <v>506</v>
      </c>
      <c r="B10">
        <v>366.87</v>
      </c>
      <c r="C10">
        <v>340.31</v>
      </c>
      <c r="D10">
        <v>354.2387180442268</v>
      </c>
      <c r="E10">
        <v>361.71583845763558</v>
      </c>
      <c r="F10">
        <v>362.34806556899423</v>
      </c>
      <c r="G10">
        <v>366.04669350165892</v>
      </c>
      <c r="H10">
        <v>369.99269518826225</v>
      </c>
      <c r="I10">
        <v>375.82494260006865</v>
      </c>
      <c r="J10">
        <v>382.41842758742808</v>
      </c>
      <c r="K10">
        <v>389.63862747347122</v>
      </c>
      <c r="L10">
        <v>398.73649575539338</v>
      </c>
      <c r="M10">
        <v>409.80769785646794</v>
      </c>
      <c r="N10">
        <v>422.91531710390387</v>
      </c>
      <c r="O10">
        <v>436.61135221728028</v>
      </c>
      <c r="P10">
        <v>451.51196786618669</v>
      </c>
      <c r="Q10">
        <v>468.21320748370539</v>
      </c>
      <c r="R10">
        <v>486.35383431700268</v>
      </c>
      <c r="S10">
        <v>505.541055681844</v>
      </c>
      <c r="T10">
        <v>525.65821599550031</v>
      </c>
      <c r="U10">
        <v>546.97476440624382</v>
      </c>
      <c r="V10">
        <v>568.61074654784807</v>
      </c>
      <c r="W10">
        <v>590.33657758442098</v>
      </c>
      <c r="X10">
        <v>612.74831236003206</v>
      </c>
      <c r="Y10">
        <v>634.83385837829496</v>
      </c>
      <c r="Z10">
        <v>657.74399579011276</v>
      </c>
      <c r="AA10">
        <v>681.76530851156349</v>
      </c>
      <c r="AB10">
        <v>706.99041560285298</v>
      </c>
      <c r="AC10">
        <v>733.48843302887724</v>
      </c>
      <c r="AD10">
        <v>759.53677820465953</v>
      </c>
      <c r="AE10">
        <v>786.88044500675937</v>
      </c>
      <c r="AF10">
        <v>816.19012047122555</v>
      </c>
      <c r="AG10">
        <v>847.23723311479125</v>
      </c>
      <c r="AH10">
        <v>877.83409670969229</v>
      </c>
      <c r="AI10">
        <v>907.85517362835446</v>
      </c>
      <c r="AJ10">
        <v>937.17349386510909</v>
      </c>
      <c r="AK10">
        <v>965.66145201224367</v>
      </c>
      <c r="AL10">
        <v>993.19170511086941</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6" t="s">
        <v>507</v>
      </c>
      <c r="B11">
        <v>24.03</v>
      </c>
      <c r="C11">
        <v>22.95</v>
      </c>
      <c r="D11">
        <v>23.202650515448983</v>
      </c>
      <c r="E11">
        <v>23.692402208239926</v>
      </c>
      <c r="F11">
        <v>23.733813109883421</v>
      </c>
      <c r="G11">
        <v>23.976073390696605</v>
      </c>
      <c r="H11">
        <v>24.234536662506997</v>
      </c>
      <c r="I11">
        <v>24.616549106440015</v>
      </c>
      <c r="J11">
        <v>25.048422642696039</v>
      </c>
      <c r="K11">
        <v>25.521346030439972</v>
      </c>
      <c r="L11">
        <v>26.117256774885117</v>
      </c>
      <c r="M11">
        <v>26.842420965167289</v>
      </c>
      <c r="N11">
        <v>27.700970561797934</v>
      </c>
      <c r="O11">
        <v>28.598061421705903</v>
      </c>
      <c r="P11">
        <v>29.574052355942065</v>
      </c>
      <c r="Q11">
        <v>30.667984233743397</v>
      </c>
      <c r="R11">
        <v>31.856196033029612</v>
      </c>
      <c r="S11">
        <v>33.112959816923464</v>
      </c>
      <c r="T11">
        <v>34.430634639986565</v>
      </c>
      <c r="U11">
        <v>35.826869432447566</v>
      </c>
      <c r="V11">
        <v>37.244027147340439</v>
      </c>
      <c r="W11">
        <v>38.667069968527365</v>
      </c>
      <c r="X11">
        <v>40.135039512665436</v>
      </c>
      <c r="Y11">
        <v>41.58164367986052</v>
      </c>
      <c r="Z11">
        <v>43.082258617048026</v>
      </c>
      <c r="AA11">
        <v>44.655655582448468</v>
      </c>
      <c r="AB11">
        <v>46.307901128292194</v>
      </c>
      <c r="AC11">
        <v>48.043522353105779</v>
      </c>
      <c r="AD11">
        <v>49.749690027143039</v>
      </c>
      <c r="AE11">
        <v>51.540701320665157</v>
      </c>
      <c r="AF11">
        <v>53.460486261955317</v>
      </c>
      <c r="AG11">
        <v>55.49407340951408</v>
      </c>
      <c r="AH11">
        <v>57.498169225976241</v>
      </c>
      <c r="AI11">
        <v>59.464550991602898</v>
      </c>
      <c r="AJ11">
        <v>61.384902165831406</v>
      </c>
      <c r="AK11">
        <v>63.250864589239271</v>
      </c>
      <c r="AL11">
        <v>65.054097292812685</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6" t="s">
        <v>508</v>
      </c>
      <c r="B12">
        <v>78.849999999999994</v>
      </c>
      <c r="C12">
        <v>77.7</v>
      </c>
      <c r="D12">
        <v>76.135205707164062</v>
      </c>
      <c r="E12">
        <v>77.742235294203837</v>
      </c>
      <c r="F12">
        <v>77.878117507877974</v>
      </c>
      <c r="G12">
        <v>78.673049806759352</v>
      </c>
      <c r="H12">
        <v>79.521149223415577</v>
      </c>
      <c r="I12">
        <v>80.774652394623189</v>
      </c>
      <c r="J12">
        <v>82.191765517127862</v>
      </c>
      <c r="K12">
        <v>83.743576134007142</v>
      </c>
      <c r="L12">
        <v>85.698947012055399</v>
      </c>
      <c r="M12">
        <v>88.078439163688742</v>
      </c>
      <c r="N12">
        <v>90.895610853007369</v>
      </c>
      <c r="O12">
        <v>93.83924856851894</v>
      </c>
      <c r="P12">
        <v>97.041782283230617</v>
      </c>
      <c r="Q12">
        <v>100.63131738787627</v>
      </c>
      <c r="R12">
        <v>104.53021461524696</v>
      </c>
      <c r="S12">
        <v>108.65405249955951</v>
      </c>
      <c r="T12">
        <v>112.97775869175781</v>
      </c>
      <c r="U12">
        <v>117.5592448917391</v>
      </c>
      <c r="V12">
        <v>122.2093857914188</v>
      </c>
      <c r="W12">
        <v>126.87883757879246</v>
      </c>
      <c r="X12">
        <v>131.69570809711485</v>
      </c>
      <c r="Y12">
        <v>136.44247208310452</v>
      </c>
      <c r="Z12">
        <v>141.3664624200681</v>
      </c>
      <c r="AA12">
        <v>146.52927351960307</v>
      </c>
      <c r="AB12">
        <v>151.95081165067995</v>
      </c>
      <c r="AC12">
        <v>157.64593164970415</v>
      </c>
      <c r="AD12">
        <v>163.24440527008858</v>
      </c>
      <c r="AE12">
        <v>169.12127753368486</v>
      </c>
      <c r="AF12">
        <v>175.42069670225453</v>
      </c>
      <c r="AG12">
        <v>182.09353675989118</v>
      </c>
      <c r="AH12">
        <v>188.66960646975556</v>
      </c>
      <c r="AI12">
        <v>195.12192449803945</v>
      </c>
      <c r="AJ12">
        <v>201.42320165525618</v>
      </c>
      <c r="AK12">
        <v>207.54601218732901</v>
      </c>
      <c r="AL12">
        <v>213.46298674732751</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6" t="s">
        <v>509</v>
      </c>
      <c r="B13">
        <v>17.63</v>
      </c>
      <c r="C13">
        <v>16.46</v>
      </c>
      <c r="D13">
        <v>17.023001605799649</v>
      </c>
      <c r="E13">
        <v>17.382315893935495</v>
      </c>
      <c r="F13">
        <v>17.412697674874938</v>
      </c>
      <c r="G13">
        <v>17.590435866749111</v>
      </c>
      <c r="H13">
        <v>17.780061646275421</v>
      </c>
      <c r="I13">
        <v>18.060331283667811</v>
      </c>
      <c r="J13">
        <v>18.377182321711658</v>
      </c>
      <c r="K13">
        <v>18.724150250381051</v>
      </c>
      <c r="L13">
        <v>19.161349851902813</v>
      </c>
      <c r="M13">
        <v>19.693378344398639</v>
      </c>
      <c r="N13">
        <v>20.32326720784426</v>
      </c>
      <c r="O13">
        <v>20.981432495408864</v>
      </c>
      <c r="P13">
        <v>21.697484104671602</v>
      </c>
      <c r="Q13">
        <v>22.500065003782609</v>
      </c>
      <c r="R13">
        <v>23.371815899388764</v>
      </c>
      <c r="S13">
        <v>24.293861072507724</v>
      </c>
      <c r="T13">
        <v>25.260594619349277</v>
      </c>
      <c r="U13">
        <v>26.284964964379967</v>
      </c>
      <c r="V13">
        <v>27.324685751461171</v>
      </c>
      <c r="W13">
        <v>28.368724242411048</v>
      </c>
      <c r="X13">
        <v>29.445723953736646</v>
      </c>
      <c r="Y13">
        <v>30.507048609069535</v>
      </c>
      <c r="Z13">
        <v>31.607999143510472</v>
      </c>
      <c r="AA13">
        <v>32.762347395695649</v>
      </c>
      <c r="AB13">
        <v>33.974544190253489</v>
      </c>
      <c r="AC13">
        <v>35.247910906585723</v>
      </c>
      <c r="AD13">
        <v>36.49966854675538</v>
      </c>
      <c r="AE13">
        <v>37.813673087113052</v>
      </c>
      <c r="AF13">
        <v>39.222154506794517</v>
      </c>
      <c r="AG13">
        <v>40.714128764449988</v>
      </c>
      <c r="AH13">
        <v>42.184466227796968</v>
      </c>
      <c r="AI13">
        <v>43.627134164875535</v>
      </c>
      <c r="AJ13">
        <v>45.036031010553799</v>
      </c>
      <c r="AK13">
        <v>46.405024665347</v>
      </c>
      <c r="AL13">
        <v>47.727995641793072</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6" t="s">
        <v>372</v>
      </c>
      <c r="B14">
        <v>20.85</v>
      </c>
      <c r="C14">
        <v>19.82</v>
      </c>
      <c r="D14">
        <v>20.132137463466972</v>
      </c>
      <c r="E14">
        <v>20.557078070819912</v>
      </c>
      <c r="F14">
        <v>20.593008878113583</v>
      </c>
      <c r="G14">
        <v>20.803209745985196</v>
      </c>
      <c r="H14">
        <v>21.027469388816932</v>
      </c>
      <c r="I14">
        <v>21.358928375750075</v>
      </c>
      <c r="J14">
        <v>21.733650108206927</v>
      </c>
      <c r="K14">
        <v>22.143989377223196</v>
      </c>
      <c r="L14">
        <v>22.661040522528285</v>
      </c>
      <c r="M14">
        <v>23.290240412972867</v>
      </c>
      <c r="N14">
        <v>24.035174207802203</v>
      </c>
      <c r="O14">
        <v>24.813548923952062</v>
      </c>
      <c r="P14">
        <v>25.660382506092056</v>
      </c>
      <c r="Q14">
        <v>26.609549366356628</v>
      </c>
      <c r="R14">
        <v>27.640519654126816</v>
      </c>
      <c r="S14">
        <v>28.730970128291894</v>
      </c>
      <c r="T14">
        <v>29.87427100473241</v>
      </c>
      <c r="U14">
        <v>31.085735649876479</v>
      </c>
      <c r="V14">
        <v>32.315354391262929</v>
      </c>
      <c r="W14">
        <v>33.550079435863324</v>
      </c>
      <c r="X14">
        <v>34.823785844322693</v>
      </c>
      <c r="Y14">
        <v>36.078954254061244</v>
      </c>
      <c r="Z14">
        <v>37.380985941134057</v>
      </c>
      <c r="AA14">
        <v>38.746168077155666</v>
      </c>
      <c r="AB14">
        <v>40.179764399704212</v>
      </c>
      <c r="AC14">
        <v>41.685702915616126</v>
      </c>
      <c r="AD14">
        <v>43.16608560407542</v>
      </c>
      <c r="AE14">
        <v>44.720084167118962</v>
      </c>
      <c r="AF14">
        <v>46.385815171109797</v>
      </c>
      <c r="AG14">
        <v>48.150288413997863</v>
      </c>
      <c r="AH14">
        <v>49.889173048755914</v>
      </c>
      <c r="AI14">
        <v>51.595334505822741</v>
      </c>
      <c r="AJ14">
        <v>53.261556810552847</v>
      </c>
      <c r="AK14">
        <v>54.880587877055298</v>
      </c>
      <c r="AL14">
        <v>56.445190534962315</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6" t="s">
        <v>510</v>
      </c>
      <c r="B15">
        <v>13.08</v>
      </c>
      <c r="C15">
        <v>12.33</v>
      </c>
      <c r="D15">
        <v>12.629657459095826</v>
      </c>
      <c r="E15">
        <v>12.896238904859686</v>
      </c>
      <c r="F15">
        <v>12.918779670298592</v>
      </c>
      <c r="G15">
        <v>13.05064668956769</v>
      </c>
      <c r="H15">
        <v>13.191333314423284</v>
      </c>
      <c r="I15">
        <v>13.399270175290695</v>
      </c>
      <c r="J15">
        <v>13.634347406011827</v>
      </c>
      <c r="K15">
        <v>13.891768875495416</v>
      </c>
      <c r="L15">
        <v>14.216134773845083</v>
      </c>
      <c r="M15">
        <v>14.610855856195927</v>
      </c>
      <c r="N15">
        <v>15.078181229642823</v>
      </c>
      <c r="O15">
        <v>15.566485368119569</v>
      </c>
      <c r="P15">
        <v>16.097736363534008</v>
      </c>
      <c r="Q15">
        <v>16.693184926232362</v>
      </c>
      <c r="R15">
        <v>17.339951898128479</v>
      </c>
      <c r="S15">
        <v>18.024033058899665</v>
      </c>
      <c r="T15">
        <v>18.741269292177456</v>
      </c>
      <c r="U15">
        <v>19.501267256613158</v>
      </c>
      <c r="V15">
        <v>20.272653977828256</v>
      </c>
      <c r="W15">
        <v>21.047244077750229</v>
      </c>
      <c r="X15">
        <v>21.846288673560714</v>
      </c>
      <c r="Y15">
        <v>22.63370367592907</v>
      </c>
      <c r="Z15">
        <v>23.450517799042373</v>
      </c>
      <c r="AA15">
        <v>24.306948606676073</v>
      </c>
      <c r="AB15">
        <v>25.206298242116599</v>
      </c>
      <c r="AC15">
        <v>26.151030893825368</v>
      </c>
      <c r="AD15">
        <v>27.079731400542279</v>
      </c>
      <c r="AE15">
        <v>28.054613952322111</v>
      </c>
      <c r="AF15">
        <v>29.099590524609887</v>
      </c>
      <c r="AG15">
        <v>30.20651186834974</v>
      </c>
      <c r="AH15">
        <v>31.297380502528892</v>
      </c>
      <c r="AI15">
        <v>32.367720639624054</v>
      </c>
      <c r="AJ15">
        <v>33.413005423598619</v>
      </c>
      <c r="AK15">
        <v>34.428685344454834</v>
      </c>
      <c r="AL15">
        <v>35.410220249271326</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6" t="s">
        <v>580</v>
      </c>
      <c r="B16">
        <v>0.12</v>
      </c>
      <c r="C16">
        <v>0.12</v>
      </c>
      <c r="D16">
        <v>0.11586841705592502</v>
      </c>
      <c r="E16">
        <v>0.11831411839320813</v>
      </c>
      <c r="F16">
        <v>0.11852091440640911</v>
      </c>
      <c r="G16">
        <v>0.11973070357401551</v>
      </c>
      <c r="H16">
        <v>0.12102140655434204</v>
      </c>
      <c r="I16">
        <v>0.12292908417697886</v>
      </c>
      <c r="J16">
        <v>0.12508575601845712</v>
      </c>
      <c r="K16">
        <v>0.12744742087610472</v>
      </c>
      <c r="L16">
        <v>0.13042325480591818</v>
      </c>
      <c r="M16">
        <v>0.13404454913941219</v>
      </c>
      <c r="N16">
        <v>0.1383319378866314</v>
      </c>
      <c r="O16">
        <v>0.14281179236806943</v>
      </c>
      <c r="P16">
        <v>0.14768565471132117</v>
      </c>
      <c r="Q16">
        <v>0.15314848556176477</v>
      </c>
      <c r="R16">
        <v>0.15908212750576584</v>
      </c>
      <c r="S16">
        <v>0.16535810145779506</v>
      </c>
      <c r="T16">
        <v>0.17193825038694913</v>
      </c>
      <c r="U16">
        <v>0.1789107087762675</v>
      </c>
      <c r="V16">
        <v>0.18598765117273627</v>
      </c>
      <c r="W16">
        <v>0.19309398236468098</v>
      </c>
      <c r="X16">
        <v>0.2004246667299148</v>
      </c>
      <c r="Y16">
        <v>0.20764865757733092</v>
      </c>
      <c r="Z16">
        <v>0.21514236512882909</v>
      </c>
      <c r="AA16">
        <v>0.22299952850161534</v>
      </c>
      <c r="AB16">
        <v>0.23125044258822566</v>
      </c>
      <c r="AC16">
        <v>0.23991771462225109</v>
      </c>
      <c r="AD16">
        <v>0.2484379027572686</v>
      </c>
      <c r="AE16">
        <v>0.25738177937910189</v>
      </c>
      <c r="AF16">
        <v>0.266968720409265</v>
      </c>
      <c r="AG16">
        <v>0.27712396209495171</v>
      </c>
      <c r="AH16">
        <v>0.28713193121586139</v>
      </c>
      <c r="AI16">
        <v>0.29695156550113805</v>
      </c>
      <c r="AJ16">
        <v>0.30654133416145524</v>
      </c>
      <c r="AK16">
        <v>0.31585949857298012</v>
      </c>
      <c r="AL16">
        <v>0.32486440595661764</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6" t="s">
        <v>511</v>
      </c>
      <c r="B17">
        <v>142.18</v>
      </c>
      <c r="C17">
        <v>135.41</v>
      </c>
      <c r="D17">
        <v>137.2847628084285</v>
      </c>
      <c r="E17">
        <v>140.18251127621943</v>
      </c>
      <c r="F17">
        <v>140.42753008586038</v>
      </c>
      <c r="G17">
        <v>141.86092861794606</v>
      </c>
      <c r="H17">
        <v>143.39019653246962</v>
      </c>
      <c r="I17">
        <v>145.65047656902379</v>
      </c>
      <c r="J17">
        <v>148.20577325586862</v>
      </c>
      <c r="K17">
        <v>151.00395250137143</v>
      </c>
      <c r="L17">
        <v>154.52981973587873</v>
      </c>
      <c r="M17">
        <v>158.82044997201353</v>
      </c>
      <c r="N17">
        <v>163.90029107267711</v>
      </c>
      <c r="O17">
        <v>169.2081719907676</v>
      </c>
      <c r="P17">
        <v>174.98288655713037</v>
      </c>
      <c r="Q17">
        <v>181.45543064309763</v>
      </c>
      <c r="R17">
        <v>188.48580740641492</v>
      </c>
      <c r="S17">
        <v>195.92179054391087</v>
      </c>
      <c r="T17">
        <v>203.71817033347023</v>
      </c>
      <c r="U17">
        <v>211.9793714484143</v>
      </c>
      <c r="V17">
        <v>220.36436869783037</v>
      </c>
      <c r="W17">
        <v>228.78418677175287</v>
      </c>
      <c r="X17">
        <v>237.46982596382739</v>
      </c>
      <c r="Y17">
        <v>246.02905111954092</v>
      </c>
      <c r="Z17">
        <v>254.90784561680769</v>
      </c>
      <c r="AA17">
        <v>264.2172746863306</v>
      </c>
      <c r="AB17">
        <v>273.9932327266161</v>
      </c>
      <c r="AC17">
        <v>284.26250554159719</v>
      </c>
      <c r="AD17">
        <v>294.35750845023711</v>
      </c>
      <c r="AE17">
        <v>304.95451160100595</v>
      </c>
      <c r="AF17">
        <v>316.31343889824416</v>
      </c>
      <c r="AG17">
        <v>328.34570775550196</v>
      </c>
      <c r="AH17">
        <v>340.20348316892648</v>
      </c>
      <c r="AI17">
        <v>351.83811319126511</v>
      </c>
      <c r="AJ17">
        <v>363.2003907589642</v>
      </c>
      <c r="AK17">
        <v>374.24086255921935</v>
      </c>
      <c r="AL17">
        <v>384.91017699093248</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6" t="s">
        <v>576</v>
      </c>
      <c r="B18">
        <v>60.61</v>
      </c>
      <c r="C18">
        <v>58.58</v>
      </c>
      <c r="D18">
        <v>58.523206314663462</v>
      </c>
      <c r="E18">
        <v>59.75848929843621</v>
      </c>
      <c r="F18">
        <v>59.862938518103803</v>
      </c>
      <c r="G18">
        <v>60.473982863509001</v>
      </c>
      <c r="H18">
        <v>61.125895427155598</v>
      </c>
      <c r="I18">
        <v>62.089431599722403</v>
      </c>
      <c r="J18">
        <v>63.178730602322389</v>
      </c>
      <c r="K18">
        <v>64.371568160839232</v>
      </c>
      <c r="L18">
        <v>65.874612281555841</v>
      </c>
      <c r="M18">
        <v>67.703667694498108</v>
      </c>
      <c r="N18">
        <v>69.869156294239403</v>
      </c>
      <c r="O18">
        <v>72.131856128572394</v>
      </c>
      <c r="P18">
        <v>74.593562767109802</v>
      </c>
      <c r="Q18">
        <v>77.352747582488021</v>
      </c>
      <c r="R18">
        <v>80.349731234370566</v>
      </c>
      <c r="S18">
        <v>83.519621077974662</v>
      </c>
      <c r="T18">
        <v>86.843144632941559</v>
      </c>
      <c r="U18">
        <v>90.364817157746444</v>
      </c>
      <c r="V18">
        <v>93.939262813162884</v>
      </c>
      <c r="W18">
        <v>97.528552259360964</v>
      </c>
      <c r="X18">
        <v>101.23115875416781</v>
      </c>
      <c r="Y18">
        <v>104.87987613135023</v>
      </c>
      <c r="Z18">
        <v>108.6648229204861</v>
      </c>
      <c r="AA18">
        <v>112.63334518735755</v>
      </c>
      <c r="AB18">
        <v>116.80074437726967</v>
      </c>
      <c r="AC18">
        <v>121.178439027122</v>
      </c>
      <c r="AD18">
        <v>125.48184405098377</v>
      </c>
      <c r="AE18">
        <v>129.99924706806141</v>
      </c>
      <c r="AF18">
        <v>134.84145120004627</v>
      </c>
      <c r="AG18">
        <v>139.97069452145854</v>
      </c>
      <c r="AH18">
        <v>145.02555292494466</v>
      </c>
      <c r="AI18">
        <v>149.98528654186649</v>
      </c>
      <c r="AJ18">
        <v>154.82891886271503</v>
      </c>
      <c r="AK18">
        <v>159.53536840423607</v>
      </c>
      <c r="AL18">
        <v>164.08359704192165</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6" t="s">
        <v>577</v>
      </c>
      <c r="B19">
        <v>260.25</v>
      </c>
      <c r="C19">
        <v>248.16</v>
      </c>
      <c r="D19">
        <v>251.28962949003738</v>
      </c>
      <c r="E19">
        <v>256.59374426527012</v>
      </c>
      <c r="F19">
        <v>257.04223311889973</v>
      </c>
      <c r="G19">
        <v>259.66596337614612</v>
      </c>
      <c r="H19">
        <v>262.46517546472933</v>
      </c>
      <c r="I19">
        <v>266.60245130882288</v>
      </c>
      <c r="J19">
        <v>271.2797333650289</v>
      </c>
      <c r="K19">
        <v>276.40159402505213</v>
      </c>
      <c r="L19">
        <v>282.85543386033504</v>
      </c>
      <c r="M19">
        <v>290.70911594610016</v>
      </c>
      <c r="N19">
        <v>300.00739029163185</v>
      </c>
      <c r="O19">
        <v>309.72307469825057</v>
      </c>
      <c r="P19">
        <v>320.29326365517778</v>
      </c>
      <c r="Q19">
        <v>332.14077806207735</v>
      </c>
      <c r="R19">
        <v>345.00936402812971</v>
      </c>
      <c r="S19">
        <v>358.62038253659307</v>
      </c>
      <c r="T19">
        <v>372.89108052669593</v>
      </c>
      <c r="U19">
        <v>388.01259965853018</v>
      </c>
      <c r="V19">
        <v>403.36071848087181</v>
      </c>
      <c r="W19">
        <v>418.7725742534019</v>
      </c>
      <c r="X19">
        <v>434.6709959705027</v>
      </c>
      <c r="Y19">
        <v>450.33802612083645</v>
      </c>
      <c r="Z19">
        <v>466.59000437314808</v>
      </c>
      <c r="AA19">
        <v>483.63022743787826</v>
      </c>
      <c r="AB19">
        <v>501.52439736321446</v>
      </c>
      <c r="AC19">
        <v>520.32154358700711</v>
      </c>
      <c r="AD19">
        <v>538.79970160482628</v>
      </c>
      <c r="AE19">
        <v>558.19673402842727</v>
      </c>
      <c r="AF19">
        <v>578.98841238759348</v>
      </c>
      <c r="AG19">
        <v>601.01259279342662</v>
      </c>
      <c r="AH19">
        <v>622.71737582439937</v>
      </c>
      <c r="AI19">
        <v>644.01370768059326</v>
      </c>
      <c r="AJ19">
        <v>664.81151846265607</v>
      </c>
      <c r="AK19">
        <v>685.02028753015065</v>
      </c>
      <c r="AL19">
        <v>704.5496804184146</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6" t="s">
        <v>801</v>
      </c>
      <c r="B20">
        <v>7.29</v>
      </c>
      <c r="C20">
        <v>6.9</v>
      </c>
      <c r="D20">
        <v>7.0390063361474446</v>
      </c>
      <c r="E20">
        <v>7.1875826923873936</v>
      </c>
      <c r="F20">
        <v>7.2001455501893528</v>
      </c>
      <c r="G20">
        <v>7.2736402421214414</v>
      </c>
      <c r="H20">
        <v>7.3520504481762794</v>
      </c>
      <c r="I20">
        <v>7.4679418637514647</v>
      </c>
      <c r="J20">
        <v>7.59895967812127</v>
      </c>
      <c r="K20">
        <v>7.7424308182233617</v>
      </c>
      <c r="L20">
        <v>7.9232127294595296</v>
      </c>
      <c r="M20">
        <v>8.1432063602192901</v>
      </c>
      <c r="N20">
        <v>8.4036652266128566</v>
      </c>
      <c r="O20">
        <v>8.6758163863602178</v>
      </c>
      <c r="P20">
        <v>8.9719035237127613</v>
      </c>
      <c r="Q20">
        <v>9.3037704978772098</v>
      </c>
      <c r="R20">
        <v>9.6642392459752742</v>
      </c>
      <c r="S20">
        <v>10.045504663561051</v>
      </c>
      <c r="T20">
        <v>10.445248711007158</v>
      </c>
      <c r="U20">
        <v>10.86882555815825</v>
      </c>
      <c r="V20">
        <v>11.298749808743729</v>
      </c>
      <c r="W20">
        <v>11.730459428654369</v>
      </c>
      <c r="X20">
        <v>12.175798503842323</v>
      </c>
      <c r="Y20">
        <v>12.614655947822852</v>
      </c>
      <c r="Z20">
        <v>13.069898681576367</v>
      </c>
      <c r="AA20">
        <v>13.547221356473131</v>
      </c>
      <c r="AB20">
        <v>14.048464387234709</v>
      </c>
      <c r="AC20">
        <v>14.575001163301753</v>
      </c>
      <c r="AD20">
        <v>15.092602592504068</v>
      </c>
      <c r="AE20">
        <v>15.635943097280441</v>
      </c>
      <c r="AF20">
        <v>16.21834976486285</v>
      </c>
      <c r="AG20">
        <v>16.835280697268317</v>
      </c>
      <c r="AH20">
        <v>17.443264821363577</v>
      </c>
      <c r="AI20">
        <v>18.039807604194138</v>
      </c>
      <c r="AJ20">
        <v>18.622386050308403</v>
      </c>
      <c r="AK20">
        <v>19.188464538308544</v>
      </c>
      <c r="AL20">
        <v>19.735512661864522</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6" t="s">
        <v>512</v>
      </c>
      <c r="B21">
        <v>46.32</v>
      </c>
      <c r="C21">
        <v>29.1</v>
      </c>
      <c r="D21">
        <v>44.725208983587052</v>
      </c>
      <c r="E21">
        <v>45.669249699778334</v>
      </c>
      <c r="F21">
        <v>45.74907296087391</v>
      </c>
      <c r="G21">
        <v>46.216051579569985</v>
      </c>
      <c r="H21">
        <v>46.71426292997603</v>
      </c>
      <c r="I21">
        <v>47.450626492313837</v>
      </c>
      <c r="J21">
        <v>48.283101823124447</v>
      </c>
      <c r="K21">
        <v>49.194704458176425</v>
      </c>
      <c r="L21">
        <v>50.343376355084416</v>
      </c>
      <c r="M21">
        <v>51.741195967813098</v>
      </c>
      <c r="N21">
        <v>53.396128024239715</v>
      </c>
      <c r="O21">
        <v>55.125351854074793</v>
      </c>
      <c r="P21">
        <v>57.00666271856997</v>
      </c>
      <c r="Q21">
        <v>59.1153154268412</v>
      </c>
      <c r="R21">
        <v>61.405701217225612</v>
      </c>
      <c r="S21">
        <v>63.828227162708892</v>
      </c>
      <c r="T21">
        <v>66.368164649362356</v>
      </c>
      <c r="U21">
        <v>69.059533587639251</v>
      </c>
      <c r="V21">
        <v>71.791233352676201</v>
      </c>
      <c r="W21">
        <v>74.534277192766851</v>
      </c>
      <c r="X21">
        <v>77.363921357747103</v>
      </c>
      <c r="Y21">
        <v>80.152381824849726</v>
      </c>
      <c r="Z21">
        <v>83.04495293972802</v>
      </c>
      <c r="AA21">
        <v>86.077818001623513</v>
      </c>
      <c r="AB21">
        <v>89.262670839055104</v>
      </c>
      <c r="AC21">
        <v>92.60823784418892</v>
      </c>
      <c r="AD21">
        <v>95.897030464305686</v>
      </c>
      <c r="AE21">
        <v>99.349366840333332</v>
      </c>
      <c r="AF21">
        <v>103.04992607797629</v>
      </c>
      <c r="AG21">
        <v>106.96984936865135</v>
      </c>
      <c r="AH21">
        <v>110.83292544932249</v>
      </c>
      <c r="AI21">
        <v>114.6233042834393</v>
      </c>
      <c r="AJ21">
        <v>118.32495498632171</v>
      </c>
      <c r="AK21">
        <v>121.92176644917033</v>
      </c>
      <c r="AL21">
        <v>125.3976606992544</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6" t="s">
        <v>581</v>
      </c>
      <c r="B22">
        <v>113.16</v>
      </c>
      <c r="C22">
        <v>108.36</v>
      </c>
      <c r="D22">
        <v>107.78666666482698</v>
      </c>
      <c r="E22">
        <v>107.34279569525077</v>
      </c>
      <c r="F22">
        <v>107.87913977939523</v>
      </c>
      <c r="G22">
        <v>108.69290321835018</v>
      </c>
      <c r="H22">
        <v>110.17247310884716</v>
      </c>
      <c r="I22">
        <v>109.41419353718287</v>
      </c>
      <c r="J22">
        <v>109.1182795568741</v>
      </c>
      <c r="K22">
        <v>109.89505374846721</v>
      </c>
      <c r="L22">
        <v>110.50537632716949</v>
      </c>
      <c r="M22">
        <v>111.2266666477782</v>
      </c>
      <c r="N22">
        <v>110.72731180731216</v>
      </c>
      <c r="O22">
        <v>110.61634406354978</v>
      </c>
      <c r="P22">
        <v>109.19225804050805</v>
      </c>
      <c r="Q22">
        <v>108.76688169467332</v>
      </c>
      <c r="R22">
        <v>106.7509677148409</v>
      </c>
      <c r="S22">
        <v>104.7535483586943</v>
      </c>
      <c r="T22">
        <v>103.66236556146104</v>
      </c>
      <c r="U22">
        <v>101.60946233443462</v>
      </c>
      <c r="V22">
        <v>99.556559107445565</v>
      </c>
      <c r="W22">
        <v>97.46666663319553</v>
      </c>
      <c r="X22">
        <v>96.375483836042577</v>
      </c>
      <c r="Y22">
        <v>95.302795662559433</v>
      </c>
      <c r="Z22">
        <v>94.230107489097094</v>
      </c>
      <c r="AA22">
        <v>93.175913939303939</v>
      </c>
      <c r="AB22">
        <v>92.103225765883934</v>
      </c>
      <c r="AC22">
        <v>91.049032216132872</v>
      </c>
      <c r="AD22">
        <v>89.994838666403226</v>
      </c>
      <c r="AE22">
        <v>88.922150493048619</v>
      </c>
      <c r="AF22">
        <v>87.867956943362572</v>
      </c>
      <c r="AG22">
        <v>86.813763393698707</v>
      </c>
      <c r="AH22">
        <v>85.771998232974326</v>
      </c>
      <c r="AI22">
        <v>84.742734254178629</v>
      </c>
      <c r="AJ22">
        <v>83.725821443128481</v>
      </c>
      <c r="AK22">
        <v>82.721111585810945</v>
      </c>
      <c r="AL22">
        <v>81.728458246781216</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6" t="s">
        <v>698</v>
      </c>
      <c r="B23">
        <v>97.69</v>
      </c>
      <c r="C23">
        <v>74.06</v>
      </c>
      <c r="D23">
        <v>94.326547184944275</v>
      </c>
      <c r="E23">
        <v>96.317551881937504</v>
      </c>
      <c r="F23">
        <v>96.485901069684203</v>
      </c>
      <c r="G23">
        <v>97.470770267879786</v>
      </c>
      <c r="H23">
        <v>98.521510052447283</v>
      </c>
      <c r="I23">
        <v>100.07451861040886</v>
      </c>
      <c r="J23">
        <v>101.83022921202563</v>
      </c>
      <c r="K23">
        <v>103.75282121155557</v>
      </c>
      <c r="L23">
        <v>106.17539801658455</v>
      </c>
      <c r="M23">
        <v>109.12343337857645</v>
      </c>
      <c r="N23">
        <v>112.61372510120849</v>
      </c>
      <c r="O23">
        <v>116.26069997030584</v>
      </c>
      <c r="P23">
        <v>120.22843007290803</v>
      </c>
      <c r="Q23">
        <v>124.67562962107333</v>
      </c>
      <c r="R23">
        <v>129.50610863365219</v>
      </c>
      <c r="S23">
        <v>134.61527442843331</v>
      </c>
      <c r="T23">
        <v>139.97206400250883</v>
      </c>
      <c r="U23">
        <v>145.64822616961308</v>
      </c>
      <c r="V23">
        <v>151.40944702553838</v>
      </c>
      <c r="W23">
        <v>157.19459281004737</v>
      </c>
      <c r="X23">
        <v>163.16238077371145</v>
      </c>
      <c r="Y23">
        <v>169.04331132274547</v>
      </c>
      <c r="Z23">
        <v>175.14381374529427</v>
      </c>
      <c r="AA23">
        <v>181.54019949435667</v>
      </c>
      <c r="AB23">
        <v>188.25713113703137</v>
      </c>
      <c r="AC23">
        <v>195.31301284539754</v>
      </c>
      <c r="AD23">
        <v>202.24915600297973</v>
      </c>
      <c r="AE23">
        <v>209.53021689620385</v>
      </c>
      <c r="AF23">
        <v>217.33478580650913</v>
      </c>
      <c r="AG23">
        <v>225.60199880879858</v>
      </c>
      <c r="AH23">
        <v>233.7493196706458</v>
      </c>
      <c r="AI23">
        <v>241.74332028171813</v>
      </c>
      <c r="AJ23">
        <v>249.55019111860466</v>
      </c>
      <c r="AK23">
        <v>257.13595346328691</v>
      </c>
      <c r="AL23">
        <v>264.46669848251645</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6" t="s">
        <v>692</v>
      </c>
      <c r="B24">
        <v>2.4900000000000002</v>
      </c>
      <c r="C24">
        <v>2.36</v>
      </c>
      <c r="D24">
        <v>2.4042696539104442</v>
      </c>
      <c r="E24">
        <v>2.4550179566590691</v>
      </c>
      <c r="F24">
        <v>2.459308973932989</v>
      </c>
      <c r="G24">
        <v>2.4844120991608221</v>
      </c>
      <c r="H24">
        <v>2.5111941860025979</v>
      </c>
      <c r="I24">
        <v>2.5507784966723115</v>
      </c>
      <c r="J24">
        <v>2.5955294373829858</v>
      </c>
      <c r="K24">
        <v>2.6445339831791732</v>
      </c>
      <c r="L24">
        <v>2.7062825372228025</v>
      </c>
      <c r="M24">
        <v>2.7814243946428032</v>
      </c>
      <c r="N24">
        <v>2.8703877111476017</v>
      </c>
      <c r="O24">
        <v>2.9633446916374409</v>
      </c>
      <c r="P24">
        <v>3.0644773352599146</v>
      </c>
      <c r="Q24">
        <v>3.1778310754066195</v>
      </c>
      <c r="R24">
        <v>3.3009541457446416</v>
      </c>
      <c r="S24">
        <v>3.431180605249248</v>
      </c>
      <c r="T24">
        <v>3.5677186955291949</v>
      </c>
      <c r="U24">
        <v>3.7123972071075513</v>
      </c>
      <c r="V24">
        <v>3.8592437618342785</v>
      </c>
      <c r="W24">
        <v>4.0067001340671311</v>
      </c>
      <c r="X24">
        <v>4.1588118346457321</v>
      </c>
      <c r="Y24">
        <v>4.3087096447296167</v>
      </c>
      <c r="Z24">
        <v>4.4642040764232043</v>
      </c>
      <c r="AA24">
        <v>4.6272402164085191</v>
      </c>
      <c r="AB24">
        <v>4.7984466837056834</v>
      </c>
      <c r="AC24">
        <v>4.9782925784117102</v>
      </c>
      <c r="AD24">
        <v>5.1550864822133242</v>
      </c>
      <c r="AE24">
        <v>5.340671922116365</v>
      </c>
      <c r="AF24">
        <v>5.5396009484922493</v>
      </c>
      <c r="AG24">
        <v>5.7503222134702492</v>
      </c>
      <c r="AH24">
        <v>5.9579875727291247</v>
      </c>
      <c r="AI24">
        <v>6.1617449841486156</v>
      </c>
      <c r="AJ24">
        <v>6.3607326838501965</v>
      </c>
      <c r="AK24">
        <v>6.5540845953893383</v>
      </c>
      <c r="AL24">
        <v>6.740936423599817</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6" t="s">
        <v>700</v>
      </c>
      <c r="B25">
        <v>0.28999999999999998</v>
      </c>
      <c r="C25">
        <v>0.28999999999999998</v>
      </c>
      <c r="D25">
        <v>0.28001534121848543</v>
      </c>
      <c r="E25">
        <v>0.2859257861169196</v>
      </c>
      <c r="F25">
        <v>0.28642554314882196</v>
      </c>
      <c r="G25">
        <v>0.28934920030387079</v>
      </c>
      <c r="H25">
        <v>0.29246839917299322</v>
      </c>
      <c r="I25">
        <v>0.29707862009436553</v>
      </c>
      <c r="J25">
        <v>0.30229057704460466</v>
      </c>
      <c r="K25">
        <v>0.30799793378391971</v>
      </c>
      <c r="L25">
        <v>0.31518953244763559</v>
      </c>
      <c r="M25">
        <v>0.32394099375357938</v>
      </c>
      <c r="N25">
        <v>0.33430218322602584</v>
      </c>
      <c r="O25">
        <v>0.34512849822283442</v>
      </c>
      <c r="P25">
        <v>0.35690699888569277</v>
      </c>
      <c r="Q25">
        <v>0.37010884010759815</v>
      </c>
      <c r="R25">
        <v>0.38444847480560074</v>
      </c>
      <c r="S25">
        <v>0.39961541185633803</v>
      </c>
      <c r="T25">
        <v>0.41551743843512701</v>
      </c>
      <c r="U25">
        <v>0.43236754620931306</v>
      </c>
      <c r="V25">
        <v>0.4494701570007793</v>
      </c>
      <c r="W25">
        <v>0.46664379071464568</v>
      </c>
      <c r="X25">
        <v>0.48435961126396071</v>
      </c>
      <c r="Y25">
        <v>0.50181758914521635</v>
      </c>
      <c r="Z25">
        <v>0.51992738239467018</v>
      </c>
      <c r="AA25">
        <v>0.53891552721223701</v>
      </c>
      <c r="AB25">
        <v>0.55885523625487865</v>
      </c>
      <c r="AC25">
        <v>0.57980114367044</v>
      </c>
      <c r="AD25">
        <v>0.60039159833006572</v>
      </c>
      <c r="AE25">
        <v>0.6220059668328296</v>
      </c>
      <c r="AF25">
        <v>0.64517440765572365</v>
      </c>
      <c r="AG25">
        <v>0.66971624172946653</v>
      </c>
      <c r="AH25">
        <v>0.6939021671049983</v>
      </c>
      <c r="AI25">
        <v>0.71763294996108362</v>
      </c>
      <c r="AJ25">
        <v>0.74080822422351666</v>
      </c>
      <c r="AK25">
        <v>0.76332712155136861</v>
      </c>
      <c r="AL25">
        <v>0.7850889810618259</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6" t="s">
        <v>701</v>
      </c>
      <c r="B26">
        <v>0.08</v>
      </c>
      <c r="C26">
        <v>0.08</v>
      </c>
      <c r="D26">
        <v>7.7245611370616668E-2</v>
      </c>
      <c r="E26">
        <v>7.8876078928805424E-2</v>
      </c>
      <c r="F26">
        <v>7.9013942937606066E-2</v>
      </c>
      <c r="G26">
        <v>7.9820469049343673E-2</v>
      </c>
      <c r="H26">
        <v>8.0680937702894695E-2</v>
      </c>
      <c r="I26">
        <v>8.1952722784652571E-2</v>
      </c>
      <c r="J26">
        <v>8.3390504012304745E-2</v>
      </c>
      <c r="K26">
        <v>8.4964947250736486E-2</v>
      </c>
      <c r="L26">
        <v>8.6948836537278779E-2</v>
      </c>
      <c r="M26">
        <v>8.9363032759608121E-2</v>
      </c>
      <c r="N26">
        <v>9.2221291924420926E-2</v>
      </c>
      <c r="O26">
        <v>9.5207861578712943E-2</v>
      </c>
      <c r="P26">
        <v>9.8457103140880783E-2</v>
      </c>
      <c r="Q26">
        <v>0.10209899037450984</v>
      </c>
      <c r="R26">
        <v>0.10605475167051057</v>
      </c>
      <c r="S26">
        <v>0.11023873430519671</v>
      </c>
      <c r="T26">
        <v>0.11462550025796608</v>
      </c>
      <c r="U26">
        <v>0.119273805850845</v>
      </c>
      <c r="V26">
        <v>0.12399176744849086</v>
      </c>
      <c r="W26">
        <v>0.12872932157645398</v>
      </c>
      <c r="X26">
        <v>0.13361644448660986</v>
      </c>
      <c r="Y26">
        <v>0.13843243838488728</v>
      </c>
      <c r="Z26">
        <v>0.14342824341921939</v>
      </c>
      <c r="AA26">
        <v>0.14866635233441022</v>
      </c>
      <c r="AB26">
        <v>0.15416696172548378</v>
      </c>
      <c r="AC26">
        <v>0.15994514308150071</v>
      </c>
      <c r="AD26">
        <v>0.16562526850484574</v>
      </c>
      <c r="AE26">
        <v>0.17158785291940126</v>
      </c>
      <c r="AF26">
        <v>0.17797914693951</v>
      </c>
      <c r="AG26">
        <v>0.18474930806330114</v>
      </c>
      <c r="AH26">
        <v>0.19142128747724094</v>
      </c>
      <c r="AI26">
        <v>0.19796771033409205</v>
      </c>
      <c r="AJ26">
        <v>0.20436088944097014</v>
      </c>
      <c r="AK26">
        <v>0.21057299904865343</v>
      </c>
      <c r="AL26">
        <v>0.21657627063774509</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6"/>
    </row>
    <row r="28" spans="1:53">
      <c r="A28" s="26"/>
    </row>
    <row r="42" spans="1:82">
      <c r="A42" s="113"/>
      <c r="B42" s="113"/>
      <c r="C42" s="113"/>
      <c r="D42" s="113"/>
      <c r="E42" s="113"/>
      <c r="F42" s="113"/>
      <c r="G42" s="113"/>
      <c r="H42" s="113"/>
      <c r="I42" s="113"/>
    </row>
    <row r="43" spans="1:82">
      <c r="A43" s="26" t="s">
        <v>550</v>
      </c>
      <c r="B43" s="26" t="s">
        <v>538</v>
      </c>
      <c r="C43" s="26" t="s">
        <v>551</v>
      </c>
      <c r="D43" s="26" t="s">
        <v>552</v>
      </c>
      <c r="E43" s="26" t="s">
        <v>553</v>
      </c>
      <c r="F43" s="26" t="s">
        <v>554</v>
      </c>
      <c r="G43" s="26" t="s">
        <v>539</v>
      </c>
      <c r="H43" s="26" t="s">
        <v>555</v>
      </c>
      <c r="I43" s="26" t="s">
        <v>556</v>
      </c>
      <c r="J43" s="26" t="s">
        <v>557</v>
      </c>
      <c r="K43" s="26" t="s">
        <v>558</v>
      </c>
      <c r="L43" s="26" t="s">
        <v>540</v>
      </c>
      <c r="M43" s="26" t="s">
        <v>559</v>
      </c>
      <c r="N43" s="26" t="s">
        <v>560</v>
      </c>
      <c r="O43" s="26" t="s">
        <v>561</v>
      </c>
      <c r="P43" s="26" t="s">
        <v>562</v>
      </c>
      <c r="Q43" s="26" t="s">
        <v>541</v>
      </c>
      <c r="R43" s="26" t="s">
        <v>563</v>
      </c>
      <c r="S43" s="26" t="s">
        <v>564</v>
      </c>
      <c r="T43" s="26" t="s">
        <v>565</v>
      </c>
      <c r="U43" s="26" t="s">
        <v>566</v>
      </c>
      <c r="V43" s="26" t="s">
        <v>542</v>
      </c>
      <c r="W43" s="26" t="s">
        <v>567</v>
      </c>
      <c r="X43" s="26" t="s">
        <v>568</v>
      </c>
      <c r="Y43" s="26" t="s">
        <v>569</v>
      </c>
      <c r="Z43" s="26" t="s">
        <v>570</v>
      </c>
      <c r="AA43" s="26" t="s">
        <v>543</v>
      </c>
      <c r="AB43" s="26" t="s">
        <v>571</v>
      </c>
      <c r="AC43" s="26" t="s">
        <v>572</v>
      </c>
      <c r="AD43" s="26" t="s">
        <v>573</v>
      </c>
      <c r="AE43" s="26" t="s">
        <v>574</v>
      </c>
      <c r="AF43" s="26" t="s">
        <v>544</v>
      </c>
      <c r="AG43" s="26" t="s">
        <v>702</v>
      </c>
      <c r="AH43" s="26" t="s">
        <v>703</v>
      </c>
      <c r="AI43" s="26" t="s">
        <v>704</v>
      </c>
      <c r="AJ43" s="26" t="s">
        <v>705</v>
      </c>
      <c r="AK43" s="26" t="s">
        <v>706</v>
      </c>
      <c r="AL43" s="26" t="s">
        <v>707</v>
      </c>
      <c r="AM43" s="26" t="s">
        <v>708</v>
      </c>
      <c r="AN43" s="26" t="s">
        <v>709</v>
      </c>
      <c r="AO43" s="26" t="s">
        <v>710</v>
      </c>
      <c r="AP43" s="26" t="s">
        <v>711</v>
      </c>
      <c r="AQ43" s="26" t="s">
        <v>712</v>
      </c>
      <c r="AR43" s="26" t="s">
        <v>713</v>
      </c>
      <c r="AS43" s="26" t="s">
        <v>714</v>
      </c>
      <c r="AT43" s="26" t="s">
        <v>715</v>
      </c>
      <c r="AU43" s="26" t="s">
        <v>716</v>
      </c>
      <c r="AV43" s="26" t="s">
        <v>717</v>
      </c>
      <c r="AW43" s="26" t="s">
        <v>718</v>
      </c>
      <c r="AX43" s="26" t="s">
        <v>719</v>
      </c>
      <c r="AY43" s="26" t="s">
        <v>720</v>
      </c>
      <c r="AZ43" s="26" t="s">
        <v>721</v>
      </c>
      <c r="BA43" s="26"/>
      <c r="BB43" s="26"/>
      <c r="BC43" s="26"/>
      <c r="BD43" s="26"/>
      <c r="BE43" s="26"/>
      <c r="BF43" s="26"/>
      <c r="BG43" s="26"/>
      <c r="BH43" s="26"/>
      <c r="BI43" s="26"/>
      <c r="BJ43" s="26"/>
      <c r="BK43" s="26"/>
      <c r="BL43" s="26"/>
      <c r="BM43" s="26"/>
      <c r="BN43" s="26"/>
      <c r="BO43" s="26"/>
      <c r="BP43" s="26"/>
      <c r="BQ43" s="26"/>
      <c r="BR43" s="26"/>
      <c r="BS43" s="26"/>
      <c r="BT43" s="26"/>
      <c r="BU43" s="26"/>
      <c r="BV43" s="26"/>
      <c r="BW43" s="26"/>
      <c r="BX43" s="26"/>
      <c r="BY43" s="26"/>
      <c r="BZ43" s="26"/>
      <c r="CA43" s="26"/>
      <c r="CB43" s="26"/>
      <c r="CC43" s="26"/>
      <c r="CD43" s="26"/>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row>
    <row r="61" spans="1:53">
      <c r="B61" s="26" t="s">
        <v>550</v>
      </c>
      <c r="C61" s="26" t="s">
        <v>538</v>
      </c>
      <c r="D61" s="26" t="s">
        <v>551</v>
      </c>
      <c r="E61" s="26" t="s">
        <v>552</v>
      </c>
      <c r="F61" s="26" t="s">
        <v>553</v>
      </c>
      <c r="G61" s="26" t="s">
        <v>554</v>
      </c>
      <c r="H61" s="26" t="s">
        <v>539</v>
      </c>
      <c r="I61" s="26" t="s">
        <v>555</v>
      </c>
      <c r="J61" s="26" t="s">
        <v>556</v>
      </c>
      <c r="K61" s="26" t="s">
        <v>557</v>
      </c>
      <c r="L61" s="26" t="s">
        <v>558</v>
      </c>
      <c r="M61" s="26" t="s">
        <v>540</v>
      </c>
      <c r="N61" s="26" t="s">
        <v>559</v>
      </c>
      <c r="O61" s="26" t="s">
        <v>560</v>
      </c>
      <c r="P61" s="26" t="s">
        <v>561</v>
      </c>
      <c r="Q61" s="26" t="s">
        <v>562</v>
      </c>
      <c r="R61" s="26" t="s">
        <v>541</v>
      </c>
      <c r="S61" s="26" t="s">
        <v>563</v>
      </c>
      <c r="T61" s="26" t="s">
        <v>564</v>
      </c>
      <c r="U61" s="26" t="s">
        <v>565</v>
      </c>
      <c r="V61" s="26" t="s">
        <v>566</v>
      </c>
      <c r="W61" s="26" t="s">
        <v>542</v>
      </c>
      <c r="X61" s="26" t="s">
        <v>567</v>
      </c>
      <c r="Y61" s="26" t="s">
        <v>568</v>
      </c>
      <c r="Z61" s="26" t="s">
        <v>569</v>
      </c>
      <c r="AA61" s="26" t="s">
        <v>570</v>
      </c>
      <c r="AB61" s="26" t="s">
        <v>543</v>
      </c>
      <c r="AC61" s="26" t="s">
        <v>571</v>
      </c>
      <c r="AD61" s="26" t="s">
        <v>572</v>
      </c>
      <c r="AE61" s="26" t="s">
        <v>573</v>
      </c>
      <c r="AF61" s="26" t="s">
        <v>574</v>
      </c>
      <c r="AG61" s="26" t="s">
        <v>544</v>
      </c>
      <c r="AH61" s="26" t="s">
        <v>702</v>
      </c>
      <c r="AI61" s="26" t="s">
        <v>703</v>
      </c>
      <c r="AJ61" s="26" t="s">
        <v>704</v>
      </c>
      <c r="AK61" s="26" t="s">
        <v>705</v>
      </c>
      <c r="AL61" s="26" t="s">
        <v>706</v>
      </c>
      <c r="AM61" s="26"/>
      <c r="AN61" s="26"/>
      <c r="AO61" s="26"/>
      <c r="AP61" s="26"/>
      <c r="AQ61" s="26"/>
      <c r="AR61" s="26"/>
      <c r="AS61" s="26"/>
      <c r="AT61" s="26"/>
      <c r="AU61" s="26"/>
      <c r="AV61" s="26"/>
      <c r="AW61" s="26"/>
      <c r="AX61" s="26"/>
      <c r="AY61" s="26"/>
      <c r="AZ61" s="26"/>
      <c r="BA61" s="26"/>
    </row>
    <row r="62" spans="1:53">
      <c r="A62" s="26" t="s">
        <v>259</v>
      </c>
      <c r="B62">
        <v>0.44456066945606693</v>
      </c>
      <c r="C62">
        <v>0.45521601685985247</v>
      </c>
      <c r="D62">
        <v>0.46227119237511022</v>
      </c>
      <c r="E62">
        <v>0.45384023967034137</v>
      </c>
      <c r="F62">
        <v>0.4530506193635141</v>
      </c>
      <c r="G62">
        <v>0.4492123756297739</v>
      </c>
      <c r="H62">
        <v>0.44506077484649087</v>
      </c>
      <c r="I62">
        <v>0.44048019500661473</v>
      </c>
      <c r="J62">
        <v>0.43534996792463587</v>
      </c>
      <c r="K62">
        <v>0.42993618539113665</v>
      </c>
      <c r="L62">
        <v>0.42371952259311868</v>
      </c>
      <c r="M62">
        <v>0.41657241965867214</v>
      </c>
      <c r="N62">
        <v>0.40909885956028302</v>
      </c>
      <c r="O62">
        <v>0.40185565007277846</v>
      </c>
      <c r="P62">
        <v>0.39482416004663062</v>
      </c>
      <c r="Q62">
        <v>0.38744915622957621</v>
      </c>
      <c r="R62">
        <v>0.3800592435396562</v>
      </c>
      <c r="S62">
        <v>0.37316446554873905</v>
      </c>
      <c r="T62">
        <v>0.36622575390923512</v>
      </c>
      <c r="U62">
        <v>0.35954615135165829</v>
      </c>
      <c r="V62">
        <v>0.35352413753940537</v>
      </c>
      <c r="W62">
        <v>0.34790997115201444</v>
      </c>
      <c r="X62">
        <v>0.33949990116716933</v>
      </c>
      <c r="Y62">
        <v>0.3328157209201148</v>
      </c>
      <c r="Z62">
        <v>0.32616627660377695</v>
      </c>
      <c r="AA62">
        <v>0.31958465249744172</v>
      </c>
      <c r="AB62">
        <v>0.31298090329354977</v>
      </c>
      <c r="AC62">
        <v>0.3062893112729288</v>
      </c>
      <c r="AD62">
        <v>0.29955436432955906</v>
      </c>
      <c r="AE62">
        <v>0.29273345912335991</v>
      </c>
      <c r="AF62">
        <v>0.28584772379130463</v>
      </c>
      <c r="AG62">
        <v>0.27905600345837911</v>
      </c>
      <c r="AH62" s="17">
        <v>0.27256224487218716</v>
      </c>
      <c r="AI62" s="17">
        <v>0.2658185620351361</v>
      </c>
      <c r="AJ62" s="17">
        <v>0.25905746841704591</v>
      </c>
      <c r="AK62" s="17">
        <v>0.252285229459698</v>
      </c>
      <c r="AL62" s="17">
        <v>0.24552291570350171</v>
      </c>
      <c r="AM62" s="17"/>
      <c r="AN62" s="17"/>
    </row>
    <row r="63" spans="1:53">
      <c r="A63" s="26" t="s">
        <v>260</v>
      </c>
      <c r="B63">
        <v>0.31485355648535562</v>
      </c>
      <c r="C63">
        <v>0.32560590094836672</v>
      </c>
      <c r="D63">
        <v>0.30936026689417673</v>
      </c>
      <c r="E63">
        <v>0.31355024567841444</v>
      </c>
      <c r="F63">
        <v>0.31388781690524703</v>
      </c>
      <c r="G63">
        <v>0.31543894410094331</v>
      </c>
      <c r="H63">
        <v>0.31721983743486931</v>
      </c>
      <c r="I63">
        <v>0.31883263902169873</v>
      </c>
      <c r="J63">
        <v>0.32078866718521404</v>
      </c>
      <c r="K63">
        <v>0.32280939346620441</v>
      </c>
      <c r="L63">
        <v>0.32497598023764895</v>
      </c>
      <c r="M63">
        <v>0.32775482993460558</v>
      </c>
      <c r="N63">
        <v>0.33022222974356419</v>
      </c>
      <c r="O63">
        <v>0.332708026046104</v>
      </c>
      <c r="P63">
        <v>0.33507942725265366</v>
      </c>
      <c r="Q63">
        <v>0.33755833542625679</v>
      </c>
      <c r="R63">
        <v>0.34023069208670387</v>
      </c>
      <c r="S63">
        <v>0.34209365651908852</v>
      </c>
      <c r="T63">
        <v>0.34372879918296723</v>
      </c>
      <c r="U63">
        <v>0.34562071119418153</v>
      </c>
      <c r="V63">
        <v>0.34714667279971562</v>
      </c>
      <c r="W63">
        <v>0.34858040550949743</v>
      </c>
      <c r="X63">
        <v>0.35270038692008504</v>
      </c>
      <c r="Y63">
        <v>0.35545402987661523</v>
      </c>
      <c r="Z63">
        <v>0.35829684379142396</v>
      </c>
      <c r="AA63">
        <v>0.36115445831596726</v>
      </c>
      <c r="AB63">
        <v>0.36410706909886797</v>
      </c>
      <c r="AC63">
        <v>0.36699187756046936</v>
      </c>
      <c r="AD63">
        <v>0.37022436051526397</v>
      </c>
      <c r="AE63">
        <v>0.37358485092968469</v>
      </c>
      <c r="AF63">
        <v>0.37697190484087623</v>
      </c>
      <c r="AG63">
        <v>0.38027781250126996</v>
      </c>
      <c r="AH63" s="17">
        <v>0.38282157629276181</v>
      </c>
      <c r="AI63" s="17">
        <v>0.38601940369852006</v>
      </c>
      <c r="AJ63" s="17">
        <v>0.38922258756347983</v>
      </c>
      <c r="AK63" s="17">
        <v>0.3924274370969103</v>
      </c>
      <c r="AL63" s="17">
        <v>0.39561454073212232</v>
      </c>
      <c r="AM63" s="17"/>
      <c r="AN63" s="17"/>
    </row>
    <row r="64" spans="1:53">
      <c r="A64" s="26" t="s">
        <v>261</v>
      </c>
      <c r="B64">
        <v>0.24058577405857742</v>
      </c>
      <c r="C64">
        <v>0.21917808219178081</v>
      </c>
      <c r="D64">
        <v>0.22836854073071305</v>
      </c>
      <c r="E64">
        <v>0.23260951465124413</v>
      </c>
      <c r="F64">
        <v>0.23306156373123887</v>
      </c>
      <c r="G64">
        <v>0.23534868026928282</v>
      </c>
      <c r="H64">
        <v>0.23771938771863979</v>
      </c>
      <c r="I64">
        <v>0.2406871659716866</v>
      </c>
      <c r="J64">
        <v>0.24386136489015012</v>
      </c>
      <c r="K64">
        <v>0.24725442114265897</v>
      </c>
      <c r="L64">
        <v>0.25130449716923237</v>
      </c>
      <c r="M64">
        <v>0.25567275040672227</v>
      </c>
      <c r="N64">
        <v>0.26067891069615279</v>
      </c>
      <c r="O64">
        <v>0.2654363238811176</v>
      </c>
      <c r="P64">
        <v>0.27009641270071577</v>
      </c>
      <c r="Q64">
        <v>0.274992508344167</v>
      </c>
      <c r="R64">
        <v>0.27971006437363993</v>
      </c>
      <c r="S64">
        <v>0.28474187793217243</v>
      </c>
      <c r="T64">
        <v>0.29004544690779771</v>
      </c>
      <c r="U64">
        <v>0.29483313745416012</v>
      </c>
      <c r="V64">
        <v>0.29932918966087896</v>
      </c>
      <c r="W64">
        <v>0.30350962333848813</v>
      </c>
      <c r="X64">
        <v>0.30779971191274563</v>
      </c>
      <c r="Y64">
        <v>0.31173024920326997</v>
      </c>
      <c r="Z64">
        <v>0.31553687960479909</v>
      </c>
      <c r="AA64">
        <v>0.31926088918659101</v>
      </c>
      <c r="AB64">
        <v>0.32291202760758225</v>
      </c>
      <c r="AC64">
        <v>0.32671881116660184</v>
      </c>
      <c r="AD64">
        <v>0.33022127515517696</v>
      </c>
      <c r="AE64">
        <v>0.33368168994695541</v>
      </c>
      <c r="AF64">
        <v>0.33718037136781914</v>
      </c>
      <c r="AG64">
        <v>0.34066618404035093</v>
      </c>
      <c r="AH64" s="17">
        <v>0.34461617883505102</v>
      </c>
      <c r="AI64" s="17">
        <v>0.34816203426634384</v>
      </c>
      <c r="AJ64" s="17">
        <v>0.35171994401947426</v>
      </c>
      <c r="AK64" s="17">
        <v>0.3552873334433917</v>
      </c>
      <c r="AL64" s="17">
        <v>0.35886254356437597</v>
      </c>
      <c r="AM64" s="17"/>
      <c r="AN64" s="17"/>
    </row>
    <row r="65" spans="1:52">
      <c r="A65" s="26"/>
    </row>
    <row r="66" spans="1:52">
      <c r="A66" s="26"/>
    </row>
    <row r="67" spans="1:52">
      <c r="A67" s="26"/>
    </row>
    <row r="71" spans="1:52">
      <c r="A71" s="26" t="s">
        <v>550</v>
      </c>
      <c r="B71" s="26" t="s">
        <v>538</v>
      </c>
      <c r="C71" s="26" t="s">
        <v>551</v>
      </c>
      <c r="D71" s="26" t="s">
        <v>552</v>
      </c>
      <c r="E71" s="26" t="s">
        <v>553</v>
      </c>
      <c r="F71" s="26" t="s">
        <v>554</v>
      </c>
      <c r="G71" s="26" t="s">
        <v>539</v>
      </c>
      <c r="H71" s="26" t="s">
        <v>555</v>
      </c>
      <c r="I71" s="26" t="s">
        <v>556</v>
      </c>
      <c r="J71" s="26" t="s">
        <v>557</v>
      </c>
      <c r="K71" s="26" t="s">
        <v>558</v>
      </c>
      <c r="L71" s="26" t="s">
        <v>540</v>
      </c>
      <c r="M71" s="26" t="s">
        <v>559</v>
      </c>
      <c r="N71" s="26" t="s">
        <v>560</v>
      </c>
      <c r="O71" s="26" t="s">
        <v>561</v>
      </c>
      <c r="P71" s="26" t="s">
        <v>562</v>
      </c>
      <c r="Q71" s="26" t="s">
        <v>541</v>
      </c>
      <c r="R71" s="26" t="s">
        <v>563</v>
      </c>
      <c r="S71" s="26" t="s">
        <v>564</v>
      </c>
      <c r="T71" s="26" t="s">
        <v>565</v>
      </c>
      <c r="U71" s="26" t="s">
        <v>566</v>
      </c>
      <c r="V71" s="26" t="s">
        <v>542</v>
      </c>
      <c r="W71" s="26" t="s">
        <v>567</v>
      </c>
      <c r="X71" s="26" t="s">
        <v>568</v>
      </c>
      <c r="Y71" s="26" t="s">
        <v>569</v>
      </c>
      <c r="Z71" s="26" t="s">
        <v>570</v>
      </c>
      <c r="AA71" s="26" t="s">
        <v>543</v>
      </c>
      <c r="AB71" s="26" t="s">
        <v>571</v>
      </c>
      <c r="AC71" s="26" t="s">
        <v>572</v>
      </c>
      <c r="AD71" s="26" t="s">
        <v>573</v>
      </c>
      <c r="AE71" s="26" t="s">
        <v>574</v>
      </c>
      <c r="AF71" s="26" t="s">
        <v>544</v>
      </c>
      <c r="AG71" s="26" t="s">
        <v>702</v>
      </c>
      <c r="AH71" s="26" t="s">
        <v>703</v>
      </c>
      <c r="AI71" s="26" t="s">
        <v>704</v>
      </c>
      <c r="AJ71" s="26" t="s">
        <v>705</v>
      </c>
      <c r="AK71" s="26" t="s">
        <v>706</v>
      </c>
      <c r="AL71" s="26"/>
      <c r="AM71" s="26"/>
      <c r="AN71" s="26"/>
      <c r="AO71" s="26"/>
      <c r="AP71" s="26"/>
      <c r="AQ71" s="26"/>
      <c r="AR71" s="26"/>
      <c r="AS71" s="26"/>
      <c r="AT71" s="26"/>
      <c r="AU71" s="26"/>
      <c r="AV71" s="26"/>
      <c r="AW71" s="26"/>
      <c r="AX71" s="26"/>
      <c r="AY71" s="26"/>
      <c r="AZ71" s="26"/>
    </row>
    <row r="72" spans="1:52">
      <c r="A72">
        <v>0.32619999999999999</v>
      </c>
      <c r="B72">
        <v>0.2994</v>
      </c>
      <c r="C72">
        <v>0.31654664140483468</v>
      </c>
      <c r="D72">
        <v>0.3229769660124453</v>
      </c>
      <c r="E72">
        <v>0.32341725558949985</v>
      </c>
      <c r="F72">
        <v>0.32583348645578519</v>
      </c>
      <c r="G72">
        <v>0.32868412194131336</v>
      </c>
      <c r="H72">
        <v>0.33230162316533624</v>
      </c>
      <c r="I72">
        <v>0.33651148349830801</v>
      </c>
      <c r="J72">
        <v>0.34119089406864367</v>
      </c>
      <c r="K72">
        <v>0.36221879577366001</v>
      </c>
      <c r="L72">
        <v>0.37004385784560301</v>
      </c>
      <c r="M72">
        <v>0.37852012939101487</v>
      </c>
      <c r="N72">
        <v>0.3878734723924257</v>
      </c>
      <c r="O72">
        <v>0.39741278536009639</v>
      </c>
      <c r="P72">
        <v>0.40816256077414653</v>
      </c>
      <c r="Q72">
        <v>0.41948785970919228</v>
      </c>
      <c r="R72">
        <v>0.43088849431928106</v>
      </c>
      <c r="S72">
        <v>0.44353505886754657</v>
      </c>
      <c r="T72">
        <v>0.45796945182824422</v>
      </c>
      <c r="U72">
        <v>0.49299530640753597</v>
      </c>
      <c r="V72">
        <v>0.50697126094253331</v>
      </c>
      <c r="W72">
        <v>0.52141886766898637</v>
      </c>
      <c r="X72">
        <v>0.53536238342083242</v>
      </c>
      <c r="Y72">
        <v>0.54982306688002347</v>
      </c>
      <c r="Z72">
        <v>0.56494419301691312</v>
      </c>
      <c r="AA72">
        <v>0.58080477896828098</v>
      </c>
      <c r="AB72">
        <v>0.5973336654005954</v>
      </c>
      <c r="AC72">
        <v>0.61315517605582059</v>
      </c>
      <c r="AD72">
        <v>0.62969384765623759</v>
      </c>
      <c r="AE72">
        <v>0.64739092344815219</v>
      </c>
      <c r="AF72">
        <v>0.66610516650076956</v>
      </c>
      <c r="AG72" s="17">
        <v>0.68450380655855048</v>
      </c>
      <c r="AH72" s="17">
        <v>0.70243053660688781</v>
      </c>
      <c r="AI72" s="17">
        <v>0.71982098533620387</v>
      </c>
      <c r="AJ72" s="17">
        <v>0.73661130703682831</v>
      </c>
      <c r="AK72" s="17">
        <v>0.75273856178520915</v>
      </c>
      <c r="AL72" s="17"/>
      <c r="AM72" s="17"/>
    </row>
    <row r="82" spans="1:4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row>
    <row r="83" spans="1:46">
      <c r="A83" s="26"/>
    </row>
    <row r="84" spans="1:46">
      <c r="A84" s="26"/>
    </row>
    <row r="85" spans="1:46">
      <c r="A85" s="26"/>
    </row>
    <row r="92" spans="1:4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46">
      <c r="A93" s="26"/>
    </row>
    <row r="94" spans="1:46">
      <c r="A94" s="26"/>
    </row>
    <row r="95" spans="1:46">
      <c r="A95" s="26"/>
    </row>
    <row r="96" spans="1:46">
      <c r="A96" s="26"/>
    </row>
    <row r="97" spans="1:47">
      <c r="A97" s="26"/>
    </row>
    <row r="98" spans="1:47">
      <c r="A98" s="26"/>
    </row>
    <row r="99" spans="1:47">
      <c r="A99" s="26"/>
    </row>
    <row r="100" spans="1:47">
      <c r="A100" s="26"/>
    </row>
    <row r="101" spans="1:47">
      <c r="A101" s="26"/>
    </row>
    <row r="102" spans="1:47">
      <c r="C102" s="26" t="s">
        <v>550</v>
      </c>
      <c r="D102" s="26" t="s">
        <v>538</v>
      </c>
      <c r="E102" s="26" t="s">
        <v>551</v>
      </c>
      <c r="F102" s="26" t="s">
        <v>552</v>
      </c>
      <c r="G102" s="26" t="s">
        <v>553</v>
      </c>
      <c r="H102" s="26" t="s">
        <v>554</v>
      </c>
      <c r="I102" s="26" t="s">
        <v>539</v>
      </c>
      <c r="J102" s="26" t="s">
        <v>555</v>
      </c>
      <c r="K102" s="26" t="s">
        <v>556</v>
      </c>
      <c r="L102" s="26" t="s">
        <v>557</v>
      </c>
      <c r="M102" s="26" t="s">
        <v>558</v>
      </c>
      <c r="N102" s="26" t="s">
        <v>540</v>
      </c>
      <c r="O102" s="26" t="s">
        <v>559</v>
      </c>
      <c r="P102" s="26" t="s">
        <v>560</v>
      </c>
      <c r="Q102" s="26" t="s">
        <v>561</v>
      </c>
      <c r="R102" s="26" t="s">
        <v>562</v>
      </c>
      <c r="S102" s="26" t="s">
        <v>541</v>
      </c>
      <c r="T102" s="26" t="s">
        <v>563</v>
      </c>
      <c r="U102" s="26" t="s">
        <v>564</v>
      </c>
      <c r="V102" s="26" t="s">
        <v>565</v>
      </c>
      <c r="W102" s="26" t="s">
        <v>566</v>
      </c>
      <c r="X102" s="26" t="s">
        <v>542</v>
      </c>
      <c r="Y102" s="26" t="s">
        <v>567</v>
      </c>
      <c r="Z102" s="26" t="s">
        <v>568</v>
      </c>
      <c r="AA102" s="26" t="s">
        <v>569</v>
      </c>
      <c r="AB102" s="26" t="s">
        <v>570</v>
      </c>
      <c r="AC102" s="26" t="s">
        <v>543</v>
      </c>
      <c r="AD102" s="26" t="s">
        <v>571</v>
      </c>
      <c r="AE102" s="26" t="s">
        <v>572</v>
      </c>
      <c r="AF102" s="26" t="s">
        <v>573</v>
      </c>
      <c r="AG102" s="26" t="s">
        <v>574</v>
      </c>
      <c r="AH102" s="26" t="s">
        <v>544</v>
      </c>
      <c r="AI102" s="26" t="s">
        <v>702</v>
      </c>
      <c r="AJ102" s="26" t="s">
        <v>703</v>
      </c>
      <c r="AK102" s="26" t="s">
        <v>704</v>
      </c>
      <c r="AL102" s="26" t="s">
        <v>705</v>
      </c>
      <c r="AM102" s="26" t="s">
        <v>706</v>
      </c>
      <c r="AN102" s="26"/>
      <c r="AO102" s="26"/>
      <c r="AP102" s="26"/>
      <c r="AQ102" s="26"/>
      <c r="AR102" s="26"/>
      <c r="AS102" s="26"/>
      <c r="AT102" s="26"/>
      <c r="AU102" s="26"/>
    </row>
    <row r="103" spans="1:47">
      <c r="A103" s="26" t="s">
        <v>259</v>
      </c>
      <c r="B103" s="26" t="s">
        <v>513</v>
      </c>
      <c r="C103" t="s">
        <v>379</v>
      </c>
      <c r="D103" t="s">
        <v>379</v>
      </c>
      <c r="E103" t="s">
        <v>379</v>
      </c>
      <c r="F103" t="s">
        <v>379</v>
      </c>
      <c r="G103" t="s">
        <v>379</v>
      </c>
      <c r="H103" t="s">
        <v>379</v>
      </c>
      <c r="I103" t="s">
        <v>379</v>
      </c>
      <c r="J103" t="s">
        <v>379</v>
      </c>
      <c r="K103" t="s">
        <v>379</v>
      </c>
      <c r="L103" t="s">
        <v>379</v>
      </c>
      <c r="M103" t="s">
        <v>379</v>
      </c>
      <c r="N103" t="s">
        <v>379</v>
      </c>
      <c r="O103" t="s">
        <v>379</v>
      </c>
      <c r="P103" t="s">
        <v>379</v>
      </c>
      <c r="Q103" t="s">
        <v>379</v>
      </c>
      <c r="R103" t="s">
        <v>379</v>
      </c>
      <c r="S103" t="s">
        <v>379</v>
      </c>
      <c r="T103" t="s">
        <v>379</v>
      </c>
      <c r="U103" t="s">
        <v>379</v>
      </c>
      <c r="V103" t="s">
        <v>379</v>
      </c>
      <c r="W103" t="s">
        <v>379</v>
      </c>
      <c r="X103" t="s">
        <v>379</v>
      </c>
      <c r="Y103" t="s">
        <v>379</v>
      </c>
      <c r="Z103" t="s">
        <v>379</v>
      </c>
      <c r="AA103" t="s">
        <v>379</v>
      </c>
      <c r="AB103" t="s">
        <v>379</v>
      </c>
      <c r="AC103" t="s">
        <v>379</v>
      </c>
      <c r="AD103" t="s">
        <v>379</v>
      </c>
      <c r="AE103" t="s">
        <v>379</v>
      </c>
      <c r="AF103" t="s">
        <v>379</v>
      </c>
      <c r="AG103" t="s">
        <v>379</v>
      </c>
      <c r="AH103" t="s">
        <v>379</v>
      </c>
      <c r="AI103" t="s">
        <v>379</v>
      </c>
      <c r="AJ103" t="s">
        <v>379</v>
      </c>
      <c r="AK103" t="s">
        <v>379</v>
      </c>
      <c r="AL103" t="s">
        <v>379</v>
      </c>
      <c r="AM103" t="s">
        <v>379</v>
      </c>
    </row>
    <row r="104" spans="1:47">
      <c r="A104" s="26" t="s">
        <v>259</v>
      </c>
      <c r="B104" s="26" t="s">
        <v>514</v>
      </c>
      <c r="C104" t="s">
        <v>379</v>
      </c>
      <c r="D104" t="s">
        <v>379</v>
      </c>
      <c r="E104" t="s">
        <v>379</v>
      </c>
      <c r="F104" t="s">
        <v>379</v>
      </c>
      <c r="G104" t="s">
        <v>379</v>
      </c>
      <c r="H104" t="s">
        <v>379</v>
      </c>
      <c r="I104" t="s">
        <v>379</v>
      </c>
      <c r="J104" t="s">
        <v>379</v>
      </c>
      <c r="K104" t="s">
        <v>379</v>
      </c>
      <c r="L104" t="s">
        <v>379</v>
      </c>
      <c r="M104" t="s">
        <v>379</v>
      </c>
      <c r="N104" t="s">
        <v>379</v>
      </c>
      <c r="O104" t="s">
        <v>379</v>
      </c>
      <c r="P104" t="s">
        <v>379</v>
      </c>
      <c r="Q104" t="s">
        <v>379</v>
      </c>
      <c r="R104" t="s">
        <v>379</v>
      </c>
      <c r="S104" t="s">
        <v>379</v>
      </c>
      <c r="T104" t="s">
        <v>379</v>
      </c>
      <c r="U104" t="s">
        <v>379</v>
      </c>
      <c r="V104" t="s">
        <v>379</v>
      </c>
      <c r="W104" t="s">
        <v>379</v>
      </c>
      <c r="X104" t="s">
        <v>379</v>
      </c>
      <c r="Y104" t="s">
        <v>379</v>
      </c>
      <c r="Z104" t="s">
        <v>379</v>
      </c>
      <c r="AA104" t="s">
        <v>379</v>
      </c>
      <c r="AB104" t="s">
        <v>379</v>
      </c>
      <c r="AC104" t="s">
        <v>379</v>
      </c>
    </row>
    <row r="105" spans="1:47">
      <c r="A105" s="26" t="s">
        <v>259</v>
      </c>
      <c r="B105" s="26" t="s">
        <v>515</v>
      </c>
      <c r="C105" t="s">
        <v>379</v>
      </c>
      <c r="D105" t="s">
        <v>379</v>
      </c>
      <c r="E105" t="s">
        <v>379</v>
      </c>
      <c r="F105" t="s">
        <v>379</v>
      </c>
      <c r="G105" t="s">
        <v>379</v>
      </c>
      <c r="H105" t="s">
        <v>379</v>
      </c>
      <c r="I105" t="s">
        <v>379</v>
      </c>
      <c r="J105" t="s">
        <v>379</v>
      </c>
      <c r="K105" t="s">
        <v>379</v>
      </c>
      <c r="L105" t="s">
        <v>379</v>
      </c>
      <c r="M105" t="s">
        <v>379</v>
      </c>
      <c r="N105" t="s">
        <v>379</v>
      </c>
      <c r="O105" t="s">
        <v>379</v>
      </c>
      <c r="P105" t="s">
        <v>379</v>
      </c>
      <c r="Q105" t="s">
        <v>379</v>
      </c>
      <c r="R105" t="s">
        <v>379</v>
      </c>
      <c r="S105" t="s">
        <v>379</v>
      </c>
    </row>
    <row r="106" spans="1:47">
      <c r="A106" s="26" t="s">
        <v>259</v>
      </c>
      <c r="B106" s="26" t="s">
        <v>516</v>
      </c>
      <c r="C106" t="s">
        <v>379</v>
      </c>
      <c r="D106" t="s">
        <v>379</v>
      </c>
      <c r="E106" t="s">
        <v>379</v>
      </c>
      <c r="F106" t="s">
        <v>379</v>
      </c>
      <c r="G106" t="s">
        <v>379</v>
      </c>
      <c r="H106" t="s">
        <v>379</v>
      </c>
      <c r="I106" t="s">
        <v>379</v>
      </c>
      <c r="J106" t="s">
        <v>379</v>
      </c>
      <c r="K106" t="s">
        <v>379</v>
      </c>
      <c r="L106" t="s">
        <v>379</v>
      </c>
    </row>
    <row r="107" spans="1:47">
      <c r="A107" s="26" t="s">
        <v>259</v>
      </c>
      <c r="B107" s="26" t="s">
        <v>517</v>
      </c>
      <c r="C107" t="s">
        <v>379</v>
      </c>
      <c r="D107" t="s">
        <v>379</v>
      </c>
    </row>
    <row r="108" spans="1:47">
      <c r="A108" s="26" t="s">
        <v>260</v>
      </c>
      <c r="B108" s="26" t="s">
        <v>514</v>
      </c>
      <c r="AD108" t="s">
        <v>379</v>
      </c>
      <c r="AE108" t="s">
        <v>379</v>
      </c>
      <c r="AF108" t="s">
        <v>379</v>
      </c>
      <c r="AG108" t="s">
        <v>379</v>
      </c>
      <c r="AH108" t="s">
        <v>379</v>
      </c>
      <c r="AI108" t="s">
        <v>379</v>
      </c>
      <c r="AJ108" t="s">
        <v>379</v>
      </c>
      <c r="AK108" t="s">
        <v>379</v>
      </c>
      <c r="AL108" t="s">
        <v>379</v>
      </c>
      <c r="AM108" t="s">
        <v>379</v>
      </c>
    </row>
    <row r="109" spans="1:47">
      <c r="A109" s="26" t="s">
        <v>260</v>
      </c>
      <c r="B109" s="26" t="s">
        <v>515</v>
      </c>
      <c r="T109" t="s">
        <v>379</v>
      </c>
      <c r="U109" t="s">
        <v>379</v>
      </c>
      <c r="V109" t="s">
        <v>379</v>
      </c>
      <c r="W109" t="s">
        <v>379</v>
      </c>
      <c r="X109" t="s">
        <v>379</v>
      </c>
      <c r="Y109" t="s">
        <v>379</v>
      </c>
      <c r="Z109" t="s">
        <v>379</v>
      </c>
      <c r="AA109" t="s">
        <v>379</v>
      </c>
      <c r="AB109" t="s">
        <v>379</v>
      </c>
      <c r="AC109" t="s">
        <v>379</v>
      </c>
      <c r="AD109" t="s">
        <v>379</v>
      </c>
      <c r="AE109" t="s">
        <v>379</v>
      </c>
      <c r="AF109" t="s">
        <v>379</v>
      </c>
      <c r="AG109" t="s">
        <v>379</v>
      </c>
      <c r="AH109" t="s">
        <v>379</v>
      </c>
      <c r="AI109" t="s">
        <v>379</v>
      </c>
      <c r="AJ109" t="s">
        <v>379</v>
      </c>
      <c r="AK109" t="s">
        <v>379</v>
      </c>
      <c r="AL109" t="s">
        <v>379</v>
      </c>
      <c r="AM109" t="s">
        <v>379</v>
      </c>
    </row>
    <row r="110" spans="1:47">
      <c r="A110" s="26" t="s">
        <v>260</v>
      </c>
      <c r="B110" s="26" t="s">
        <v>516</v>
      </c>
      <c r="M110" t="s">
        <v>379</v>
      </c>
      <c r="N110" t="s">
        <v>379</v>
      </c>
      <c r="O110" t="s">
        <v>379</v>
      </c>
      <c r="P110" t="s">
        <v>379</v>
      </c>
      <c r="Q110" t="s">
        <v>379</v>
      </c>
      <c r="R110" t="s">
        <v>379</v>
      </c>
      <c r="S110" t="s">
        <v>379</v>
      </c>
      <c r="T110" t="s">
        <v>379</v>
      </c>
      <c r="U110" t="s">
        <v>379</v>
      </c>
      <c r="V110" t="s">
        <v>379</v>
      </c>
      <c r="W110" t="s">
        <v>379</v>
      </c>
      <c r="X110" t="s">
        <v>379</v>
      </c>
      <c r="Y110" t="s">
        <v>379</v>
      </c>
      <c r="Z110" t="s">
        <v>379</v>
      </c>
      <c r="AA110" t="s">
        <v>379</v>
      </c>
      <c r="AB110" t="s">
        <v>379</v>
      </c>
      <c r="AC110" t="s">
        <v>379</v>
      </c>
      <c r="AD110" t="s">
        <v>379</v>
      </c>
      <c r="AE110" t="s">
        <v>379</v>
      </c>
      <c r="AF110" t="s">
        <v>379</v>
      </c>
      <c r="AG110" t="s">
        <v>379</v>
      </c>
      <c r="AH110" t="s">
        <v>379</v>
      </c>
      <c r="AI110" t="s">
        <v>379</v>
      </c>
      <c r="AJ110" t="s">
        <v>379</v>
      </c>
      <c r="AK110" t="s">
        <v>379</v>
      </c>
      <c r="AL110" t="s">
        <v>379</v>
      </c>
      <c r="AM110" t="s">
        <v>379</v>
      </c>
    </row>
    <row r="111" spans="1:47">
      <c r="A111" s="26" t="s">
        <v>260</v>
      </c>
      <c r="B111" s="26" t="s">
        <v>517</v>
      </c>
      <c r="E111" t="s">
        <v>379</v>
      </c>
      <c r="F111" t="s">
        <v>379</v>
      </c>
      <c r="G111" t="s">
        <v>379</v>
      </c>
      <c r="H111" t="s">
        <v>379</v>
      </c>
      <c r="I111" t="s">
        <v>379</v>
      </c>
      <c r="J111" t="s">
        <v>379</v>
      </c>
      <c r="K111" t="s">
        <v>379</v>
      </c>
      <c r="L111" t="s">
        <v>379</v>
      </c>
      <c r="M111" t="s">
        <v>379</v>
      </c>
      <c r="N111" t="s">
        <v>379</v>
      </c>
      <c r="O111" t="s">
        <v>379</v>
      </c>
      <c r="P111" t="s">
        <v>379</v>
      </c>
      <c r="Q111" t="s">
        <v>379</v>
      </c>
      <c r="R111" t="s">
        <v>379</v>
      </c>
      <c r="S111" t="s">
        <v>379</v>
      </c>
      <c r="T111" t="s">
        <v>379</v>
      </c>
      <c r="U111" t="s">
        <v>379</v>
      </c>
      <c r="V111" t="s">
        <v>379</v>
      </c>
      <c r="W111" t="s">
        <v>379</v>
      </c>
      <c r="X111" t="s">
        <v>379</v>
      </c>
      <c r="Y111" t="s">
        <v>379</v>
      </c>
      <c r="Z111" t="s">
        <v>379</v>
      </c>
      <c r="AA111" t="s">
        <v>379</v>
      </c>
      <c r="AB111" t="s">
        <v>379</v>
      </c>
      <c r="AC111" t="s">
        <v>379</v>
      </c>
      <c r="AD111" t="s">
        <v>379</v>
      </c>
      <c r="AE111" t="s">
        <v>379</v>
      </c>
      <c r="AF111" t="s">
        <v>379</v>
      </c>
      <c r="AG111" t="s">
        <v>379</v>
      </c>
      <c r="AH111" t="s">
        <v>379</v>
      </c>
      <c r="AI111" t="s">
        <v>379</v>
      </c>
      <c r="AJ111" t="s">
        <v>379</v>
      </c>
      <c r="AK111" t="s">
        <v>379</v>
      </c>
      <c r="AL111" t="s">
        <v>379</v>
      </c>
      <c r="AM111" t="s">
        <v>379</v>
      </c>
    </row>
    <row r="112" spans="1:47">
      <c r="A112" s="26" t="s">
        <v>260</v>
      </c>
      <c r="B112" s="26" t="s">
        <v>518</v>
      </c>
      <c r="C112" t="s">
        <v>379</v>
      </c>
      <c r="D112" t="s">
        <v>379</v>
      </c>
      <c r="E112" t="s">
        <v>379</v>
      </c>
      <c r="F112" t="s">
        <v>379</v>
      </c>
      <c r="G112" t="s">
        <v>379</v>
      </c>
      <c r="H112" t="s">
        <v>379</v>
      </c>
      <c r="I112" t="s">
        <v>379</v>
      </c>
      <c r="J112" t="s">
        <v>379</v>
      </c>
      <c r="K112" t="s">
        <v>379</v>
      </c>
      <c r="L112" t="s">
        <v>379</v>
      </c>
      <c r="M112" t="s">
        <v>379</v>
      </c>
      <c r="N112" t="s">
        <v>379</v>
      </c>
      <c r="O112" t="s">
        <v>379</v>
      </c>
      <c r="P112" t="s">
        <v>379</v>
      </c>
      <c r="Q112" t="s">
        <v>379</v>
      </c>
      <c r="R112" t="s">
        <v>379</v>
      </c>
      <c r="S112" t="s">
        <v>379</v>
      </c>
      <c r="T112" t="s">
        <v>379</v>
      </c>
      <c r="U112" t="s">
        <v>379</v>
      </c>
      <c r="V112" t="s">
        <v>379</v>
      </c>
      <c r="W112" t="s">
        <v>379</v>
      </c>
      <c r="X112" t="s">
        <v>379</v>
      </c>
      <c r="Y112" t="s">
        <v>379</v>
      </c>
    </row>
    <row r="113" spans="1:39">
      <c r="A113" s="26" t="s">
        <v>260</v>
      </c>
      <c r="B113" s="26" t="s">
        <v>519</v>
      </c>
      <c r="C113" t="s">
        <v>379</v>
      </c>
      <c r="D113" t="s">
        <v>379</v>
      </c>
      <c r="E113" t="s">
        <v>379</v>
      </c>
      <c r="F113" t="s">
        <v>379</v>
      </c>
      <c r="G113" t="s">
        <v>379</v>
      </c>
      <c r="H113" t="s">
        <v>379</v>
      </c>
      <c r="I113" t="s">
        <v>379</v>
      </c>
      <c r="J113" t="s">
        <v>379</v>
      </c>
      <c r="K113" t="s">
        <v>379</v>
      </c>
      <c r="L113" t="s">
        <v>379</v>
      </c>
      <c r="M113" t="s">
        <v>379</v>
      </c>
      <c r="N113" t="s">
        <v>379</v>
      </c>
    </row>
    <row r="114" spans="1:39">
      <c r="A114" s="26" t="s">
        <v>260</v>
      </c>
      <c r="B114" s="26" t="s">
        <v>520</v>
      </c>
      <c r="C114" t="s">
        <v>379</v>
      </c>
      <c r="D114" t="s">
        <v>379</v>
      </c>
    </row>
    <row r="115" spans="1:39">
      <c r="A115" s="26" t="s">
        <v>261</v>
      </c>
      <c r="B115" s="26" t="s">
        <v>518</v>
      </c>
      <c r="Z115" t="s">
        <v>379</v>
      </c>
      <c r="AA115" t="s">
        <v>379</v>
      </c>
      <c r="AB115" t="s">
        <v>379</v>
      </c>
      <c r="AC115" t="s">
        <v>379</v>
      </c>
      <c r="AD115" t="s">
        <v>379</v>
      </c>
      <c r="AE115" t="s">
        <v>379</v>
      </c>
      <c r="AF115" t="s">
        <v>379</v>
      </c>
      <c r="AG115" t="s">
        <v>379</v>
      </c>
      <c r="AH115" t="s">
        <v>379</v>
      </c>
      <c r="AI115" t="s">
        <v>379</v>
      </c>
      <c r="AJ115" t="s">
        <v>379</v>
      </c>
      <c r="AK115" t="s">
        <v>379</v>
      </c>
      <c r="AL115" t="s">
        <v>379</v>
      </c>
      <c r="AM115" t="s">
        <v>379</v>
      </c>
    </row>
    <row r="116" spans="1:39">
      <c r="A116" s="26" t="s">
        <v>261</v>
      </c>
      <c r="B116" s="26" t="s">
        <v>519</v>
      </c>
      <c r="O116" t="s">
        <v>379</v>
      </c>
      <c r="P116" t="s">
        <v>379</v>
      </c>
      <c r="Q116" t="s">
        <v>379</v>
      </c>
      <c r="R116" t="s">
        <v>379</v>
      </c>
      <c r="S116" t="s">
        <v>379</v>
      </c>
      <c r="T116" t="s">
        <v>379</v>
      </c>
      <c r="U116" t="s">
        <v>379</v>
      </c>
      <c r="V116" t="s">
        <v>379</v>
      </c>
      <c r="W116" t="s">
        <v>379</v>
      </c>
      <c r="X116" t="s">
        <v>379</v>
      </c>
      <c r="Y116" t="s">
        <v>379</v>
      </c>
      <c r="Z116" t="s">
        <v>379</v>
      </c>
      <c r="AA116" t="s">
        <v>379</v>
      </c>
      <c r="AB116" t="s">
        <v>379</v>
      </c>
      <c r="AC116" t="s">
        <v>379</v>
      </c>
      <c r="AD116" t="s">
        <v>379</v>
      </c>
      <c r="AE116" t="s">
        <v>379</v>
      </c>
      <c r="AF116" t="s">
        <v>379</v>
      </c>
      <c r="AG116" t="s">
        <v>379</v>
      </c>
      <c r="AH116" t="s">
        <v>379</v>
      </c>
      <c r="AI116" t="s">
        <v>379</v>
      </c>
      <c r="AJ116" t="s">
        <v>379</v>
      </c>
      <c r="AK116" t="s">
        <v>379</v>
      </c>
      <c r="AL116" t="s">
        <v>379</v>
      </c>
      <c r="AM116" t="s">
        <v>379</v>
      </c>
    </row>
    <row r="117" spans="1:39">
      <c r="A117" s="26" t="s">
        <v>261</v>
      </c>
      <c r="B117" s="26" t="s">
        <v>520</v>
      </c>
      <c r="E117" t="s">
        <v>379</v>
      </c>
      <c r="F117" t="s">
        <v>379</v>
      </c>
      <c r="G117" t="s">
        <v>379</v>
      </c>
      <c r="H117" t="s">
        <v>379</v>
      </c>
      <c r="I117" t="s">
        <v>379</v>
      </c>
      <c r="J117" t="s">
        <v>379</v>
      </c>
      <c r="K117" t="s">
        <v>379</v>
      </c>
      <c r="L117" t="s">
        <v>379</v>
      </c>
      <c r="M117" t="s">
        <v>379</v>
      </c>
      <c r="N117" t="s">
        <v>379</v>
      </c>
      <c r="O117" t="s">
        <v>379</v>
      </c>
      <c r="P117" t="s">
        <v>379</v>
      </c>
      <c r="Q117" t="s">
        <v>379</v>
      </c>
      <c r="R117" t="s">
        <v>379</v>
      </c>
      <c r="S117" t="s">
        <v>379</v>
      </c>
      <c r="T117" t="s">
        <v>379</v>
      </c>
      <c r="U117" t="s">
        <v>379</v>
      </c>
      <c r="V117" t="s">
        <v>379</v>
      </c>
      <c r="W117" t="s">
        <v>379</v>
      </c>
      <c r="X117" t="s">
        <v>379</v>
      </c>
      <c r="Y117" t="s">
        <v>379</v>
      </c>
      <c r="Z117" t="s">
        <v>379</v>
      </c>
      <c r="AA117" t="s">
        <v>379</v>
      </c>
      <c r="AB117" t="s">
        <v>379</v>
      </c>
      <c r="AC117" t="s">
        <v>379</v>
      </c>
      <c r="AD117" t="s">
        <v>379</v>
      </c>
      <c r="AE117" t="s">
        <v>379</v>
      </c>
      <c r="AF117" t="s">
        <v>379</v>
      </c>
      <c r="AG117" t="s">
        <v>379</v>
      </c>
      <c r="AH117" t="s">
        <v>379</v>
      </c>
      <c r="AI117" t="s">
        <v>379</v>
      </c>
      <c r="AJ117" t="s">
        <v>379</v>
      </c>
      <c r="AK117" t="s">
        <v>379</v>
      </c>
      <c r="AL117" t="s">
        <v>379</v>
      </c>
      <c r="AM117" t="s">
        <v>379</v>
      </c>
    </row>
    <row r="118" spans="1:39">
      <c r="A118" s="26" t="s">
        <v>261</v>
      </c>
      <c r="B118" s="26" t="s">
        <v>521</v>
      </c>
      <c r="C118" t="s">
        <v>379</v>
      </c>
      <c r="D118" t="s">
        <v>379</v>
      </c>
      <c r="E118" t="s">
        <v>379</v>
      </c>
      <c r="F118" t="s">
        <v>379</v>
      </c>
      <c r="G118" t="s">
        <v>379</v>
      </c>
      <c r="H118" t="s">
        <v>379</v>
      </c>
      <c r="I118" t="s">
        <v>379</v>
      </c>
      <c r="J118" t="s">
        <v>379</v>
      </c>
      <c r="K118" t="s">
        <v>379</v>
      </c>
      <c r="L118" t="s">
        <v>379</v>
      </c>
      <c r="M118" t="s">
        <v>379</v>
      </c>
      <c r="N118" t="s">
        <v>379</v>
      </c>
      <c r="O118" t="s">
        <v>379</v>
      </c>
      <c r="P118" t="s">
        <v>379</v>
      </c>
      <c r="Q118" t="s">
        <v>379</v>
      </c>
      <c r="R118" t="s">
        <v>379</v>
      </c>
      <c r="S118" t="s">
        <v>379</v>
      </c>
      <c r="T118" t="s">
        <v>379</v>
      </c>
      <c r="U118" t="s">
        <v>379</v>
      </c>
      <c r="V118" t="s">
        <v>379</v>
      </c>
      <c r="W118" t="s">
        <v>379</v>
      </c>
      <c r="X118" t="s">
        <v>379</v>
      </c>
      <c r="Y118" t="s">
        <v>379</v>
      </c>
      <c r="Z118" t="s">
        <v>379</v>
      </c>
      <c r="AA118" t="s">
        <v>379</v>
      </c>
      <c r="AB118" t="s">
        <v>379</v>
      </c>
      <c r="AC118" t="s">
        <v>379</v>
      </c>
      <c r="AD118" t="s">
        <v>379</v>
      </c>
      <c r="AE118" t="s">
        <v>379</v>
      </c>
      <c r="AF118" t="s">
        <v>379</v>
      </c>
      <c r="AG118" t="s">
        <v>379</v>
      </c>
      <c r="AH118" t="s">
        <v>379</v>
      </c>
      <c r="AI118" t="s">
        <v>379</v>
      </c>
      <c r="AJ118" t="s">
        <v>379</v>
      </c>
      <c r="AK118" t="s">
        <v>379</v>
      </c>
      <c r="AL118" t="s">
        <v>379</v>
      </c>
      <c r="AM118" t="s">
        <v>379</v>
      </c>
    </row>
    <row r="119" spans="1:39">
      <c r="A119" s="26" t="s">
        <v>261</v>
      </c>
      <c r="B119" s="26" t="s">
        <v>582</v>
      </c>
      <c r="C119" t="s">
        <v>379</v>
      </c>
      <c r="D119" t="s">
        <v>379</v>
      </c>
      <c r="E119" t="s">
        <v>379</v>
      </c>
      <c r="F119" t="s">
        <v>379</v>
      </c>
      <c r="G119" t="s">
        <v>379</v>
      </c>
      <c r="H119" t="s">
        <v>379</v>
      </c>
      <c r="I119" t="s">
        <v>379</v>
      </c>
      <c r="J119" t="s">
        <v>379</v>
      </c>
      <c r="K119" t="s">
        <v>379</v>
      </c>
      <c r="L119" t="s">
        <v>379</v>
      </c>
      <c r="M119" t="s">
        <v>379</v>
      </c>
      <c r="N119" t="s">
        <v>379</v>
      </c>
      <c r="O119" t="s">
        <v>379</v>
      </c>
      <c r="P119" t="s">
        <v>379</v>
      </c>
      <c r="Q119" t="s">
        <v>379</v>
      </c>
      <c r="R119" t="s">
        <v>379</v>
      </c>
      <c r="S119" t="s">
        <v>379</v>
      </c>
      <c r="T119" t="s">
        <v>379</v>
      </c>
      <c r="U119" t="s">
        <v>379</v>
      </c>
      <c r="V119" t="s">
        <v>379</v>
      </c>
      <c r="W119" t="s">
        <v>379</v>
      </c>
      <c r="X119" t="s">
        <v>379</v>
      </c>
      <c r="Y119" t="s">
        <v>379</v>
      </c>
      <c r="Z119" t="s">
        <v>379</v>
      </c>
      <c r="AA119" t="s">
        <v>379</v>
      </c>
      <c r="AB119" t="s">
        <v>379</v>
      </c>
      <c r="AC119" t="s">
        <v>379</v>
      </c>
      <c r="AD119" t="s">
        <v>379</v>
      </c>
      <c r="AE119" t="s">
        <v>379</v>
      </c>
      <c r="AF119" t="s">
        <v>379</v>
      </c>
      <c r="AG119" t="s">
        <v>379</v>
      </c>
      <c r="AH119" t="s">
        <v>379</v>
      </c>
      <c r="AI119" t="s">
        <v>379</v>
      </c>
      <c r="AJ119" t="s">
        <v>379</v>
      </c>
      <c r="AK119" t="s">
        <v>379</v>
      </c>
      <c r="AL119" t="s">
        <v>379</v>
      </c>
      <c r="AM119" t="s">
        <v>379</v>
      </c>
    </row>
    <row r="120" spans="1:39">
      <c r="A120" s="26"/>
      <c r="B120" s="26"/>
    </row>
    <row r="121" spans="1:39">
      <c r="A121" s="26"/>
      <c r="B121" s="26"/>
    </row>
    <row r="122" spans="1:39">
      <c r="A122" s="26"/>
      <c r="B122" s="26"/>
    </row>
    <row r="123" spans="1:39">
      <c r="A123" s="26"/>
      <c r="B123" s="26"/>
    </row>
    <row r="124" spans="1:39">
      <c r="A124" s="26"/>
      <c r="B124" s="26"/>
    </row>
    <row r="125" spans="1:39">
      <c r="A125" s="26"/>
      <c r="B125" s="26"/>
    </row>
    <row r="126" spans="1:39">
      <c r="A126" s="26"/>
      <c r="B126" s="26"/>
    </row>
    <row r="127" spans="1:39">
      <c r="A127" s="26"/>
      <c r="B127" s="26"/>
    </row>
    <row r="128" spans="1:39">
      <c r="A128" s="26"/>
      <c r="B128" s="26"/>
    </row>
    <row r="129" spans="1:53">
      <c r="A129" s="26"/>
      <c r="B129" s="26"/>
    </row>
    <row r="130" spans="1:53">
      <c r="A130" s="26"/>
      <c r="B130" s="26" t="s">
        <v>550</v>
      </c>
      <c r="C130" s="26" t="s">
        <v>538</v>
      </c>
      <c r="D130" s="26" t="s">
        <v>551</v>
      </c>
      <c r="E130" s="26" t="s">
        <v>552</v>
      </c>
      <c r="F130" s="26" t="s">
        <v>553</v>
      </c>
      <c r="G130" s="26" t="s">
        <v>554</v>
      </c>
      <c r="H130" s="26" t="s">
        <v>539</v>
      </c>
      <c r="I130" s="26" t="s">
        <v>555</v>
      </c>
      <c r="J130" s="26" t="s">
        <v>556</v>
      </c>
      <c r="K130" s="26" t="s">
        <v>557</v>
      </c>
      <c r="L130" s="26" t="s">
        <v>558</v>
      </c>
      <c r="M130" s="26" t="s">
        <v>540</v>
      </c>
      <c r="N130" s="26" t="s">
        <v>559</v>
      </c>
      <c r="O130" s="26" t="s">
        <v>560</v>
      </c>
      <c r="P130" s="26" t="s">
        <v>561</v>
      </c>
      <c r="Q130" s="26" t="s">
        <v>562</v>
      </c>
      <c r="R130" s="26" t="s">
        <v>541</v>
      </c>
      <c r="S130" s="26" t="s">
        <v>563</v>
      </c>
      <c r="T130" s="26" t="s">
        <v>564</v>
      </c>
      <c r="U130" s="26" t="s">
        <v>565</v>
      </c>
      <c r="V130" s="26" t="s">
        <v>566</v>
      </c>
      <c r="W130" s="26" t="s">
        <v>542</v>
      </c>
      <c r="X130" s="26" t="s">
        <v>567</v>
      </c>
      <c r="Y130" s="26" t="s">
        <v>568</v>
      </c>
      <c r="Z130" s="26" t="s">
        <v>569</v>
      </c>
      <c r="AA130" s="26" t="s">
        <v>570</v>
      </c>
      <c r="AB130" s="26" t="s">
        <v>543</v>
      </c>
      <c r="AC130" s="26" t="s">
        <v>571</v>
      </c>
      <c r="AD130" s="26" t="s">
        <v>572</v>
      </c>
      <c r="AE130" s="26" t="s">
        <v>573</v>
      </c>
      <c r="AF130" s="26" t="s">
        <v>574</v>
      </c>
      <c r="AG130" s="26" t="s">
        <v>544</v>
      </c>
      <c r="AH130" s="26" t="s">
        <v>702</v>
      </c>
      <c r="AI130" s="26" t="s">
        <v>703</v>
      </c>
      <c r="AJ130" s="26" t="s">
        <v>704</v>
      </c>
      <c r="AK130" s="26" t="s">
        <v>705</v>
      </c>
      <c r="AL130" s="26" t="s">
        <v>706</v>
      </c>
      <c r="AM130" s="26"/>
      <c r="AN130" s="26"/>
      <c r="AO130" s="26"/>
      <c r="AP130" s="26"/>
      <c r="AQ130" s="26"/>
      <c r="AR130" s="26"/>
      <c r="AS130" s="26"/>
      <c r="AT130" s="26"/>
      <c r="AU130" s="26"/>
      <c r="AV130" s="26"/>
      <c r="AW130" s="26"/>
      <c r="AX130" s="26"/>
      <c r="AY130" s="26"/>
      <c r="AZ130" s="26"/>
      <c r="BA130" s="26"/>
    </row>
    <row r="131" spans="1:53">
      <c r="A131" s="26" t="s">
        <v>372</v>
      </c>
      <c r="B131">
        <v>118.318</v>
      </c>
      <c r="C131">
        <v>107.464</v>
      </c>
      <c r="D131">
        <v>109.577</v>
      </c>
      <c r="E131">
        <v>110.503</v>
      </c>
      <c r="F131">
        <v>112.52</v>
      </c>
      <c r="G131">
        <v>115.176</v>
      </c>
      <c r="H131">
        <v>118.041</v>
      </c>
      <c r="I131">
        <v>121.706</v>
      </c>
      <c r="J131">
        <v>124.937</v>
      </c>
      <c r="K131">
        <v>131.876</v>
      </c>
      <c r="L131">
        <v>137.161</v>
      </c>
      <c r="M131">
        <v>140.69499999999999</v>
      </c>
      <c r="N131">
        <v>143.66999999999999</v>
      </c>
      <c r="O131">
        <v>146.92400000000001</v>
      </c>
      <c r="P131">
        <v>151</v>
      </c>
      <c r="Q131">
        <v>155.93299999999999</v>
      </c>
      <c r="R131">
        <v>166.673</v>
      </c>
      <c r="S131">
        <v>175.935</v>
      </c>
      <c r="T131">
        <v>179.65</v>
      </c>
      <c r="U131">
        <v>183.81800000000001</v>
      </c>
      <c r="V131">
        <v>186.33199999999999</v>
      </c>
      <c r="W131">
        <v>193.435</v>
      </c>
      <c r="X131">
        <v>191.88</v>
      </c>
      <c r="Y131">
        <v>194.42500000000001</v>
      </c>
      <c r="Z131">
        <v>199.82900000000001</v>
      </c>
      <c r="AA131">
        <v>206.40799999999999</v>
      </c>
      <c r="AB131">
        <v>213.45</v>
      </c>
      <c r="AC131">
        <v>220.245</v>
      </c>
      <c r="AD131">
        <v>220.95099999999999</v>
      </c>
      <c r="AE131">
        <v>223.39599999999999</v>
      </c>
      <c r="AF131">
        <v>226.07</v>
      </c>
      <c r="AG131">
        <v>228.876</v>
      </c>
      <c r="AH131">
        <v>231.71682830981558</v>
      </c>
      <c r="AI131">
        <v>234.59291722137993</v>
      </c>
      <c r="AJ131">
        <v>237.50470439227036</v>
      </c>
      <c r="AK131">
        <v>240.45263291230714</v>
      </c>
      <c r="AL131">
        <v>243.43715137097897</v>
      </c>
    </row>
    <row r="132" spans="1:53">
      <c r="A132" s="26" t="s">
        <v>692</v>
      </c>
      <c r="B132" s="170">
        <v>9.1050000000000004</v>
      </c>
      <c r="C132" s="170">
        <v>8.6709999999999994</v>
      </c>
      <c r="D132" s="170">
        <v>8.7420000000000009</v>
      </c>
      <c r="E132" s="26">
        <v>8.8580000000000005</v>
      </c>
      <c r="F132" s="170">
        <v>8.9559999999999995</v>
      </c>
      <c r="G132" s="19">
        <v>9.0570000000000004</v>
      </c>
      <c r="H132" s="19">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v>17.754161760858192</v>
      </c>
      <c r="AI132">
        <v>19.132640960893429</v>
      </c>
      <c r="AJ132">
        <v>20.618148863861805</v>
      </c>
      <c r="AK132">
        <v>22.218995456052017</v>
      </c>
      <c r="AL132">
        <v>23.944135932656788</v>
      </c>
    </row>
    <row r="133" spans="1:53">
      <c r="A133" s="26"/>
      <c r="B133" s="26"/>
    </row>
    <row r="134" spans="1:53">
      <c r="A134" s="26"/>
      <c r="B134" s="26"/>
    </row>
    <row r="135" spans="1:53">
      <c r="A135" s="26"/>
      <c r="B135" s="26"/>
    </row>
    <row r="162" spans="1:13">
      <c r="A162" s="26"/>
      <c r="B162" s="26"/>
      <c r="C162" s="26"/>
      <c r="D162" s="26"/>
      <c r="E162" s="26"/>
      <c r="F162" s="26"/>
      <c r="G162" s="26"/>
      <c r="H162" s="26"/>
      <c r="I162" s="26"/>
      <c r="J162" s="26"/>
      <c r="K162" s="26"/>
      <c r="L162" s="26"/>
      <c r="M162" s="26"/>
    </row>
    <row r="163" spans="1:13">
      <c r="A163" s="26" t="s">
        <v>620</v>
      </c>
      <c r="B163" s="26" t="s">
        <v>4</v>
      </c>
      <c r="C163" s="26" t="s">
        <v>621</v>
      </c>
      <c r="D163" s="26" t="s">
        <v>622</v>
      </c>
      <c r="E163" s="26" t="s">
        <v>642</v>
      </c>
    </row>
    <row r="164" spans="1:13">
      <c r="A164">
        <v>-1</v>
      </c>
      <c r="B164">
        <v>1</v>
      </c>
      <c r="C164">
        <v>1</v>
      </c>
      <c r="D164">
        <v>1</v>
      </c>
      <c r="E164">
        <v>-1</v>
      </c>
    </row>
  </sheetData>
  <phoneticPr fontId="166"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Q89"/>
  <sheetViews>
    <sheetView workbookViewId="0">
      <pane xSplit="2" ySplit="6" topLeftCell="C7" activePane="bottomRight" state="frozen"/>
      <selection pane="topRight" activeCell="C1" sqref="C1"/>
      <selection pane="bottomLeft" activeCell="A7" sqref="A7"/>
      <selection pane="bottomRight" activeCell="A64" sqref="A64"/>
    </sheetView>
  </sheetViews>
  <sheetFormatPr defaultColWidth="8.85546875" defaultRowHeight="15"/>
  <cols>
    <col min="1" max="1" width="13.42578125" customWidth="1"/>
    <col min="3" max="3" width="13.42578125" bestFit="1" customWidth="1"/>
    <col min="4" max="32" width="10.42578125" bestFit="1" customWidth="1"/>
    <col min="33" max="33" width="10.5703125" bestFit="1" customWidth="1"/>
    <col min="34" max="37" width="10.42578125" bestFit="1" customWidth="1"/>
  </cols>
  <sheetData>
    <row r="1" spans="1:41">
      <c r="C1">
        <v>0.4</v>
      </c>
      <c r="D1">
        <v>0.6</v>
      </c>
    </row>
    <row r="3" spans="1:41">
      <c r="C3" s="26" t="s">
        <v>536</v>
      </c>
      <c r="D3" s="26" t="s">
        <v>545</v>
      </c>
      <c r="E3" s="26" t="s">
        <v>546</v>
      </c>
      <c r="F3" s="26" t="s">
        <v>537</v>
      </c>
      <c r="G3" s="26" t="s">
        <v>547</v>
      </c>
      <c r="H3" s="26" t="s">
        <v>548</v>
      </c>
      <c r="I3" s="26" t="s">
        <v>549</v>
      </c>
      <c r="J3" s="26" t="s">
        <v>550</v>
      </c>
      <c r="K3" s="26" t="s">
        <v>538</v>
      </c>
      <c r="L3" s="26" t="s">
        <v>551</v>
      </c>
      <c r="M3" s="26" t="s">
        <v>552</v>
      </c>
      <c r="N3" s="26" t="s">
        <v>553</v>
      </c>
      <c r="O3" s="26" t="s">
        <v>554</v>
      </c>
      <c r="P3" s="26" t="s">
        <v>539</v>
      </c>
      <c r="Q3" s="26" t="s">
        <v>555</v>
      </c>
      <c r="R3" s="26" t="s">
        <v>556</v>
      </c>
      <c r="S3" s="26" t="s">
        <v>557</v>
      </c>
      <c r="T3" s="26" t="s">
        <v>558</v>
      </c>
      <c r="U3" s="26" t="s">
        <v>540</v>
      </c>
      <c r="V3" s="26" t="s">
        <v>559</v>
      </c>
      <c r="W3" s="26" t="s">
        <v>560</v>
      </c>
      <c r="X3" s="26" t="s">
        <v>561</v>
      </c>
      <c r="Y3" s="26" t="s">
        <v>562</v>
      </c>
      <c r="Z3" s="26" t="s">
        <v>541</v>
      </c>
      <c r="AA3" s="26" t="s">
        <v>563</v>
      </c>
      <c r="AB3" s="26" t="s">
        <v>564</v>
      </c>
      <c r="AC3" s="26" t="s">
        <v>565</v>
      </c>
      <c r="AD3" s="26" t="s">
        <v>566</v>
      </c>
      <c r="AE3" s="26" t="s">
        <v>542</v>
      </c>
      <c r="AF3" s="26" t="s">
        <v>543</v>
      </c>
      <c r="AG3" s="26" t="s">
        <v>544</v>
      </c>
      <c r="AH3" s="26" t="s">
        <v>706</v>
      </c>
      <c r="AI3" s="26" t="s">
        <v>711</v>
      </c>
      <c r="AJ3" s="26" t="s">
        <v>716</v>
      </c>
      <c r="AK3" s="26" t="s">
        <v>721</v>
      </c>
      <c r="AL3" s="26"/>
      <c r="AM3" s="26"/>
      <c r="AN3" s="26"/>
      <c r="AO3" s="26"/>
    </row>
    <row r="5" spans="1:41">
      <c r="A5" t="s">
        <v>590</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2"/>
    </row>
    <row r="6" spans="1:41">
      <c r="A6" t="s">
        <v>591</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65">
        <v>96.797279590965346</v>
      </c>
      <c r="D7" s="265">
        <v>101.32801029182565</v>
      </c>
      <c r="E7" s="265">
        <v>105.4512845971946</v>
      </c>
      <c r="F7" s="265">
        <v>104.03295587682055</v>
      </c>
      <c r="G7" s="265">
        <v>102.86973222443167</v>
      </c>
      <c r="H7" s="265">
        <v>106.45368114150588</v>
      </c>
      <c r="I7" s="265">
        <v>104.83293209544796</v>
      </c>
      <c r="J7" s="265">
        <v>103.19</v>
      </c>
      <c r="K7" s="265">
        <v>101.98</v>
      </c>
      <c r="L7" s="6">
        <f t="shared" ref="L7:AG7" si="5">L45/K45*K7</f>
        <v>106.77618269276007</v>
      </c>
      <c r="M7" s="6">
        <f t="shared" si="5"/>
        <v>108.81604147435188</v>
      </c>
      <c r="N7" s="6">
        <f t="shared" si="5"/>
        <v>109.03367355730057</v>
      </c>
      <c r="O7" s="6">
        <f t="shared" si="5"/>
        <v>110.12401029287358</v>
      </c>
      <c r="P7" s="6">
        <f t="shared" si="5"/>
        <v>111.33537440609517</v>
      </c>
      <c r="Q7" s="6">
        <f t="shared" si="5"/>
        <v>112.8940696477805</v>
      </c>
      <c r="R7" s="6">
        <f t="shared" si="5"/>
        <v>114.70037476214499</v>
      </c>
      <c r="S7" s="6">
        <f t="shared" si="5"/>
        <v>116.7649815078636</v>
      </c>
      <c r="T7" s="6">
        <f t="shared" si="5"/>
        <v>119.33751514287142</v>
      </c>
      <c r="U7" s="6">
        <f t="shared" si="5"/>
        <v>122.46634842347326</v>
      </c>
      <c r="V7" s="6">
        <f t="shared" si="5"/>
        <v>126.06421579250767</v>
      </c>
      <c r="W7" s="6">
        <f t="shared" si="5"/>
        <v>129.8559171888065</v>
      </c>
      <c r="X7" s="6">
        <f t="shared" si="5"/>
        <v>133.87855551713014</v>
      </c>
      <c r="Y7" s="6">
        <f t="shared" si="5"/>
        <v>138.47941603601245</v>
      </c>
      <c r="Z7" s="6">
        <f t="shared" si="5"/>
        <v>143.35454149130049</v>
      </c>
      <c r="AA7" s="6">
        <f t="shared" si="5"/>
        <v>148.52153545006567</v>
      </c>
      <c r="AB7" s="6">
        <f t="shared" si="5"/>
        <v>154.01787462641707</v>
      </c>
      <c r="AC7" s="6">
        <f t="shared" si="5"/>
        <v>159.77135760162864</v>
      </c>
      <c r="AD7" s="6">
        <f t="shared" si="5"/>
        <v>165.61347836440339</v>
      </c>
      <c r="AE7" s="6">
        <f t="shared" si="5"/>
        <v>171.47762048595308</v>
      </c>
      <c r="AF7" s="6">
        <f t="shared" si="5"/>
        <v>203.42521702176563</v>
      </c>
      <c r="AG7" s="6">
        <f t="shared" si="5"/>
        <v>241.92531126525446</v>
      </c>
      <c r="AH7" s="6">
        <f t="shared" ref="AH7:AH12" si="6">AH45/AG45*AG7</f>
        <v>282.02525190600596</v>
      </c>
      <c r="AI7" s="6">
        <f t="shared" ref="AI7:AI12" si="7">AI45/AH45*AH7</f>
        <v>314.65951769462703</v>
      </c>
      <c r="AJ7" s="6">
        <f t="shared" ref="AJ7:AJ12" si="8">AJ45/AI45*AI7</f>
        <v>335.87004092771502</v>
      </c>
      <c r="AK7" s="6">
        <f t="shared" ref="AK7:AK12" si="9">AK45/AJ45*AJ7</f>
        <v>342.85263739891138</v>
      </c>
      <c r="AL7" s="107"/>
      <c r="AM7" s="107"/>
    </row>
    <row r="8" spans="1:41">
      <c r="A8" s="115" t="s">
        <v>4</v>
      </c>
      <c r="B8">
        <f>B7+1</f>
        <v>2</v>
      </c>
      <c r="C8" s="265">
        <v>2420.5059603282948</v>
      </c>
      <c r="D8" s="265">
        <v>2489.1047071827661</v>
      </c>
      <c r="E8" s="265">
        <v>2551.5982527371866</v>
      </c>
      <c r="F8" s="265">
        <v>2595.1630396206046</v>
      </c>
      <c r="G8" s="265">
        <v>2628.6516711665686</v>
      </c>
      <c r="H8" s="265">
        <v>2667.1308637985835</v>
      </c>
      <c r="I8" s="265">
        <v>2710.4237502366891</v>
      </c>
      <c r="J8" s="265">
        <v>2746.44</v>
      </c>
      <c r="K8" s="265">
        <v>2570.58</v>
      </c>
      <c r="L8" s="6">
        <f t="shared" ref="L8:AG8" si="10">L46/K46*K8</f>
        <v>2701.6634132159884</v>
      </c>
      <c r="M8" s="6">
        <f t="shared" si="10"/>
        <v>2753.2761577379706</v>
      </c>
      <c r="N8" s="6">
        <f t="shared" si="10"/>
        <v>2758.7827100534464</v>
      </c>
      <c r="O8" s="6">
        <f t="shared" si="10"/>
        <v>2786.3705371539809</v>
      </c>
      <c r="P8" s="6">
        <f t="shared" si="10"/>
        <v>2817.0206130626743</v>
      </c>
      <c r="Q8" s="6">
        <f t="shared" si="10"/>
        <v>2856.4589016455516</v>
      </c>
      <c r="R8" s="6">
        <f t="shared" si="10"/>
        <v>2902.1622440718807</v>
      </c>
      <c r="S8" s="6">
        <f t="shared" si="10"/>
        <v>2954.4011644651746</v>
      </c>
      <c r="T8" s="6">
        <f t="shared" si="10"/>
        <v>3019.4917101814099</v>
      </c>
      <c r="U8" s="6">
        <f t="shared" si="10"/>
        <v>3098.6578143357187</v>
      </c>
      <c r="V8" s="6">
        <f t="shared" si="10"/>
        <v>3189.6914736349381</v>
      </c>
      <c r="W8" s="6">
        <f t="shared" si="10"/>
        <v>3285.6295440723929</v>
      </c>
      <c r="X8" s="6">
        <f t="shared" si="10"/>
        <v>3387.4108076665748</v>
      </c>
      <c r="Y8" s="6">
        <f t="shared" si="10"/>
        <v>3503.822316485358</v>
      </c>
      <c r="Z8" s="6">
        <f t="shared" si="10"/>
        <v>3627.1733086751424</v>
      </c>
      <c r="AA8" s="6">
        <f t="shared" si="10"/>
        <v>3757.9091917406686</v>
      </c>
      <c r="AB8" s="6">
        <f t="shared" si="10"/>
        <v>3896.9782058681149</v>
      </c>
      <c r="AC8" s="6">
        <f t="shared" si="10"/>
        <v>4042.5535023498846</v>
      </c>
      <c r="AD8" s="6">
        <f t="shared" si="10"/>
        <v>4190.3715224582984</v>
      </c>
      <c r="AE8" s="6">
        <f t="shared" si="10"/>
        <v>4338.746729551779</v>
      </c>
      <c r="AF8" s="6">
        <f t="shared" si="10"/>
        <v>5147.0885387860135</v>
      </c>
      <c r="AG8" s="6">
        <f t="shared" si="10"/>
        <v>6121.2224083428055</v>
      </c>
      <c r="AH8" s="6">
        <f t="shared" si="6"/>
        <v>7135.8357778147301</v>
      </c>
      <c r="AI8" s="6">
        <f t="shared" si="7"/>
        <v>7961.5517724759829</v>
      </c>
      <c r="AJ8" s="6">
        <f t="shared" si="8"/>
        <v>8498.2229022061783</v>
      </c>
      <c r="AK8" s="6">
        <f t="shared" si="9"/>
        <v>8674.8973715470001</v>
      </c>
      <c r="AL8" s="107"/>
      <c r="AM8" s="107"/>
    </row>
    <row r="9" spans="1:41">
      <c r="A9" s="115" t="s">
        <v>508</v>
      </c>
      <c r="B9">
        <f t="shared" ref="B9:B37" si="11">B8+1</f>
        <v>3</v>
      </c>
      <c r="C9" s="265">
        <v>72.107894835057621</v>
      </c>
      <c r="D9" s="265">
        <v>74.266300997437128</v>
      </c>
      <c r="E9" s="265">
        <v>75.801027741220466</v>
      </c>
      <c r="F9" s="265">
        <v>76.644854367250801</v>
      </c>
      <c r="G9" s="265">
        <v>77.466834349241523</v>
      </c>
      <c r="H9" s="265">
        <v>78.131791577197461</v>
      </c>
      <c r="I9" s="265">
        <v>79.016580660802092</v>
      </c>
      <c r="J9" s="265">
        <v>78.849999999999994</v>
      </c>
      <c r="K9" s="265">
        <v>77.7</v>
      </c>
      <c r="L9" s="6">
        <f t="shared" ref="L9:AG9" si="12">L47/K47*K9</f>
        <v>76.135205707164062</v>
      </c>
      <c r="M9" s="6">
        <f t="shared" si="12"/>
        <v>77.742235294203837</v>
      </c>
      <c r="N9" s="6">
        <f t="shared" si="12"/>
        <v>77.87811750787796</v>
      </c>
      <c r="O9" s="6">
        <f t="shared" si="12"/>
        <v>78.673049806759337</v>
      </c>
      <c r="P9" s="6">
        <f t="shared" si="12"/>
        <v>79.521149223415563</v>
      </c>
      <c r="Q9" s="6">
        <f t="shared" si="12"/>
        <v>80.774652394623175</v>
      </c>
      <c r="R9" s="6">
        <f t="shared" si="12"/>
        <v>82.191765517127848</v>
      </c>
      <c r="S9" s="6">
        <f t="shared" si="12"/>
        <v>83.743576134007128</v>
      </c>
      <c r="T9" s="6">
        <f t="shared" si="12"/>
        <v>85.69894701205537</v>
      </c>
      <c r="U9" s="6">
        <f t="shared" si="12"/>
        <v>88.078439163688699</v>
      </c>
      <c r="V9" s="6">
        <f t="shared" si="12"/>
        <v>90.895610853007341</v>
      </c>
      <c r="W9" s="6">
        <f t="shared" si="12"/>
        <v>93.839248568518911</v>
      </c>
      <c r="X9" s="6">
        <f t="shared" si="12"/>
        <v>97.041782283230575</v>
      </c>
      <c r="Y9" s="6">
        <f t="shared" si="12"/>
        <v>100.63131738787621</v>
      </c>
      <c r="Z9" s="6">
        <f t="shared" si="12"/>
        <v>104.5302146152469</v>
      </c>
      <c r="AA9" s="6">
        <f t="shared" si="12"/>
        <v>108.65405249955944</v>
      </c>
      <c r="AB9" s="6">
        <f t="shared" si="12"/>
        <v>112.97775869175773</v>
      </c>
      <c r="AC9" s="6">
        <f t="shared" si="12"/>
        <v>117.55924489173901</v>
      </c>
      <c r="AD9" s="6">
        <f t="shared" si="12"/>
        <v>122.2093857914187</v>
      </c>
      <c r="AE9" s="6">
        <f t="shared" si="12"/>
        <v>126.87883757879234</v>
      </c>
      <c r="AF9" s="6">
        <f t="shared" si="12"/>
        <v>151.95081165067981</v>
      </c>
      <c r="AG9" s="6">
        <f t="shared" si="12"/>
        <v>182.09353675989101</v>
      </c>
      <c r="AH9" s="6">
        <f t="shared" si="6"/>
        <v>213.46298674732734</v>
      </c>
      <c r="AI9" s="6">
        <f t="shared" si="7"/>
        <v>239.03171955828529</v>
      </c>
      <c r="AJ9" s="6">
        <f t="shared" si="8"/>
        <v>255.73506376809084</v>
      </c>
      <c r="AK9" s="6">
        <f t="shared" si="9"/>
        <v>261.40203004829652</v>
      </c>
      <c r="AL9" s="107"/>
      <c r="AM9" s="107"/>
    </row>
    <row r="10" spans="1:41">
      <c r="A10" s="115" t="s">
        <v>692</v>
      </c>
      <c r="B10">
        <f t="shared" si="11"/>
        <v>4</v>
      </c>
      <c r="C10" s="265">
        <v>2.4554419284149018</v>
      </c>
      <c r="D10" s="265">
        <v>2.4807404210106916</v>
      </c>
      <c r="E10" s="265">
        <v>2.5000863271133542</v>
      </c>
      <c r="F10" s="265">
        <v>2.4936376917457999</v>
      </c>
      <c r="G10" s="265">
        <v>2.4903306992496184</v>
      </c>
      <c r="H10" s="265">
        <v>2.5025665714854908</v>
      </c>
      <c r="I10" s="265">
        <v>2.5113301016003717</v>
      </c>
      <c r="J10" s="265">
        <v>2.4900000000000002</v>
      </c>
      <c r="K10" s="265">
        <v>2.36</v>
      </c>
      <c r="L10" s="6">
        <f t="shared" ref="L10:AG10" si="13">L48/K48*K10</f>
        <v>2.4042696539104442</v>
      </c>
      <c r="M10" s="6">
        <f t="shared" si="13"/>
        <v>2.4550179566590691</v>
      </c>
      <c r="N10" s="6">
        <f t="shared" si="13"/>
        <v>2.459308973932989</v>
      </c>
      <c r="O10" s="6">
        <f t="shared" si="13"/>
        <v>2.4844120991608221</v>
      </c>
      <c r="P10" s="6">
        <f t="shared" si="13"/>
        <v>2.5111941860025979</v>
      </c>
      <c r="Q10" s="6">
        <f t="shared" si="13"/>
        <v>2.5507784966723115</v>
      </c>
      <c r="R10" s="6">
        <f t="shared" si="13"/>
        <v>2.5955294373829858</v>
      </c>
      <c r="S10" s="6">
        <f t="shared" si="13"/>
        <v>2.6445339831791732</v>
      </c>
      <c r="T10" s="6">
        <f t="shared" si="13"/>
        <v>2.7062825372228025</v>
      </c>
      <c r="U10" s="6">
        <f t="shared" si="13"/>
        <v>2.7814243946428032</v>
      </c>
      <c r="V10" s="6">
        <f t="shared" si="13"/>
        <v>2.8703877111476017</v>
      </c>
      <c r="W10" s="6">
        <f t="shared" si="13"/>
        <v>2.9633446916374409</v>
      </c>
      <c r="X10" s="6">
        <f t="shared" si="13"/>
        <v>3.0644773352599146</v>
      </c>
      <c r="Y10" s="6">
        <f t="shared" si="13"/>
        <v>3.177831075406619</v>
      </c>
      <c r="Z10" s="6">
        <f t="shared" si="13"/>
        <v>3.3009541457446412</v>
      </c>
      <c r="AA10" s="6">
        <f t="shared" si="13"/>
        <v>3.431180605249248</v>
      </c>
      <c r="AB10" s="6">
        <f t="shared" si="13"/>
        <v>3.5677186955291949</v>
      </c>
      <c r="AC10" s="6">
        <f t="shared" si="13"/>
        <v>3.7123972071075513</v>
      </c>
      <c r="AD10" s="6">
        <f t="shared" si="13"/>
        <v>3.8592437618342785</v>
      </c>
      <c r="AE10" s="6">
        <f t="shared" si="13"/>
        <v>4.0067001340671311</v>
      </c>
      <c r="AF10" s="6">
        <f t="shared" si="13"/>
        <v>4.7984466837056834</v>
      </c>
      <c r="AG10" s="6">
        <f t="shared" si="13"/>
        <v>5.7503222134702492</v>
      </c>
      <c r="AH10" s="6">
        <f t="shared" si="6"/>
        <v>6.740936423599817</v>
      </c>
      <c r="AI10" s="6">
        <f t="shared" si="7"/>
        <v>7.5483700913142799</v>
      </c>
      <c r="AJ10" s="6">
        <f t="shared" si="8"/>
        <v>8.0758441189923502</v>
      </c>
      <c r="AK10" s="6">
        <f t="shared" si="9"/>
        <v>8.2548009488935836</v>
      </c>
      <c r="AL10" s="107"/>
      <c r="AM10" s="107"/>
    </row>
    <row r="11" spans="1:41">
      <c r="A11" s="115" t="s">
        <v>505</v>
      </c>
      <c r="B11">
        <f t="shared" si="11"/>
        <v>5</v>
      </c>
      <c r="C11" s="265">
        <v>138.08343097582718</v>
      </c>
      <c r="D11" s="265">
        <v>143.16360238477418</v>
      </c>
      <c r="E11" s="265">
        <v>146.98438355117329</v>
      </c>
      <c r="F11" s="265">
        <v>148.78204922418408</v>
      </c>
      <c r="G11" s="265">
        <v>151.86270236184362</v>
      </c>
      <c r="H11" s="265">
        <v>153.55950890468549</v>
      </c>
      <c r="I11" s="265">
        <v>155.74281242834212</v>
      </c>
      <c r="J11" s="265">
        <v>155.24</v>
      </c>
      <c r="K11" s="265">
        <v>152.88999999999999</v>
      </c>
      <c r="L11" s="6">
        <f t="shared" ref="L11:AG11" si="14">L49/K49*K11</f>
        <v>149.89510886468165</v>
      </c>
      <c r="M11" s="6">
        <f t="shared" si="14"/>
        <v>153.05903116134692</v>
      </c>
      <c r="N11" s="6">
        <f t="shared" si="14"/>
        <v>153.32655627042456</v>
      </c>
      <c r="O11" s="6">
        <f t="shared" si="14"/>
        <v>154.89162019025139</v>
      </c>
      <c r="P11" s="6">
        <f t="shared" si="14"/>
        <v>156.56135961246713</v>
      </c>
      <c r="Q11" s="6">
        <f t="shared" si="14"/>
        <v>159.02925856361827</v>
      </c>
      <c r="R11" s="6">
        <f t="shared" si="14"/>
        <v>161.8192730358773</v>
      </c>
      <c r="S11" s="6">
        <f t="shared" si="14"/>
        <v>164.87448014005409</v>
      </c>
      <c r="T11" s="6">
        <f t="shared" si="14"/>
        <v>168.7242173005894</v>
      </c>
      <c r="U11" s="6">
        <f t="shared" si="14"/>
        <v>173.40896507001949</v>
      </c>
      <c r="V11" s="6">
        <f t="shared" si="14"/>
        <v>178.95541697933874</v>
      </c>
      <c r="W11" s="6">
        <f t="shared" si="14"/>
        <v>184.75085539349243</v>
      </c>
      <c r="X11" s="6">
        <f t="shared" si="14"/>
        <v>191.05600864487911</v>
      </c>
      <c r="Y11" s="6">
        <f t="shared" si="14"/>
        <v>198.12309082173635</v>
      </c>
      <c r="Z11" s="6">
        <f t="shared" si="14"/>
        <v>205.79924561662574</v>
      </c>
      <c r="AA11" s="6">
        <f t="shared" si="14"/>
        <v>213.91826391923422</v>
      </c>
      <c r="AB11" s="6">
        <f t="shared" si="14"/>
        <v>222.4307832505832</v>
      </c>
      <c r="AC11" s="6">
        <f t="shared" si="14"/>
        <v>231.45082025356476</v>
      </c>
      <c r="AD11" s="6">
        <f t="shared" si="14"/>
        <v>240.60602473379652</v>
      </c>
      <c r="AE11" s="6">
        <f t="shared" si="14"/>
        <v>249.79924851910894</v>
      </c>
      <c r="AF11" s="6">
        <f t="shared" si="14"/>
        <v>299.16098922830128</v>
      </c>
      <c r="AG11" s="6">
        <f t="shared" si="14"/>
        <v>358.50603229683588</v>
      </c>
      <c r="AH11" s="6">
        <f t="shared" si="6"/>
        <v>420.26625317254434</v>
      </c>
      <c r="AI11" s="6">
        <f t="shared" si="7"/>
        <v>470.60601324322431</v>
      </c>
      <c r="AJ11" s="6">
        <f t="shared" si="8"/>
        <v>503.49158274392454</v>
      </c>
      <c r="AK11" s="6">
        <f t="shared" si="9"/>
        <v>514.64871458081905</v>
      </c>
      <c r="AL11" s="107"/>
      <c r="AM11" s="107"/>
    </row>
    <row r="12" spans="1:41">
      <c r="A12" s="115" t="s">
        <v>580</v>
      </c>
      <c r="B12">
        <f t="shared" si="11"/>
        <v>6</v>
      </c>
      <c r="C12" s="265">
        <v>0.14875454246747444</v>
      </c>
      <c r="D12" s="265">
        <v>0.12</v>
      </c>
      <c r="E12" s="265">
        <v>0.12</v>
      </c>
      <c r="F12" s="265">
        <v>0.12</v>
      </c>
      <c r="G12" s="265">
        <v>0.12</v>
      </c>
      <c r="H12" s="265">
        <v>0.12</v>
      </c>
      <c r="I12" s="265">
        <v>0.12</v>
      </c>
      <c r="J12" s="265">
        <v>0.12</v>
      </c>
      <c r="K12" s="265">
        <v>0.12</v>
      </c>
      <c r="L12" s="6">
        <f t="shared" ref="L12:AG12" si="15">L50/K50*K12</f>
        <v>0.11586841705592502</v>
      </c>
      <c r="M12" s="6">
        <f t="shared" si="15"/>
        <v>0.11831411839320811</v>
      </c>
      <c r="N12" s="6">
        <f t="shared" si="15"/>
        <v>0.11852091440640909</v>
      </c>
      <c r="O12" s="6">
        <f t="shared" si="15"/>
        <v>0.11973070357401548</v>
      </c>
      <c r="P12" s="6">
        <f t="shared" si="15"/>
        <v>0.12102140655434201</v>
      </c>
      <c r="Q12" s="6">
        <f t="shared" si="15"/>
        <v>0.12292908417697884</v>
      </c>
      <c r="R12" s="6">
        <f t="shared" si="15"/>
        <v>0.12508575601845709</v>
      </c>
      <c r="S12" s="6">
        <f t="shared" si="15"/>
        <v>0.12744742087610469</v>
      </c>
      <c r="T12" s="6">
        <f t="shared" si="15"/>
        <v>0.13042325480591815</v>
      </c>
      <c r="U12" s="6">
        <f t="shared" si="15"/>
        <v>0.13404454913941216</v>
      </c>
      <c r="V12" s="6">
        <f t="shared" si="15"/>
        <v>0.13833193788663137</v>
      </c>
      <c r="W12" s="6">
        <f t="shared" si="15"/>
        <v>0.1428117923680694</v>
      </c>
      <c r="X12" s="6">
        <f t="shared" si="15"/>
        <v>0.14768565471132114</v>
      </c>
      <c r="Y12" s="6">
        <f t="shared" si="15"/>
        <v>0.15314848556176472</v>
      </c>
      <c r="Z12" s="6">
        <f t="shared" si="15"/>
        <v>0.15908212750576578</v>
      </c>
      <c r="AA12" s="6">
        <f t="shared" si="15"/>
        <v>0.165358101457795</v>
      </c>
      <c r="AB12" s="6">
        <f t="shared" si="15"/>
        <v>0.17193825038694907</v>
      </c>
      <c r="AC12" s="6">
        <f t="shared" si="15"/>
        <v>0.17891070877626744</v>
      </c>
      <c r="AD12" s="6">
        <f t="shared" si="15"/>
        <v>0.18598765117273622</v>
      </c>
      <c r="AE12" s="6">
        <f t="shared" si="15"/>
        <v>0.19309398236468092</v>
      </c>
      <c r="AF12" s="6">
        <f t="shared" si="15"/>
        <v>0.23125044258822561</v>
      </c>
      <c r="AG12" s="6">
        <f t="shared" si="15"/>
        <v>0.27712396209495166</v>
      </c>
      <c r="AH12" s="6">
        <f t="shared" si="6"/>
        <v>0.32486440595661753</v>
      </c>
      <c r="AI12" s="6">
        <f t="shared" si="7"/>
        <v>0.36377687187056751</v>
      </c>
      <c r="AJ12" s="6">
        <f t="shared" si="8"/>
        <v>0.38919730693939025</v>
      </c>
      <c r="AK12" s="6">
        <f t="shared" si="9"/>
        <v>0.39782173247679908</v>
      </c>
      <c r="AL12" s="107"/>
      <c r="AM12" s="107"/>
    </row>
    <row r="13" spans="1:41">
      <c r="A13" s="115" t="s">
        <v>700</v>
      </c>
      <c r="B13">
        <f t="shared" si="11"/>
        <v>7</v>
      </c>
      <c r="C13" s="265">
        <v>0.28999999999999998</v>
      </c>
      <c r="D13" s="265">
        <v>0.28999999999999998</v>
      </c>
      <c r="E13" s="265">
        <v>0.28999999999999998</v>
      </c>
      <c r="F13" s="265">
        <v>0.28999999999999998</v>
      </c>
      <c r="G13" s="265">
        <v>0.28999999999999998</v>
      </c>
      <c r="H13" s="265">
        <v>0.28999999999999998</v>
      </c>
      <c r="I13" s="265">
        <v>0.28999999999999998</v>
      </c>
      <c r="J13" s="265">
        <v>0.28999999999999998</v>
      </c>
      <c r="K13" s="265">
        <v>0.28999999999999998</v>
      </c>
      <c r="L13" s="6">
        <f t="shared" ref="L13:AG13" si="16">L53/K53*K13</f>
        <v>0.29456709709411816</v>
      </c>
      <c r="M13" s="6">
        <f t="shared" si="16"/>
        <v>0.30078469427536703</v>
      </c>
      <c r="N13" s="6">
        <f t="shared" si="16"/>
        <v>0.30131042253546614</v>
      </c>
      <c r="O13" s="6">
        <f t="shared" si="16"/>
        <v>0.30438601545588834</v>
      </c>
      <c r="P13" s="6">
        <f t="shared" si="16"/>
        <v>0.30766731194535368</v>
      </c>
      <c r="Q13" s="6">
        <f t="shared" si="16"/>
        <v>0.31251711548776595</v>
      </c>
      <c r="R13" s="6">
        <f t="shared" si="16"/>
        <v>0.31799992590211951</v>
      </c>
      <c r="S13" s="6">
        <f t="shared" si="16"/>
        <v>0.32400388089781668</v>
      </c>
      <c r="T13" s="6">
        <f t="shared" si="16"/>
        <v>0.33156921047089821</v>
      </c>
      <c r="U13" s="6">
        <f t="shared" si="16"/>
        <v>0.34077546517467872</v>
      </c>
      <c r="V13" s="6">
        <f t="shared" si="16"/>
        <v>0.35167510193050655</v>
      </c>
      <c r="W13" s="6">
        <f t="shared" si="16"/>
        <v>0.36306403571877388</v>
      </c>
      <c r="X13" s="6">
        <f t="shared" si="16"/>
        <v>0.37545463808106438</v>
      </c>
      <c r="Y13" s="6">
        <f t="shared" si="16"/>
        <v>0.3893425487509295</v>
      </c>
      <c r="Z13" s="6">
        <f t="shared" si="16"/>
        <v>0.40442738141759726</v>
      </c>
      <c r="AA13" s="6">
        <f t="shared" si="16"/>
        <v>0.42038250944523969</v>
      </c>
      <c r="AB13" s="6">
        <f t="shared" si="16"/>
        <v>0.43711092791989914</v>
      </c>
      <c r="AC13" s="6">
        <f t="shared" si="16"/>
        <v>0.45483669719799097</v>
      </c>
      <c r="AD13" s="6">
        <f t="shared" si="16"/>
        <v>0.47282809149678362</v>
      </c>
      <c r="AE13" s="6">
        <f t="shared" si="16"/>
        <v>0.49089419961656738</v>
      </c>
      <c r="AF13" s="6">
        <f t="shared" si="16"/>
        <v>0.58789766276055611</v>
      </c>
      <c r="AG13" s="6">
        <f t="shared" si="16"/>
        <v>0.70451986074971651</v>
      </c>
      <c r="AH13" s="6">
        <f t="shared" ref="AH13:AH14" si="17">AH53/AG53*AG13</f>
        <v>0.82588825707058888</v>
      </c>
      <c r="AI13" s="6">
        <f t="shared" ref="AI13:AI14" si="18">AI53/AH53*AH13</f>
        <v>0.92481367968608619</v>
      </c>
      <c r="AJ13" s="6">
        <f t="shared" ref="AJ13:AJ14" si="19">AJ53/AI53*AI13</f>
        <v>0.98943891540910844</v>
      </c>
      <c r="AK13" s="6">
        <f t="shared" ref="AK13:AK14" si="20">AK53/AJ53*AJ13</f>
        <v>1.011364406921025</v>
      </c>
      <c r="AL13" s="107"/>
      <c r="AM13" s="107"/>
    </row>
    <row r="14" spans="1:41">
      <c r="A14" s="115" t="s">
        <v>701</v>
      </c>
      <c r="B14">
        <f t="shared" si="11"/>
        <v>8</v>
      </c>
      <c r="C14" s="265">
        <v>0.08</v>
      </c>
      <c r="D14" s="265">
        <v>0.08</v>
      </c>
      <c r="E14" s="265">
        <v>0.08</v>
      </c>
      <c r="F14" s="265">
        <v>0.08</v>
      </c>
      <c r="G14" s="265">
        <v>0.08</v>
      </c>
      <c r="H14" s="265">
        <v>0.08</v>
      </c>
      <c r="I14" s="265">
        <v>0.08</v>
      </c>
      <c r="J14" s="265">
        <v>0.08</v>
      </c>
      <c r="K14" s="265">
        <v>0.08</v>
      </c>
      <c r="L14" s="6">
        <f t="shared" ref="L14:AG14" si="21">L54/K54*K14</f>
        <v>8.3762449651115956E-2</v>
      </c>
      <c r="M14" s="6">
        <f t="shared" si="21"/>
        <v>8.5362652656875371E-2</v>
      </c>
      <c r="N14" s="6">
        <f t="shared" si="21"/>
        <v>8.5533377962189128E-2</v>
      </c>
      <c r="O14" s="6">
        <f t="shared" si="21"/>
        <v>8.6388711741811022E-2</v>
      </c>
      <c r="P14" s="6">
        <f t="shared" si="21"/>
        <v>8.733898757097093E-2</v>
      </c>
      <c r="Q14" s="6">
        <f t="shared" si="21"/>
        <v>8.856173339696452E-2</v>
      </c>
      <c r="R14" s="6">
        <f t="shared" si="21"/>
        <v>8.9978721131315956E-2</v>
      </c>
      <c r="S14" s="6">
        <f t="shared" si="21"/>
        <v>9.1598338111679639E-2</v>
      </c>
      <c r="T14" s="6">
        <f t="shared" si="21"/>
        <v>9.3616407250732656E-2</v>
      </c>
      <c r="U14" s="6">
        <f t="shared" si="21"/>
        <v>9.6070875405744882E-2</v>
      </c>
      <c r="V14" s="6">
        <f t="shared" si="21"/>
        <v>9.8893285579531434E-2</v>
      </c>
      <c r="W14" s="6">
        <f t="shared" si="21"/>
        <v>0.10186775225636913</v>
      </c>
      <c r="X14" s="6">
        <f t="shared" si="21"/>
        <v>0.10502338146078069</v>
      </c>
      <c r="Y14" s="6">
        <f t="shared" si="21"/>
        <v>0.10863260720612865</v>
      </c>
      <c r="Z14" s="6">
        <f t="shared" si="21"/>
        <v>0.11245698489217536</v>
      </c>
      <c r="AA14" s="6">
        <f t="shared" si="21"/>
        <v>0.1165103239459233</v>
      </c>
      <c r="AB14" s="6">
        <f t="shared" si="21"/>
        <v>0.1208220236331964</v>
      </c>
      <c r="AC14" s="6">
        <f t="shared" si="21"/>
        <v>0.12533544428447041</v>
      </c>
      <c r="AD14" s="6">
        <f t="shared" si="21"/>
        <v>0.12991839840314054</v>
      </c>
      <c r="AE14" s="6">
        <f t="shared" si="21"/>
        <v>0.1345186275630148</v>
      </c>
      <c r="AF14" s="6">
        <f t="shared" si="21"/>
        <v>0.15958048011121059</v>
      </c>
      <c r="AG14" s="6">
        <f t="shared" si="21"/>
        <v>0.18978255443440251</v>
      </c>
      <c r="AH14" s="6">
        <f t="shared" si="17"/>
        <v>0.22123965632948117</v>
      </c>
      <c r="AI14" s="6">
        <f t="shared" si="18"/>
        <v>0.2468401786190447</v>
      </c>
      <c r="AJ14" s="6">
        <f t="shared" si="19"/>
        <v>0.2634791456581409</v>
      </c>
      <c r="AK14" s="6">
        <f t="shared" si="20"/>
        <v>0.26895676595325468</v>
      </c>
      <c r="AL14" s="107"/>
      <c r="AM14" s="107"/>
    </row>
    <row r="15" spans="1:41">
      <c r="A15" s="115" t="s">
        <v>372</v>
      </c>
      <c r="B15">
        <f>B12+1</f>
        <v>7</v>
      </c>
      <c r="C15" s="265">
        <v>19.344853564503961</v>
      </c>
      <c r="D15" s="265">
        <v>19.93389877641825</v>
      </c>
      <c r="E15" s="265">
        <v>20.313674916573973</v>
      </c>
      <c r="F15" s="265">
        <v>20.822458982202448</v>
      </c>
      <c r="G15" s="265">
        <v>20.887687708565075</v>
      </c>
      <c r="H15" s="265">
        <v>21.03698901557286</v>
      </c>
      <c r="I15" s="265">
        <v>21.050034760845385</v>
      </c>
      <c r="J15" s="265">
        <v>20.85</v>
      </c>
      <c r="K15" s="265">
        <v>19.82</v>
      </c>
      <c r="L15" s="6">
        <f t="shared" ref="L15:AG15" si="22">L53/K53*K15</f>
        <v>20.132137463466972</v>
      </c>
      <c r="M15" s="6">
        <f t="shared" si="22"/>
        <v>20.557078070819912</v>
      </c>
      <c r="N15" s="6">
        <f t="shared" si="22"/>
        <v>20.593008878113583</v>
      </c>
      <c r="O15" s="6">
        <f t="shared" si="22"/>
        <v>20.8032097459852</v>
      </c>
      <c r="P15" s="6">
        <f t="shared" si="22"/>
        <v>21.027469388816932</v>
      </c>
      <c r="Q15" s="6">
        <f t="shared" si="22"/>
        <v>21.358928375750075</v>
      </c>
      <c r="R15" s="6">
        <f t="shared" si="22"/>
        <v>21.733650108206927</v>
      </c>
      <c r="S15" s="6">
        <f t="shared" si="22"/>
        <v>22.143989377223193</v>
      </c>
      <c r="T15" s="6">
        <f t="shared" si="22"/>
        <v>22.661040522528282</v>
      </c>
      <c r="U15" s="6">
        <f t="shared" si="22"/>
        <v>23.290240412972864</v>
      </c>
      <c r="V15" s="6">
        <f t="shared" si="22"/>
        <v>24.0351742078022</v>
      </c>
      <c r="W15" s="6">
        <f t="shared" si="22"/>
        <v>24.813548923952059</v>
      </c>
      <c r="X15" s="6">
        <f t="shared" si="22"/>
        <v>25.660382506092049</v>
      </c>
      <c r="Y15" s="6">
        <f t="shared" si="22"/>
        <v>26.609549366356621</v>
      </c>
      <c r="Z15" s="6">
        <f t="shared" si="22"/>
        <v>27.640519654126813</v>
      </c>
      <c r="AA15" s="6">
        <f t="shared" si="22"/>
        <v>28.730970128291894</v>
      </c>
      <c r="AB15" s="6">
        <f t="shared" si="22"/>
        <v>29.874271004732414</v>
      </c>
      <c r="AC15" s="6">
        <f t="shared" si="22"/>
        <v>31.085735649876483</v>
      </c>
      <c r="AD15" s="6">
        <f t="shared" si="22"/>
        <v>32.315354391262936</v>
      </c>
      <c r="AE15" s="6">
        <f t="shared" si="22"/>
        <v>33.550079435863331</v>
      </c>
      <c r="AF15" s="6">
        <f t="shared" si="22"/>
        <v>40.179764399704219</v>
      </c>
      <c r="AG15" s="6">
        <f t="shared" si="22"/>
        <v>48.150288413997878</v>
      </c>
      <c r="AH15" s="6">
        <f t="shared" ref="AH15:AH27" si="23">AH53/AG53*AG15</f>
        <v>56.445190534962329</v>
      </c>
      <c r="AI15" s="6">
        <f t="shared" ref="AI15:AI27" si="24">AI53/AH53*AH15</f>
        <v>63.206231487511147</v>
      </c>
      <c r="AJ15" s="6">
        <f t="shared" ref="AJ15:AJ27" si="25">AJ53/AI53*AI15</f>
        <v>67.623032080719085</v>
      </c>
      <c r="AK15" s="6">
        <f t="shared" ref="AK15:AK27" si="26">AK53/AJ53*AJ15</f>
        <v>69.121526017843863</v>
      </c>
      <c r="AL15" s="107"/>
      <c r="AM15" s="107"/>
    </row>
    <row r="16" spans="1:41">
      <c r="A16" s="115" t="s">
        <v>371</v>
      </c>
      <c r="B16">
        <f t="shared" si="11"/>
        <v>8</v>
      </c>
      <c r="C16" s="265">
        <v>186.51301855651582</v>
      </c>
      <c r="D16" s="265">
        <v>191.20040429598868</v>
      </c>
      <c r="E16" s="265">
        <v>192.19084947996168</v>
      </c>
      <c r="F16" s="265">
        <v>198.3568473622208</v>
      </c>
      <c r="G16" s="265">
        <v>195.64424405359443</v>
      </c>
      <c r="H16" s="265">
        <v>201.78663829260577</v>
      </c>
      <c r="I16" s="265">
        <v>200.62824410860065</v>
      </c>
      <c r="J16" s="265">
        <v>198.05</v>
      </c>
      <c r="K16" s="265">
        <v>190.12</v>
      </c>
      <c r="L16" s="6">
        <f t="shared" ref="L16:AG16" si="27">L54/K54*K16</f>
        <v>199.06146159587709</v>
      </c>
      <c r="M16" s="6">
        <f t="shared" si="27"/>
        <v>202.86434403906432</v>
      </c>
      <c r="N16" s="6">
        <f t="shared" si="27"/>
        <v>203.27007272714246</v>
      </c>
      <c r="O16" s="6">
        <f t="shared" si="27"/>
        <v>205.30277345441388</v>
      </c>
      <c r="P16" s="6">
        <f t="shared" si="27"/>
        <v>207.5611039624124</v>
      </c>
      <c r="Q16" s="6">
        <f t="shared" si="27"/>
        <v>210.46695941788619</v>
      </c>
      <c r="R16" s="6">
        <f t="shared" si="27"/>
        <v>213.83443076857236</v>
      </c>
      <c r="S16" s="6">
        <f t="shared" si="27"/>
        <v>217.68345052240667</v>
      </c>
      <c r="T16" s="6">
        <f t="shared" si="27"/>
        <v>222.47939183136617</v>
      </c>
      <c r="U16" s="6">
        <f t="shared" si="27"/>
        <v>228.31243540175274</v>
      </c>
      <c r="V16" s="6">
        <f t="shared" si="27"/>
        <v>235.01989317975648</v>
      </c>
      <c r="W16" s="6">
        <f t="shared" si="27"/>
        <v>242.08871323726126</v>
      </c>
      <c r="X16" s="6">
        <f t="shared" si="27"/>
        <v>249.58806604154535</v>
      </c>
      <c r="Y16" s="6">
        <f t="shared" si="27"/>
        <v>258.16539102536478</v>
      </c>
      <c r="Z16" s="6">
        <f t="shared" si="27"/>
        <v>267.25402459625479</v>
      </c>
      <c r="AA16" s="6">
        <f t="shared" si="27"/>
        <v>276.88678485748676</v>
      </c>
      <c r="AB16" s="6">
        <f t="shared" si="27"/>
        <v>287.13353916429128</v>
      </c>
      <c r="AC16" s="6">
        <f t="shared" si="27"/>
        <v>297.85968334204398</v>
      </c>
      <c r="AD16" s="6">
        <f t="shared" si="27"/>
        <v>308.75107380506353</v>
      </c>
      <c r="AE16" s="6">
        <f t="shared" si="27"/>
        <v>319.68351840350471</v>
      </c>
      <c r="AF16" s="6">
        <f t="shared" si="27"/>
        <v>379.24301098429203</v>
      </c>
      <c r="AG16" s="6">
        <f t="shared" si="27"/>
        <v>451.01824061335759</v>
      </c>
      <c r="AH16" s="6">
        <f t="shared" si="23"/>
        <v>525.77604326701203</v>
      </c>
      <c r="AI16" s="6">
        <f t="shared" si="24"/>
        <v>586.61568448815979</v>
      </c>
      <c r="AJ16" s="6">
        <f t="shared" si="25"/>
        <v>626.15818965657195</v>
      </c>
      <c r="AK16" s="6">
        <f t="shared" si="26"/>
        <v>639.17575428790985</v>
      </c>
      <c r="AL16" s="107"/>
      <c r="AM16" s="107"/>
    </row>
    <row r="17" spans="1:39">
      <c r="A17" s="115" t="s">
        <v>698</v>
      </c>
      <c r="B17">
        <f t="shared" si="11"/>
        <v>9</v>
      </c>
      <c r="C17" s="265">
        <v>91.99927686334776</v>
      </c>
      <c r="D17" s="265">
        <v>94.311373368720652</v>
      </c>
      <c r="E17" s="265">
        <v>94.799919645026264</v>
      </c>
      <c r="F17" s="265">
        <v>97.841355308332979</v>
      </c>
      <c r="G17" s="265">
        <v>96.503338558927737</v>
      </c>
      <c r="H17" s="265">
        <v>99.533131506208818</v>
      </c>
      <c r="I17" s="265">
        <v>98.961742827413289</v>
      </c>
      <c r="J17" s="265">
        <v>97.69</v>
      </c>
      <c r="K17" s="265">
        <v>74.06</v>
      </c>
      <c r="L17" s="6">
        <f t="shared" ref="L17:AG17" si="28">L55/K55*K17</f>
        <v>94.326547184944275</v>
      </c>
      <c r="M17" s="6">
        <f t="shared" si="28"/>
        <v>96.317551881937518</v>
      </c>
      <c r="N17" s="6">
        <f t="shared" si="28"/>
        <v>96.485901069684218</v>
      </c>
      <c r="O17" s="6">
        <f t="shared" si="28"/>
        <v>97.470770267879814</v>
      </c>
      <c r="P17" s="6">
        <f t="shared" si="28"/>
        <v>98.521510052447297</v>
      </c>
      <c r="Q17" s="6">
        <f t="shared" si="28"/>
        <v>100.07451861040887</v>
      </c>
      <c r="R17" s="6">
        <f t="shared" si="28"/>
        <v>101.83022921202563</v>
      </c>
      <c r="S17" s="6">
        <f t="shared" si="28"/>
        <v>103.75282121155556</v>
      </c>
      <c r="T17" s="6">
        <f t="shared" si="28"/>
        <v>106.17539801658454</v>
      </c>
      <c r="U17" s="6">
        <f t="shared" si="28"/>
        <v>109.12343337857642</v>
      </c>
      <c r="V17" s="6">
        <f t="shared" si="28"/>
        <v>112.61372510120846</v>
      </c>
      <c r="W17" s="6">
        <f t="shared" si="28"/>
        <v>116.26069997030581</v>
      </c>
      <c r="X17" s="6">
        <f t="shared" si="28"/>
        <v>120.228430072908</v>
      </c>
      <c r="Y17" s="6">
        <f t="shared" si="28"/>
        <v>124.67562962107331</v>
      </c>
      <c r="Z17" s="6">
        <f t="shared" si="28"/>
        <v>129.50610863365219</v>
      </c>
      <c r="AA17" s="6">
        <f t="shared" si="28"/>
        <v>134.61527442843331</v>
      </c>
      <c r="AB17" s="6">
        <f t="shared" si="28"/>
        <v>139.97206400250883</v>
      </c>
      <c r="AC17" s="6">
        <f t="shared" si="28"/>
        <v>145.64822616961308</v>
      </c>
      <c r="AD17" s="6">
        <f t="shared" si="28"/>
        <v>151.40944702553836</v>
      </c>
      <c r="AE17" s="6">
        <f t="shared" si="28"/>
        <v>157.19459281004734</v>
      </c>
      <c r="AF17" s="6">
        <f t="shared" si="28"/>
        <v>188.25713113703131</v>
      </c>
      <c r="AG17" s="6">
        <f t="shared" si="28"/>
        <v>225.6019988087985</v>
      </c>
      <c r="AH17" s="6">
        <f t="shared" si="23"/>
        <v>264.46669848251634</v>
      </c>
      <c r="AI17" s="6">
        <f t="shared" si="24"/>
        <v>296.14468844196443</v>
      </c>
      <c r="AJ17" s="6">
        <f t="shared" si="25"/>
        <v>316.83904095757515</v>
      </c>
      <c r="AK17" s="6">
        <f t="shared" si="26"/>
        <v>323.86004204715402</v>
      </c>
      <c r="AL17" s="107"/>
      <c r="AM17" s="107"/>
    </row>
    <row r="18" spans="1:39">
      <c r="A18" s="115" t="s">
        <v>510</v>
      </c>
      <c r="B18">
        <f t="shared" si="11"/>
        <v>10</v>
      </c>
      <c r="C18" s="265">
        <v>18.748363502594032</v>
      </c>
      <c r="D18" s="265">
        <v>15.909210489014884</v>
      </c>
      <c r="E18" s="265">
        <v>14.603991495393339</v>
      </c>
      <c r="F18" s="265">
        <v>14.80978596739901</v>
      </c>
      <c r="G18" s="265">
        <v>14.414883061658401</v>
      </c>
      <c r="H18" s="265">
        <v>13.877221828490436</v>
      </c>
      <c r="I18" s="265">
        <v>13.621369241672575</v>
      </c>
      <c r="J18" s="265">
        <v>13.08</v>
      </c>
      <c r="K18" s="265">
        <v>12.33</v>
      </c>
      <c r="L18" s="6">
        <f t="shared" ref="L18:AG18" si="29">L56/K56*K18</f>
        <v>12.629657459095826</v>
      </c>
      <c r="M18" s="6">
        <f t="shared" si="29"/>
        <v>12.896238904859688</v>
      </c>
      <c r="N18" s="6">
        <f t="shared" si="29"/>
        <v>12.918779670298596</v>
      </c>
      <c r="O18" s="6">
        <f t="shared" si="29"/>
        <v>13.050646689567692</v>
      </c>
      <c r="P18" s="6">
        <f t="shared" si="29"/>
        <v>13.191333314423288</v>
      </c>
      <c r="Q18" s="6">
        <f t="shared" si="29"/>
        <v>13.399270175290699</v>
      </c>
      <c r="R18" s="6">
        <f t="shared" si="29"/>
        <v>13.634347406011829</v>
      </c>
      <c r="S18" s="6">
        <f t="shared" si="29"/>
        <v>13.891768875495417</v>
      </c>
      <c r="T18" s="6">
        <f t="shared" si="29"/>
        <v>14.216134773845086</v>
      </c>
      <c r="U18" s="6">
        <f t="shared" si="29"/>
        <v>14.610855856195929</v>
      </c>
      <c r="V18" s="6">
        <f t="shared" si="29"/>
        <v>15.078181229642825</v>
      </c>
      <c r="W18" s="6">
        <f t="shared" si="29"/>
        <v>15.566485368119571</v>
      </c>
      <c r="X18" s="6">
        <f t="shared" si="29"/>
        <v>16.097736363534011</v>
      </c>
      <c r="Y18" s="6">
        <f t="shared" si="29"/>
        <v>16.693184926232366</v>
      </c>
      <c r="Z18" s="6">
        <f t="shared" si="29"/>
        <v>17.339951898128483</v>
      </c>
      <c r="AA18" s="6">
        <f t="shared" si="29"/>
        <v>18.024033058899668</v>
      </c>
      <c r="AB18" s="6">
        <f t="shared" si="29"/>
        <v>18.74126929217746</v>
      </c>
      <c r="AC18" s="6">
        <f t="shared" si="29"/>
        <v>19.501267256613158</v>
      </c>
      <c r="AD18" s="6">
        <f t="shared" si="29"/>
        <v>20.272653977828256</v>
      </c>
      <c r="AE18" s="6">
        <f t="shared" si="29"/>
        <v>21.047244077750229</v>
      </c>
      <c r="AF18" s="6">
        <f t="shared" si="29"/>
        <v>25.206298242116603</v>
      </c>
      <c r="AG18" s="6">
        <f t="shared" si="29"/>
        <v>30.206511868349747</v>
      </c>
      <c r="AH18" s="6">
        <f t="shared" si="23"/>
        <v>35.410220249271333</v>
      </c>
      <c r="AI18" s="6">
        <f t="shared" si="24"/>
        <v>39.651679033891881</v>
      </c>
      <c r="AJ18" s="6">
        <f t="shared" si="25"/>
        <v>42.422506456393563</v>
      </c>
      <c r="AK18" s="6">
        <f t="shared" si="26"/>
        <v>43.362568839971125</v>
      </c>
      <c r="AL18" s="107"/>
      <c r="AM18" s="107"/>
    </row>
    <row r="19" spans="1:39">
      <c r="A19" s="115" t="s">
        <v>509</v>
      </c>
      <c r="B19">
        <f t="shared" si="11"/>
        <v>11</v>
      </c>
      <c r="C19" s="265">
        <v>16.099074173411047</v>
      </c>
      <c r="D19" s="265">
        <v>16.518849146566016</v>
      </c>
      <c r="E19" s="265">
        <v>16.808536607755151</v>
      </c>
      <c r="F19" s="265">
        <v>17.0461507724374</v>
      </c>
      <c r="G19" s="265">
        <v>17.232929214387152</v>
      </c>
      <c r="H19" s="265">
        <v>17.424562753451802</v>
      </c>
      <c r="I19" s="265">
        <v>17.64894439854638</v>
      </c>
      <c r="J19" s="265">
        <v>17.63</v>
      </c>
      <c r="K19" s="265">
        <v>16.46</v>
      </c>
      <c r="L19" s="6">
        <f t="shared" ref="L19:AG19" si="30">L57/K57*K19</f>
        <v>17.023001605799649</v>
      </c>
      <c r="M19" s="6">
        <f t="shared" si="30"/>
        <v>17.382315893935495</v>
      </c>
      <c r="N19" s="6">
        <f t="shared" si="30"/>
        <v>17.412697674874938</v>
      </c>
      <c r="O19" s="6">
        <f t="shared" si="30"/>
        <v>17.590435866749111</v>
      </c>
      <c r="P19" s="6">
        <f t="shared" si="30"/>
        <v>17.780061646275421</v>
      </c>
      <c r="Q19" s="6">
        <f t="shared" si="30"/>
        <v>18.060331283667811</v>
      </c>
      <c r="R19" s="6">
        <f t="shared" si="30"/>
        <v>18.377182321711658</v>
      </c>
      <c r="S19" s="6">
        <f t="shared" si="30"/>
        <v>18.724150250381051</v>
      </c>
      <c r="T19" s="6">
        <f t="shared" si="30"/>
        <v>19.161349851902813</v>
      </c>
      <c r="U19" s="6">
        <f t="shared" si="30"/>
        <v>19.693378344398642</v>
      </c>
      <c r="V19" s="6">
        <f t="shared" si="30"/>
        <v>20.323267207844264</v>
      </c>
      <c r="W19" s="6">
        <f t="shared" si="30"/>
        <v>20.981432495408868</v>
      </c>
      <c r="X19" s="6">
        <f t="shared" si="30"/>
        <v>21.697484104671609</v>
      </c>
      <c r="Y19" s="6">
        <f t="shared" si="30"/>
        <v>22.50006500378262</v>
      </c>
      <c r="Z19" s="6">
        <f t="shared" si="30"/>
        <v>23.371815899388775</v>
      </c>
      <c r="AA19" s="6">
        <f t="shared" si="30"/>
        <v>24.293861072507738</v>
      </c>
      <c r="AB19" s="6">
        <f t="shared" si="30"/>
        <v>25.260594619349291</v>
      </c>
      <c r="AC19" s="6">
        <f t="shared" si="30"/>
        <v>26.284964964379984</v>
      </c>
      <c r="AD19" s="6">
        <f t="shared" si="30"/>
        <v>27.324685751461189</v>
      </c>
      <c r="AE19" s="6">
        <f t="shared" si="30"/>
        <v>28.368724242411069</v>
      </c>
      <c r="AF19" s="6">
        <f t="shared" si="30"/>
        <v>33.974544190253518</v>
      </c>
      <c r="AG19" s="6">
        <f t="shared" si="30"/>
        <v>40.714128764450024</v>
      </c>
      <c r="AH19" s="6">
        <f t="shared" si="23"/>
        <v>47.727995641793115</v>
      </c>
      <c r="AI19" s="6">
        <f t="shared" si="24"/>
        <v>53.444885425650945</v>
      </c>
      <c r="AJ19" s="6">
        <f t="shared" si="25"/>
        <v>57.179571011178822</v>
      </c>
      <c r="AK19" s="6">
        <f t="shared" si="26"/>
        <v>58.446642863049803</v>
      </c>
      <c r="AL19" s="107"/>
      <c r="AM19" s="107"/>
    </row>
    <row r="20" spans="1:39">
      <c r="A20" s="115" t="s">
        <v>506</v>
      </c>
      <c r="B20">
        <f t="shared" si="11"/>
        <v>12</v>
      </c>
      <c r="C20" s="265">
        <v>335.77331305186084</v>
      </c>
      <c r="D20" s="265">
        <v>345.12368336779264</v>
      </c>
      <c r="E20" s="265">
        <v>351.73654833895557</v>
      </c>
      <c r="F20" s="265">
        <v>356.62847152051233</v>
      </c>
      <c r="G20" s="265">
        <v>360.31274126727499</v>
      </c>
      <c r="H20" s="265">
        <v>363.08022098030375</v>
      </c>
      <c r="I20" s="265">
        <v>367.26352107202263</v>
      </c>
      <c r="J20" s="265">
        <v>366.87</v>
      </c>
      <c r="K20" s="265">
        <v>340.31</v>
      </c>
      <c r="L20" s="6">
        <f t="shared" ref="L20:AG20" si="31">L58/K58*K20</f>
        <v>354.2387180442268</v>
      </c>
      <c r="M20" s="6">
        <f t="shared" si="31"/>
        <v>361.71583845763558</v>
      </c>
      <c r="N20" s="6">
        <f t="shared" si="31"/>
        <v>362.34806556899423</v>
      </c>
      <c r="O20" s="6">
        <f t="shared" si="31"/>
        <v>366.04669350165898</v>
      </c>
      <c r="P20" s="6">
        <f t="shared" si="31"/>
        <v>369.99269518826236</v>
      </c>
      <c r="Q20" s="6">
        <f t="shared" si="31"/>
        <v>375.82494260006882</v>
      </c>
      <c r="R20" s="6">
        <f t="shared" si="31"/>
        <v>382.41842758742825</v>
      </c>
      <c r="S20" s="6">
        <f t="shared" si="31"/>
        <v>389.63862747347139</v>
      </c>
      <c r="T20" s="6">
        <f t="shared" si="31"/>
        <v>398.73649575539355</v>
      </c>
      <c r="U20" s="6">
        <f t="shared" si="31"/>
        <v>409.80769785646811</v>
      </c>
      <c r="V20" s="6">
        <f t="shared" si="31"/>
        <v>422.91531710390404</v>
      </c>
      <c r="W20" s="6">
        <f t="shared" si="31"/>
        <v>436.61135221728046</v>
      </c>
      <c r="X20" s="6">
        <f t="shared" si="31"/>
        <v>451.51196786618686</v>
      </c>
      <c r="Y20" s="6">
        <f t="shared" si="31"/>
        <v>468.21320748370556</v>
      </c>
      <c r="Z20" s="6">
        <f t="shared" si="31"/>
        <v>486.35383431700279</v>
      </c>
      <c r="AA20" s="6">
        <f t="shared" si="31"/>
        <v>505.54105568184406</v>
      </c>
      <c r="AB20" s="6">
        <f t="shared" si="31"/>
        <v>525.65821599550031</v>
      </c>
      <c r="AC20" s="6">
        <f t="shared" si="31"/>
        <v>546.97476440624382</v>
      </c>
      <c r="AD20" s="6">
        <f t="shared" si="31"/>
        <v>568.61074654784807</v>
      </c>
      <c r="AE20" s="6">
        <f t="shared" si="31"/>
        <v>590.33657758442098</v>
      </c>
      <c r="AF20" s="6">
        <f t="shared" si="31"/>
        <v>706.99041560285298</v>
      </c>
      <c r="AG20" s="6">
        <f t="shared" si="31"/>
        <v>847.23723311479125</v>
      </c>
      <c r="AH20" s="6">
        <f t="shared" si="23"/>
        <v>993.19170511086941</v>
      </c>
      <c r="AI20" s="6">
        <f t="shared" si="24"/>
        <v>1112.156841526293</v>
      </c>
      <c r="AJ20" s="6">
        <f t="shared" si="25"/>
        <v>1189.8734666404514</v>
      </c>
      <c r="AK20" s="6">
        <f t="shared" si="26"/>
        <v>1216.2404916146945</v>
      </c>
      <c r="AL20" s="107"/>
      <c r="AM20" s="107"/>
    </row>
    <row r="21" spans="1:39">
      <c r="A21" s="115" t="s">
        <v>512</v>
      </c>
      <c r="B21">
        <f t="shared" si="11"/>
        <v>13</v>
      </c>
      <c r="C21" s="265">
        <v>49.680584563226056</v>
      </c>
      <c r="D21" s="265">
        <v>48.564231533814059</v>
      </c>
      <c r="E21" s="265">
        <v>47.459267978951466</v>
      </c>
      <c r="F21" s="265">
        <v>46.356109920093544</v>
      </c>
      <c r="G21" s="265">
        <v>46.356109920093544</v>
      </c>
      <c r="H21" s="265">
        <v>46.356109920093544</v>
      </c>
      <c r="I21" s="265">
        <v>46.327221984018706</v>
      </c>
      <c r="J21" s="265">
        <v>46.32</v>
      </c>
      <c r="K21" s="265">
        <v>29.1</v>
      </c>
      <c r="L21" s="6">
        <f t="shared" ref="L21:AG21" si="32">L59/K59*K21</f>
        <v>44.725208983587052</v>
      </c>
      <c r="M21" s="6">
        <f t="shared" si="32"/>
        <v>45.669249699778327</v>
      </c>
      <c r="N21" s="6">
        <f t="shared" si="32"/>
        <v>45.749072960873903</v>
      </c>
      <c r="O21" s="6">
        <f t="shared" si="32"/>
        <v>46.216051579569978</v>
      </c>
      <c r="P21" s="6">
        <f t="shared" si="32"/>
        <v>46.714262929976016</v>
      </c>
      <c r="Q21" s="6">
        <f t="shared" si="32"/>
        <v>47.450626492313823</v>
      </c>
      <c r="R21" s="6">
        <f t="shared" si="32"/>
        <v>48.283101823124433</v>
      </c>
      <c r="S21" s="6">
        <f t="shared" si="32"/>
        <v>49.19470445817641</v>
      </c>
      <c r="T21" s="6">
        <f t="shared" si="32"/>
        <v>50.343376355084402</v>
      </c>
      <c r="U21" s="6">
        <f t="shared" si="32"/>
        <v>51.741195967813091</v>
      </c>
      <c r="V21" s="6">
        <f t="shared" si="32"/>
        <v>53.396128024239701</v>
      </c>
      <c r="W21" s="6">
        <f t="shared" si="32"/>
        <v>55.125351854074779</v>
      </c>
      <c r="X21" s="6">
        <f t="shared" si="32"/>
        <v>57.006662718569956</v>
      </c>
      <c r="Y21" s="6">
        <f t="shared" si="32"/>
        <v>59.115315426841178</v>
      </c>
      <c r="Z21" s="6">
        <f t="shared" si="32"/>
        <v>61.405701217225584</v>
      </c>
      <c r="AA21" s="6">
        <f t="shared" si="32"/>
        <v>63.82822716270887</v>
      </c>
      <c r="AB21" s="6">
        <f t="shared" si="32"/>
        <v>66.368164649362342</v>
      </c>
      <c r="AC21" s="6">
        <f t="shared" si="32"/>
        <v>69.059533587639237</v>
      </c>
      <c r="AD21" s="6">
        <f t="shared" si="32"/>
        <v>71.791233352676187</v>
      </c>
      <c r="AE21" s="6">
        <f t="shared" si="32"/>
        <v>74.534277192766837</v>
      </c>
      <c r="AF21" s="6">
        <f t="shared" si="32"/>
        <v>89.26267083905509</v>
      </c>
      <c r="AG21" s="6">
        <f t="shared" si="32"/>
        <v>106.96984936865132</v>
      </c>
      <c r="AH21" s="6">
        <f t="shared" si="23"/>
        <v>125.39766069925436</v>
      </c>
      <c r="AI21" s="6">
        <f t="shared" si="24"/>
        <v>140.41787254203905</v>
      </c>
      <c r="AJ21" s="6">
        <f t="shared" si="25"/>
        <v>150.2301604786046</v>
      </c>
      <c r="AK21" s="6">
        <f t="shared" si="26"/>
        <v>153.5591887360444</v>
      </c>
      <c r="AL21" s="107"/>
      <c r="AM21" s="107"/>
    </row>
    <row r="22" spans="1:39">
      <c r="A22" s="115" t="s">
        <v>507</v>
      </c>
      <c r="B22">
        <f t="shared" si="11"/>
        <v>14</v>
      </c>
      <c r="C22" s="265">
        <v>21.771602125906632</v>
      </c>
      <c r="D22" s="265">
        <v>22.321967288291042</v>
      </c>
      <c r="E22" s="265">
        <v>22.799481809844082</v>
      </c>
      <c r="F22" s="265">
        <v>23.061502598593702</v>
      </c>
      <c r="G22" s="265">
        <v>23.492490064200549</v>
      </c>
      <c r="H22" s="265">
        <v>23.649212778966675</v>
      </c>
      <c r="I22" s="265">
        <v>24.045917150718431</v>
      </c>
      <c r="J22" s="265">
        <v>24.03</v>
      </c>
      <c r="K22" s="265">
        <v>22.95</v>
      </c>
      <c r="L22" s="6">
        <f t="shared" ref="L22:AG22" si="33">L60/K60*K22</f>
        <v>23.202650515448983</v>
      </c>
      <c r="M22" s="6">
        <f t="shared" si="33"/>
        <v>23.692402208239926</v>
      </c>
      <c r="N22" s="6">
        <f t="shared" si="33"/>
        <v>23.733813109883425</v>
      </c>
      <c r="O22" s="6">
        <f t="shared" si="33"/>
        <v>23.976073390696609</v>
      </c>
      <c r="P22" s="6">
        <f t="shared" si="33"/>
        <v>24.234536662507001</v>
      </c>
      <c r="Q22" s="6">
        <f t="shared" si="33"/>
        <v>24.616549106440019</v>
      </c>
      <c r="R22" s="6">
        <f t="shared" si="33"/>
        <v>25.048422642696039</v>
      </c>
      <c r="S22" s="6">
        <f t="shared" si="33"/>
        <v>25.521346030439972</v>
      </c>
      <c r="T22" s="6">
        <f t="shared" si="33"/>
        <v>26.117256774885121</v>
      </c>
      <c r="U22" s="6">
        <f t="shared" si="33"/>
        <v>26.842420965167289</v>
      </c>
      <c r="V22" s="6">
        <f t="shared" si="33"/>
        <v>27.700970561797934</v>
      </c>
      <c r="W22" s="6">
        <f t="shared" si="33"/>
        <v>28.598061421705907</v>
      </c>
      <c r="X22" s="6">
        <f t="shared" si="33"/>
        <v>29.574052355942069</v>
      </c>
      <c r="Y22" s="6">
        <f t="shared" si="33"/>
        <v>30.667984233743397</v>
      </c>
      <c r="Z22" s="6">
        <f t="shared" si="33"/>
        <v>31.856196033029608</v>
      </c>
      <c r="AA22" s="6">
        <f t="shared" si="33"/>
        <v>33.112959816923464</v>
      </c>
      <c r="AB22" s="6">
        <f t="shared" si="33"/>
        <v>34.430634639986565</v>
      </c>
      <c r="AC22" s="6">
        <f t="shared" si="33"/>
        <v>35.826869432447566</v>
      </c>
      <c r="AD22" s="6">
        <f t="shared" si="33"/>
        <v>37.244027147340439</v>
      </c>
      <c r="AE22" s="6">
        <f t="shared" si="33"/>
        <v>38.667069968527365</v>
      </c>
      <c r="AF22" s="6">
        <f t="shared" si="33"/>
        <v>46.307901128292194</v>
      </c>
      <c r="AG22" s="6">
        <f t="shared" si="33"/>
        <v>55.49407340951408</v>
      </c>
      <c r="AH22" s="6">
        <f t="shared" si="23"/>
        <v>65.054097292812685</v>
      </c>
      <c r="AI22" s="6">
        <f t="shared" si="24"/>
        <v>72.846318592081175</v>
      </c>
      <c r="AJ22" s="6">
        <f t="shared" si="25"/>
        <v>77.936760714612916</v>
      </c>
      <c r="AK22" s="6">
        <f t="shared" si="26"/>
        <v>79.663801928479032</v>
      </c>
      <c r="AL22" s="107"/>
      <c r="AM22" s="107"/>
    </row>
    <row r="23" spans="1:39">
      <c r="A23" s="115" t="s">
        <v>577</v>
      </c>
      <c r="B23">
        <f t="shared" si="11"/>
        <v>15</v>
      </c>
      <c r="C23" s="265">
        <v>234.64829421512601</v>
      </c>
      <c r="D23" s="265">
        <v>241.75157173268613</v>
      </c>
      <c r="E23" s="265">
        <v>247.49716491255998</v>
      </c>
      <c r="F23" s="265">
        <v>250.49509082227485</v>
      </c>
      <c r="G23" s="265">
        <v>252.5592931181983</v>
      </c>
      <c r="H23" s="265">
        <v>256.25966914032193</v>
      </c>
      <c r="I23" s="265">
        <v>259.56135726080817</v>
      </c>
      <c r="J23" s="265">
        <v>260.25</v>
      </c>
      <c r="K23" s="265">
        <v>248.16</v>
      </c>
      <c r="L23" s="6">
        <f t="shared" ref="L23:AG23" si="34">L61/K61*K23</f>
        <v>251.28962949003738</v>
      </c>
      <c r="M23" s="6">
        <f t="shared" si="34"/>
        <v>256.59374426527012</v>
      </c>
      <c r="N23" s="6">
        <f t="shared" si="34"/>
        <v>257.04223311889973</v>
      </c>
      <c r="O23" s="6">
        <f t="shared" si="34"/>
        <v>259.66596337614612</v>
      </c>
      <c r="P23" s="6">
        <f t="shared" si="34"/>
        <v>262.46517546472933</v>
      </c>
      <c r="Q23" s="6">
        <f t="shared" si="34"/>
        <v>266.60245130882288</v>
      </c>
      <c r="R23" s="6">
        <f t="shared" si="34"/>
        <v>271.2797333650289</v>
      </c>
      <c r="S23" s="6">
        <f t="shared" si="34"/>
        <v>276.40159402505213</v>
      </c>
      <c r="T23" s="6">
        <f t="shared" si="34"/>
        <v>282.85543386033504</v>
      </c>
      <c r="U23" s="6">
        <f t="shared" si="34"/>
        <v>290.70911594610016</v>
      </c>
      <c r="V23" s="6">
        <f t="shared" si="34"/>
        <v>300.00739029163185</v>
      </c>
      <c r="W23" s="6">
        <f t="shared" si="34"/>
        <v>309.72307469825057</v>
      </c>
      <c r="X23" s="6">
        <f t="shared" si="34"/>
        <v>320.29326365517778</v>
      </c>
      <c r="Y23" s="6">
        <f t="shared" si="34"/>
        <v>332.14077806207735</v>
      </c>
      <c r="Z23" s="6">
        <f t="shared" si="34"/>
        <v>345.00936402812971</v>
      </c>
      <c r="AA23" s="6">
        <f t="shared" si="34"/>
        <v>358.62038253659301</v>
      </c>
      <c r="AB23" s="6">
        <f t="shared" si="34"/>
        <v>372.89108052669587</v>
      </c>
      <c r="AC23" s="6">
        <f t="shared" si="34"/>
        <v>388.01259965853012</v>
      </c>
      <c r="AD23" s="6">
        <f t="shared" si="34"/>
        <v>403.36071848087175</v>
      </c>
      <c r="AE23" s="6">
        <f t="shared" si="34"/>
        <v>418.77257425340184</v>
      </c>
      <c r="AF23" s="6">
        <f t="shared" si="34"/>
        <v>501.5243973632144</v>
      </c>
      <c r="AG23" s="6">
        <f t="shared" si="34"/>
        <v>601.01259279342662</v>
      </c>
      <c r="AH23" s="6">
        <f t="shared" si="23"/>
        <v>704.5496804184146</v>
      </c>
      <c r="AI23" s="6">
        <f t="shared" si="24"/>
        <v>788.94109086929359</v>
      </c>
      <c r="AJ23" s="6">
        <f t="shared" si="25"/>
        <v>844.07165942480287</v>
      </c>
      <c r="AK23" s="6">
        <f t="shared" si="26"/>
        <v>862.77588230905803</v>
      </c>
      <c r="AL23" s="107"/>
      <c r="AM23" s="107"/>
    </row>
    <row r="24" spans="1:39">
      <c r="A24" s="115" t="s">
        <v>576</v>
      </c>
      <c r="B24">
        <f t="shared" si="11"/>
        <v>16</v>
      </c>
      <c r="C24" s="265">
        <v>40.911909200944407</v>
      </c>
      <c r="D24" s="265">
        <v>43.472466890059046</v>
      </c>
      <c r="E24" s="265">
        <v>46.683336524652951</v>
      </c>
      <c r="F24" s="265">
        <v>48.977367480453168</v>
      </c>
      <c r="G24" s="265">
        <v>50.507366203925315</v>
      </c>
      <c r="H24" s="265">
        <v>54.114758895803412</v>
      </c>
      <c r="I24" s="265">
        <v>58.020027445348646</v>
      </c>
      <c r="J24" s="265">
        <v>60.61</v>
      </c>
      <c r="K24" s="265">
        <v>58.58</v>
      </c>
      <c r="L24" s="6">
        <f t="shared" ref="L24:AG24" si="35">L62/K62*K24</f>
        <v>58.523206314663462</v>
      </c>
      <c r="M24" s="6">
        <f t="shared" si="35"/>
        <v>59.758489298436217</v>
      </c>
      <c r="N24" s="6">
        <f t="shared" si="35"/>
        <v>59.86293851810381</v>
      </c>
      <c r="O24" s="6">
        <f t="shared" si="35"/>
        <v>60.473982863509008</v>
      </c>
      <c r="P24" s="6">
        <f t="shared" si="35"/>
        <v>61.125895427155598</v>
      </c>
      <c r="Q24" s="6">
        <f t="shared" si="35"/>
        <v>62.089431599722403</v>
      </c>
      <c r="R24" s="6">
        <f t="shared" si="35"/>
        <v>63.178730602322396</v>
      </c>
      <c r="S24" s="6">
        <f t="shared" si="35"/>
        <v>64.371568160839246</v>
      </c>
      <c r="T24" s="6">
        <f t="shared" si="35"/>
        <v>65.874612281555855</v>
      </c>
      <c r="U24" s="6">
        <f t="shared" si="35"/>
        <v>67.703667694498122</v>
      </c>
      <c r="V24" s="6">
        <f t="shared" si="35"/>
        <v>69.869156294239417</v>
      </c>
      <c r="W24" s="6">
        <f t="shared" si="35"/>
        <v>72.131856128572409</v>
      </c>
      <c r="X24" s="6">
        <f t="shared" si="35"/>
        <v>74.593562767109816</v>
      </c>
      <c r="Y24" s="6">
        <f t="shared" si="35"/>
        <v>77.352747582488036</v>
      </c>
      <c r="Z24" s="6">
        <f t="shared" si="35"/>
        <v>80.349731234370566</v>
      </c>
      <c r="AA24" s="6">
        <f t="shared" si="35"/>
        <v>83.519621077974662</v>
      </c>
      <c r="AB24" s="6">
        <f t="shared" si="35"/>
        <v>86.843144632941559</v>
      </c>
      <c r="AC24" s="6">
        <f t="shared" si="35"/>
        <v>90.364817157746458</v>
      </c>
      <c r="AD24" s="6">
        <f t="shared" si="35"/>
        <v>93.939262813162898</v>
      </c>
      <c r="AE24" s="6">
        <f t="shared" si="35"/>
        <v>97.528552259360978</v>
      </c>
      <c r="AF24" s="6">
        <f t="shared" si="35"/>
        <v>116.80074437726968</v>
      </c>
      <c r="AG24" s="6">
        <f t="shared" si="35"/>
        <v>139.97069452145857</v>
      </c>
      <c r="AH24" s="6">
        <f t="shared" si="23"/>
        <v>164.08359704192171</v>
      </c>
      <c r="AI24" s="6">
        <f t="shared" si="24"/>
        <v>183.73763503395926</v>
      </c>
      <c r="AJ24" s="6">
        <f t="shared" si="25"/>
        <v>196.57707311330381</v>
      </c>
      <c r="AK24" s="6">
        <f t="shared" si="26"/>
        <v>200.93312671182335</v>
      </c>
      <c r="AL24" s="107"/>
      <c r="AM24" s="107"/>
    </row>
    <row r="25" spans="1:39">
      <c r="A25" s="115" t="s">
        <v>801</v>
      </c>
      <c r="B25">
        <f t="shared" si="11"/>
        <v>17</v>
      </c>
      <c r="C25" s="265">
        <v>6.4158612357306808</v>
      </c>
      <c r="D25" s="265">
        <v>6.604363287904599</v>
      </c>
      <c r="E25" s="265">
        <v>6.7999637989778527</v>
      </c>
      <c r="F25" s="265">
        <v>6.9251895229982949</v>
      </c>
      <c r="G25" s="265">
        <v>6.9893547700170355</v>
      </c>
      <c r="H25" s="265">
        <v>7.0969867972742753</v>
      </c>
      <c r="I25" s="265">
        <v>7.234631601362862</v>
      </c>
      <c r="J25" s="265">
        <v>7.29</v>
      </c>
      <c r="K25" s="265">
        <v>6.9</v>
      </c>
      <c r="L25" s="6">
        <f t="shared" ref="L25:AG25" si="36">L63/K63*K25</f>
        <v>7.0390063361474446</v>
      </c>
      <c r="M25" s="6">
        <f t="shared" si="36"/>
        <v>7.1875826923873927</v>
      </c>
      <c r="N25" s="6">
        <f t="shared" si="36"/>
        <v>7.2001455501893528</v>
      </c>
      <c r="O25" s="6">
        <f t="shared" si="36"/>
        <v>7.2736402421214414</v>
      </c>
      <c r="P25" s="6">
        <f t="shared" si="36"/>
        <v>7.3520504481762794</v>
      </c>
      <c r="Q25" s="6">
        <f t="shared" si="36"/>
        <v>7.4679418637514647</v>
      </c>
      <c r="R25" s="6">
        <f t="shared" si="36"/>
        <v>7.5989596781212709</v>
      </c>
      <c r="S25" s="6">
        <f t="shared" si="36"/>
        <v>7.7424308182233634</v>
      </c>
      <c r="T25" s="6">
        <f t="shared" si="36"/>
        <v>7.9232127294595323</v>
      </c>
      <c r="U25" s="6">
        <f t="shared" si="36"/>
        <v>8.1432063602192937</v>
      </c>
      <c r="V25" s="6">
        <f t="shared" si="36"/>
        <v>8.4036652266128602</v>
      </c>
      <c r="W25" s="6">
        <f t="shared" si="36"/>
        <v>8.6758163863602213</v>
      </c>
      <c r="X25" s="6">
        <f t="shared" si="36"/>
        <v>8.9719035237127649</v>
      </c>
      <c r="Y25" s="6">
        <f t="shared" si="36"/>
        <v>9.3037704978772133</v>
      </c>
      <c r="Z25" s="6">
        <f t="shared" si="36"/>
        <v>9.6642392459752777</v>
      </c>
      <c r="AA25" s="6">
        <f t="shared" si="36"/>
        <v>10.045504663561054</v>
      </c>
      <c r="AB25" s="6">
        <f t="shared" si="36"/>
        <v>10.445248711007162</v>
      </c>
      <c r="AC25" s="6">
        <f t="shared" si="36"/>
        <v>10.868825558158253</v>
      </c>
      <c r="AD25" s="6">
        <f t="shared" si="36"/>
        <v>11.298749808743734</v>
      </c>
      <c r="AE25" s="6">
        <f t="shared" si="36"/>
        <v>11.730459428654374</v>
      </c>
      <c r="AF25" s="6">
        <f t="shared" si="36"/>
        <v>14.048464387234716</v>
      </c>
      <c r="AG25" s="6">
        <f t="shared" si="36"/>
        <v>16.835280697268328</v>
      </c>
      <c r="AH25" s="6">
        <f t="shared" si="23"/>
        <v>19.735512661864533</v>
      </c>
      <c r="AI25" s="6">
        <f t="shared" si="24"/>
        <v>22.099444966136996</v>
      </c>
      <c r="AJ25" s="6">
        <f t="shared" si="25"/>
        <v>23.643736396567974</v>
      </c>
      <c r="AK25" s="6">
        <f t="shared" si="26"/>
        <v>24.16767024796556</v>
      </c>
      <c r="AL25" s="107"/>
      <c r="AM25" s="107"/>
    </row>
    <row r="26" spans="1:39">
      <c r="A26" s="115" t="s">
        <v>581</v>
      </c>
      <c r="B26">
        <f t="shared" si="11"/>
        <v>18</v>
      </c>
      <c r="C26" s="265">
        <v>125.48003402211921</v>
      </c>
      <c r="D26" s="265">
        <v>127.1852732099033</v>
      </c>
      <c r="E26" s="265">
        <v>121.33259319855085</v>
      </c>
      <c r="F26" s="265">
        <v>115.48558072755804</v>
      </c>
      <c r="G26" s="265">
        <v>115.29855189569106</v>
      </c>
      <c r="H26" s="265">
        <v>115.15875256682079</v>
      </c>
      <c r="I26" s="265">
        <v>113.64929765104591</v>
      </c>
      <c r="J26" s="265">
        <v>113.16</v>
      </c>
      <c r="K26" s="265">
        <v>108.36</v>
      </c>
      <c r="L26" s="6">
        <f t="shared" ref="L26:AG26" si="37">L64/K64*K26</f>
        <v>107.78666666482698</v>
      </c>
      <c r="M26" s="6">
        <f t="shared" si="37"/>
        <v>107.34279569525077</v>
      </c>
      <c r="N26" s="6">
        <f t="shared" si="37"/>
        <v>107.87913977939523</v>
      </c>
      <c r="O26" s="6">
        <f t="shared" si="37"/>
        <v>108.69290321835018</v>
      </c>
      <c r="P26" s="6">
        <f t="shared" si="37"/>
        <v>110.17247310884716</v>
      </c>
      <c r="Q26" s="6">
        <f t="shared" si="37"/>
        <v>109.41419353718287</v>
      </c>
      <c r="R26" s="6">
        <f t="shared" si="37"/>
        <v>109.1182795568741</v>
      </c>
      <c r="S26" s="6">
        <f t="shared" si="37"/>
        <v>109.89505374846721</v>
      </c>
      <c r="T26" s="6">
        <f t="shared" si="37"/>
        <v>110.50537632716949</v>
      </c>
      <c r="U26" s="6">
        <f t="shared" si="37"/>
        <v>111.2266666477782</v>
      </c>
      <c r="V26" s="6">
        <f t="shared" si="37"/>
        <v>110.72731180731216</v>
      </c>
      <c r="W26" s="6">
        <f t="shared" si="37"/>
        <v>110.61634406354978</v>
      </c>
      <c r="X26" s="6">
        <f t="shared" si="37"/>
        <v>109.19225804050805</v>
      </c>
      <c r="Y26" s="6">
        <f t="shared" si="37"/>
        <v>108.76688169467332</v>
      </c>
      <c r="Z26" s="6">
        <f t="shared" si="37"/>
        <v>106.7509677148409</v>
      </c>
      <c r="AA26" s="6">
        <f t="shared" si="37"/>
        <v>104.7535483586943</v>
      </c>
      <c r="AB26" s="6">
        <f t="shared" si="37"/>
        <v>103.66236556146104</v>
      </c>
      <c r="AC26" s="6">
        <f t="shared" si="37"/>
        <v>101.60946233443462</v>
      </c>
      <c r="AD26" s="6">
        <f t="shared" si="37"/>
        <v>99.556559107445565</v>
      </c>
      <c r="AE26" s="6">
        <f t="shared" si="37"/>
        <v>97.46666663319553</v>
      </c>
      <c r="AF26" s="6">
        <f t="shared" si="37"/>
        <v>92.103225765883934</v>
      </c>
      <c r="AG26" s="6">
        <f t="shared" si="37"/>
        <v>86.813763393698707</v>
      </c>
      <c r="AH26" s="6">
        <f t="shared" si="23"/>
        <v>81.728458246781216</v>
      </c>
      <c r="AI26" s="6">
        <f t="shared" si="24"/>
        <v>76.941035917361077</v>
      </c>
      <c r="AJ26" s="6">
        <f t="shared" si="25"/>
        <v>72.434047271040967</v>
      </c>
      <c r="AK26" s="6">
        <f t="shared" si="26"/>
        <v>68.19106529445007</v>
      </c>
      <c r="AL26" s="107"/>
      <c r="AM26" s="107"/>
    </row>
    <row r="27" spans="1:39">
      <c r="A27" s="115" t="s">
        <v>511</v>
      </c>
      <c r="B27">
        <f t="shared" si="11"/>
        <v>19</v>
      </c>
      <c r="C27" s="265">
        <v>154.18842101590053</v>
      </c>
      <c r="D27" s="265">
        <v>151.87047226763119</v>
      </c>
      <c r="E27" s="265">
        <v>148.71168942836181</v>
      </c>
      <c r="F27" s="265">
        <v>145.49800306349678</v>
      </c>
      <c r="G27" s="265">
        <v>142.32274916654868</v>
      </c>
      <c r="H27" s="265">
        <v>141.64560568420242</v>
      </c>
      <c r="I27" s="265">
        <v>143.22499710383713</v>
      </c>
      <c r="J27" s="265">
        <v>142.18</v>
      </c>
      <c r="K27" s="265">
        <v>135.41</v>
      </c>
      <c r="L27" s="6">
        <f t="shared" ref="L27:AG27" si="38">L65/K65*K27</f>
        <v>137.2847628084285</v>
      </c>
      <c r="M27" s="6">
        <f t="shared" si="38"/>
        <v>140.18251127621943</v>
      </c>
      <c r="N27" s="6">
        <f t="shared" si="38"/>
        <v>140.42753008586038</v>
      </c>
      <c r="O27" s="6">
        <f t="shared" si="38"/>
        <v>141.86092861794606</v>
      </c>
      <c r="P27" s="6">
        <f t="shared" si="38"/>
        <v>143.39019653246962</v>
      </c>
      <c r="Q27" s="6">
        <f t="shared" si="38"/>
        <v>145.65047656902379</v>
      </c>
      <c r="R27" s="6">
        <f t="shared" si="38"/>
        <v>148.20577325586862</v>
      </c>
      <c r="S27" s="6">
        <f t="shared" si="38"/>
        <v>151.00395250137143</v>
      </c>
      <c r="T27" s="6">
        <f t="shared" si="38"/>
        <v>154.52981973587873</v>
      </c>
      <c r="U27" s="6">
        <f t="shared" si="38"/>
        <v>158.82044997201353</v>
      </c>
      <c r="V27" s="6">
        <f t="shared" si="38"/>
        <v>163.90029107267711</v>
      </c>
      <c r="W27" s="6">
        <f t="shared" si="38"/>
        <v>169.2081719907676</v>
      </c>
      <c r="X27" s="6">
        <f t="shared" si="38"/>
        <v>174.98288655713037</v>
      </c>
      <c r="Y27" s="6">
        <f t="shared" si="38"/>
        <v>181.45543064309763</v>
      </c>
      <c r="Z27" s="6">
        <f t="shared" si="38"/>
        <v>188.48580740641492</v>
      </c>
      <c r="AA27" s="6">
        <f t="shared" si="38"/>
        <v>195.9217905439109</v>
      </c>
      <c r="AB27" s="6">
        <f t="shared" si="38"/>
        <v>203.71817033347028</v>
      </c>
      <c r="AC27" s="6">
        <f t="shared" si="38"/>
        <v>211.97937144841435</v>
      </c>
      <c r="AD27" s="6">
        <f t="shared" si="38"/>
        <v>220.36436869783046</v>
      </c>
      <c r="AE27" s="6">
        <f t="shared" si="38"/>
        <v>228.78418677175296</v>
      </c>
      <c r="AF27" s="6">
        <f t="shared" si="38"/>
        <v>273.99323272661621</v>
      </c>
      <c r="AG27" s="6">
        <f t="shared" si="38"/>
        <v>328.34570775550208</v>
      </c>
      <c r="AH27" s="6">
        <f t="shared" si="23"/>
        <v>384.9101769909326</v>
      </c>
      <c r="AI27" s="6">
        <f t="shared" si="24"/>
        <v>431.01496368797774</v>
      </c>
      <c r="AJ27" s="6">
        <f t="shared" si="25"/>
        <v>461.13394250535458</v>
      </c>
      <c r="AK27" s="6">
        <f t="shared" si="26"/>
        <v>471.35244936292781</v>
      </c>
      <c r="AL27" s="107"/>
      <c r="AM27" s="107"/>
    </row>
    <row r="28" spans="1:39">
      <c r="A28" s="2" t="s">
        <v>5</v>
      </c>
      <c r="B28">
        <f t="shared" si="11"/>
        <v>20</v>
      </c>
      <c r="C28" s="272">
        <f t="shared" ref="C28:K28" si="39">SUM(C7:C27)</f>
        <v>4032.0433682922144</v>
      </c>
      <c r="D28" s="273">
        <f t="shared" si="39"/>
        <v>4135.6011269326036</v>
      </c>
      <c r="E28" s="273">
        <f t="shared" si="39"/>
        <v>4214.5620530894539</v>
      </c>
      <c r="F28" s="273">
        <f t="shared" si="39"/>
        <v>4269.9104508291794</v>
      </c>
      <c r="G28" s="273">
        <f t="shared" si="39"/>
        <v>4306.3530098044157</v>
      </c>
      <c r="H28" s="273">
        <f t="shared" si="39"/>
        <v>4369.2882721535752</v>
      </c>
      <c r="I28" s="273">
        <f t="shared" si="39"/>
        <v>4424.2547121291227</v>
      </c>
      <c r="J28" s="273">
        <f t="shared" si="39"/>
        <v>4454.71</v>
      </c>
      <c r="K28" s="273">
        <f t="shared" si="39"/>
        <v>4168.5599999999995</v>
      </c>
      <c r="L28" s="108">
        <f t="shared" ref="L28:AG28" si="40">SUM(L7:L27)</f>
        <v>4364.6310325648556</v>
      </c>
      <c r="M28" s="108">
        <f t="shared" si="40"/>
        <v>4448.0130874736915</v>
      </c>
      <c r="N28" s="108">
        <f t="shared" si="40"/>
        <v>4456.9091297902005</v>
      </c>
      <c r="O28" s="108">
        <f t="shared" si="40"/>
        <v>4501.478207788391</v>
      </c>
      <c r="P28" s="108">
        <f t="shared" si="40"/>
        <v>4550.9944823232245</v>
      </c>
      <c r="Q28" s="108">
        <f t="shared" si="40"/>
        <v>4614.708289621638</v>
      </c>
      <c r="R28" s="108">
        <f t="shared" si="40"/>
        <v>4688.5435195554583</v>
      </c>
      <c r="S28" s="108">
        <f t="shared" si="40"/>
        <v>4772.9372433232675</v>
      </c>
      <c r="T28" s="108">
        <f t="shared" si="40"/>
        <v>4878.0931798626661</v>
      </c>
      <c r="U28" s="108">
        <f t="shared" si="40"/>
        <v>5005.9886470812162</v>
      </c>
      <c r="V28" s="108">
        <f t="shared" si="40"/>
        <v>5153.0564766050056</v>
      </c>
      <c r="W28" s="108">
        <f t="shared" si="40"/>
        <v>5308.0475622507993</v>
      </c>
      <c r="X28" s="108">
        <f t="shared" si="40"/>
        <v>5472.4784516944173</v>
      </c>
      <c r="Y28" s="108">
        <f t="shared" si="40"/>
        <v>5660.5450310152219</v>
      </c>
      <c r="Z28" s="108">
        <f t="shared" si="40"/>
        <v>5859.8224929164153</v>
      </c>
      <c r="AA28" s="108">
        <f t="shared" si="40"/>
        <v>6071.0304885374553</v>
      </c>
      <c r="AB28" s="108">
        <f t="shared" si="40"/>
        <v>6295.7009754678256</v>
      </c>
      <c r="AC28" s="108">
        <f t="shared" si="40"/>
        <v>6530.8825261203237</v>
      </c>
      <c r="AD28" s="108">
        <f t="shared" si="40"/>
        <v>6769.6872701578986</v>
      </c>
      <c r="AE28" s="108">
        <f t="shared" si="40"/>
        <v>7009.392166140904</v>
      </c>
      <c r="AF28" s="108">
        <f t="shared" si="40"/>
        <v>8315.2945330997427</v>
      </c>
      <c r="AG28" s="108">
        <f t="shared" si="40"/>
        <v>9889.0394007788</v>
      </c>
      <c r="AH28" s="108">
        <f t="shared" ref="AH28:AK28" si="41">SUM(AH7:AH27)</f>
        <v>11528.180235021973</v>
      </c>
      <c r="AI28" s="108">
        <f t="shared" si="41"/>
        <v>12862.151195805931</v>
      </c>
      <c r="AJ28" s="108">
        <f t="shared" si="41"/>
        <v>13729.160735840082</v>
      </c>
      <c r="AK28" s="108">
        <f t="shared" si="41"/>
        <v>14014.58390769064</v>
      </c>
      <c r="AL28" s="108"/>
      <c r="AM28" s="108"/>
    </row>
    <row r="29" spans="1:39" s="24" customFormat="1">
      <c r="A29" s="211" t="s">
        <v>263</v>
      </c>
      <c r="B29">
        <f t="shared" si="11"/>
        <v>21</v>
      </c>
      <c r="C29" s="267"/>
      <c r="D29" s="212">
        <v>2.6436281887547874E-2</v>
      </c>
      <c r="E29" s="212">
        <v>2.0165921894981231E-2</v>
      </c>
      <c r="F29" s="212">
        <v>1.407744097509589E-2</v>
      </c>
      <c r="G29" s="212">
        <v>8.9337784405372211E-3</v>
      </c>
      <c r="H29" s="212">
        <v>1.4827464040109817E-2</v>
      </c>
      <c r="I29" s="212">
        <v>1.2732896737821964E-2</v>
      </c>
      <c r="J29" s="212">
        <v>7.2531087632679014E-3</v>
      </c>
      <c r="K29" s="212">
        <v>-7.2462496857853442E-2</v>
      </c>
      <c r="L29" s="212">
        <f t="shared" ref="L29:AE29" si="42">L28/K28-1</f>
        <v>4.7035674804934091E-2</v>
      </c>
      <c r="M29" s="212">
        <f t="shared" si="42"/>
        <v>1.9104032915203017E-2</v>
      </c>
      <c r="N29" s="212">
        <f t="shared" si="42"/>
        <v>2.0000036289375966E-3</v>
      </c>
      <c r="O29" s="212">
        <f t="shared" si="42"/>
        <v>9.9999970159339036E-3</v>
      </c>
      <c r="P29" s="212">
        <f t="shared" si="42"/>
        <v>1.1000003165440475E-2</v>
      </c>
      <c r="Q29" s="212">
        <f t="shared" si="42"/>
        <v>1.3999974631014878E-2</v>
      </c>
      <c r="R29" s="212">
        <f t="shared" si="42"/>
        <v>1.5999977745044802E-2</v>
      </c>
      <c r="S29" s="212">
        <f t="shared" si="42"/>
        <v>1.7999987291535513E-2</v>
      </c>
      <c r="T29" s="212">
        <f t="shared" si="42"/>
        <v>2.2031703158573501E-2</v>
      </c>
      <c r="U29" s="212">
        <f t="shared" si="42"/>
        <v>2.6218332143903567E-2</v>
      </c>
      <c r="V29" s="212">
        <f t="shared" si="42"/>
        <v>2.9378378556559115E-2</v>
      </c>
      <c r="W29" s="212">
        <f t="shared" si="42"/>
        <v>3.0077505719072972E-2</v>
      </c>
      <c r="X29" s="212">
        <f t="shared" si="42"/>
        <v>3.0977659396460577E-2</v>
      </c>
      <c r="Y29" s="212">
        <f t="shared" si="42"/>
        <v>3.4365887592042288E-2</v>
      </c>
      <c r="Z29" s="212">
        <f t="shared" si="42"/>
        <v>3.5204642098828565E-2</v>
      </c>
      <c r="AA29" s="212">
        <f t="shared" si="42"/>
        <v>3.6043411874055353E-2</v>
      </c>
      <c r="AB29" s="212">
        <f t="shared" si="42"/>
        <v>3.7006977209975256E-2</v>
      </c>
      <c r="AC29" s="212">
        <f t="shared" si="42"/>
        <v>3.7355895962803753E-2</v>
      </c>
      <c r="AD29" s="212">
        <f t="shared" si="42"/>
        <v>3.6565463102800067E-2</v>
      </c>
      <c r="AE29" s="212">
        <f t="shared" si="42"/>
        <v>3.5408562673149069E-2</v>
      </c>
      <c r="AF29" s="212">
        <f>(AF28/AE28)^(1/5)-1</f>
        <v>3.4759579332455992E-2</v>
      </c>
      <c r="AG29" s="212">
        <f>(AG28/AF28)^(1/5)-1</f>
        <v>3.5273968685307411E-2</v>
      </c>
      <c r="AH29" s="212">
        <f t="shared" ref="AH29:AK29" si="43">(AH28/AG28)^(1/5)-1</f>
        <v>3.1148774828663628E-2</v>
      </c>
      <c r="AI29" s="212">
        <f t="shared" si="43"/>
        <v>2.2140438754105096E-2</v>
      </c>
      <c r="AJ29" s="212">
        <f t="shared" si="43"/>
        <v>1.3132100246333822E-2</v>
      </c>
      <c r="AK29" s="212">
        <f t="shared" si="43"/>
        <v>4.123760095195772E-3</v>
      </c>
      <c r="AL29" s="211"/>
      <c r="AM29" s="211"/>
    </row>
    <row r="30" spans="1:39">
      <c r="A30" t="s">
        <v>592</v>
      </c>
      <c r="B30">
        <f t="shared" si="11"/>
        <v>22</v>
      </c>
      <c r="C30" s="266">
        <v>52.325432882070082</v>
      </c>
      <c r="D30" s="265">
        <v>53.104386458423342</v>
      </c>
      <c r="E30" s="265">
        <v>53.912365691429272</v>
      </c>
      <c r="F30" s="265">
        <v>54.750491457321111</v>
      </c>
      <c r="G30" s="265">
        <v>55.619940469824826</v>
      </c>
      <c r="H30" s="265">
        <v>56.521948041648095</v>
      </c>
      <c r="I30" s="265">
        <v>57.436000617299655</v>
      </c>
      <c r="J30" s="265">
        <v>58.364834921819444</v>
      </c>
      <c r="K30" s="265">
        <v>59.308690000000006</v>
      </c>
      <c r="L30" s="107">
        <f>INDEX(DriversGams!$A$44:$AN$44,1,MATCH(Drivers!L$3,DriversGams!$A$43:$AN$43,0))/1000</f>
        <v>59.392254999999999</v>
      </c>
      <c r="M30" s="107">
        <f>INDEX(DriversGams!$A$44:$AN$44,1,MATCH(Drivers!M$3,DriversGams!$A$43:$AN$43,0))/1000</f>
        <v>59.893885000000004</v>
      </c>
      <c r="N30" s="107">
        <f>INDEX(DriversGams!$A$44:$AN$44,1,MATCH(Drivers!N$3,DriversGams!$A$43:$AN$43,0))/1000</f>
        <v>60.414495000000002</v>
      </c>
      <c r="O30" s="107">
        <f>INDEX(DriversGams!$A$44:$AN$44,1,MATCH(Drivers!O$3,DriversGams!$A$43:$AN$43,0))/1000</f>
        <v>61.020220999999999</v>
      </c>
      <c r="P30" s="107">
        <f>INDEX(DriversGams!$A$44:$AN$44,1,MATCH(Drivers!P$3,DriversGams!$A$43:$AN$43,0))/1000</f>
        <v>61.673080999999996</v>
      </c>
      <c r="Q30" s="107">
        <f>INDEX(DriversGams!$A$44:$AN$44,1,MATCH(Drivers!Q$3,DriversGams!$A$43:$AN$43,0))/1000</f>
        <v>62.305038999999994</v>
      </c>
      <c r="R30" s="107">
        <f>INDEX(DriversGams!$A$44:$AN$44,1,MATCH(Drivers!R$3,DriversGams!$A$43:$AN$43,0))/1000</f>
        <v>62.918915999999996</v>
      </c>
      <c r="S30" s="107">
        <f>INDEX(DriversGams!$A$44:$AN$44,1,MATCH(Drivers!S$3,DriversGams!$A$43:$AN$43,0))/1000</f>
        <v>63.514502</v>
      </c>
      <c r="T30" s="107">
        <f>INDEX(DriversGams!$A$44:$AN$44,1,MATCH(Drivers!T$3,DriversGams!$A$43:$AN$43,0))/1000</f>
        <v>64.093732000000003</v>
      </c>
      <c r="U30" s="107">
        <f>INDEX(DriversGams!$A$44:$AN$44,1,MATCH(Drivers!U$3,DriversGams!$A$43:$AN$43,0))/1000</f>
        <v>64.659278</v>
      </c>
      <c r="V30" s="107">
        <f>INDEX(DriversGams!$A$44:$AN$44,1,MATCH(Drivers!V$3,DriversGams!$A$43:$AN$43,0))/1000</f>
        <v>65.211525999999992</v>
      </c>
      <c r="W30" s="107">
        <f>INDEX(DriversGams!$A$44:$AN$44,1,MATCH(Drivers!W$3,DriversGams!$A$43:$AN$43,0))/1000</f>
        <v>65.752923999999993</v>
      </c>
      <c r="X30" s="107">
        <f>INDEX(DriversGams!$A$44:$AN$44,1,MATCH(Drivers!X$3,DriversGams!$A$43:$AN$43,0))/1000</f>
        <v>66.284188999999998</v>
      </c>
      <c r="Y30" s="107">
        <f>INDEX(DriversGams!$A$44:$AN$44,1,MATCH(Drivers!Y$3,DriversGams!$A$43:$AN$43,0))/1000</f>
        <v>66.804167000000007</v>
      </c>
      <c r="Z30" s="107">
        <f>INDEX(DriversGams!$A$44:$AN$44,1,MATCH(Drivers!Z$3,DriversGams!$A$43:$AN$43,0))/1000</f>
        <v>67.314132999999998</v>
      </c>
      <c r="AA30" s="107">
        <f>INDEX(DriversGams!$A$44:$AN$44,1,MATCH(Drivers!AA$3,DriversGams!$A$43:$AN$43,0))/1000</f>
        <v>67.815933000000001</v>
      </c>
      <c r="AB30" s="107">
        <f>INDEX(DriversGams!$A$44:$AN$44,1,MATCH(Drivers!AB$3,DriversGams!$A$43:$AN$43,0))/1000</f>
        <v>68.308245999999997</v>
      </c>
      <c r="AC30" s="107">
        <f>INDEX(DriversGams!$A$44:$AN$44,1,MATCH(Drivers!AC$3,DriversGams!$A$43:$AN$43,0))/1000</f>
        <v>68.788494999999998</v>
      </c>
      <c r="AD30" s="107">
        <f>INDEX(DriversGams!$A$44:$AN$44,1,MATCH(Drivers!AD$3,DriversGams!$A$43:$AN$43,0))/1000</f>
        <v>69.256822999999997</v>
      </c>
      <c r="AE30" s="107">
        <f>INDEX(DriversGams!$A$44:$AN$44,1,MATCH(Drivers!AE$3,DriversGams!$A$43:$AN$43,0))/1000</f>
        <v>69.713937000000001</v>
      </c>
      <c r="AF30" s="107">
        <f>INDEX(DriversGams!$A$44:$AN$44,1,MATCH(Drivers!AF$3,DriversGams!$A$43:$AN$43,0))/1000</f>
        <v>71.816201000000007</v>
      </c>
      <c r="AG30" s="107">
        <f>INDEX(DriversGams!$A$44:$AN$44,1,MATCH(Drivers!AG$3,DriversGams!$A$43:$AN$43,0))/1000</f>
        <v>73.529752999999999</v>
      </c>
      <c r="AH30" s="107">
        <f>INDEX(DriversGams!$A$44:$AN$44,1,MATCH(Drivers!AH$3,DriversGams!$A$43:$AN$43,0))/1000</f>
        <v>74.799050000000008</v>
      </c>
      <c r="AI30" s="107">
        <f>INDEX(DriversGams!$A$44:$BA$44,1,MATCH(Drivers!AI$3,DriversGams!$A$43:$BA$43,0))/1000</f>
        <v>75.663198000000008</v>
      </c>
      <c r="AJ30" s="107">
        <f>INDEX(DriversGams!$A$44:$BA$44,1,MATCH(Drivers!AJ$3,DriversGams!$A$43:$BA$43,0))/1000</f>
        <v>76.208044999999998</v>
      </c>
      <c r="AK30" s="107">
        <f>INDEX(DriversGams!$A$44:$BA$44,1,MATCH(Drivers!AK$3,DriversGams!$A$43:$BA$43,0))/1000</f>
        <v>76.502155000000002</v>
      </c>
      <c r="AL30" s="107"/>
      <c r="AM30" s="107"/>
    </row>
    <row r="31" spans="1:39">
      <c r="A31" t="s">
        <v>380</v>
      </c>
      <c r="B31">
        <f t="shared" si="11"/>
        <v>23</v>
      </c>
      <c r="C31" s="268">
        <v>0.5</v>
      </c>
      <c r="D31" s="268">
        <v>0.5</v>
      </c>
      <c r="E31" s="268">
        <v>0.5</v>
      </c>
      <c r="F31" s="268">
        <v>0.5</v>
      </c>
      <c r="G31" s="268">
        <v>0.5</v>
      </c>
      <c r="H31" s="268">
        <v>0.5</v>
      </c>
      <c r="I31" s="268">
        <v>0.5</v>
      </c>
      <c r="J31" s="268">
        <v>0.50152754832852431</v>
      </c>
      <c r="K31" s="268">
        <v>0.51748350868667314</v>
      </c>
      <c r="L31" s="17">
        <f>L81/SUM(L$81:L$83)</f>
        <v>0.46227119237511022</v>
      </c>
      <c r="M31" s="17">
        <f t="shared" ref="M31:AG33" si="44">M81/SUM(M$81:M$83)</f>
        <v>0.45384023967034137</v>
      </c>
      <c r="N31" s="17">
        <f t="shared" si="44"/>
        <v>0.4530506193635141</v>
      </c>
      <c r="O31" s="17">
        <f t="shared" si="44"/>
        <v>0.4492123756297739</v>
      </c>
      <c r="P31" s="17">
        <f t="shared" si="44"/>
        <v>0.44506077484649093</v>
      </c>
      <c r="Q31" s="17">
        <f t="shared" si="44"/>
        <v>0.44048019500661473</v>
      </c>
      <c r="R31" s="17">
        <f t="shared" si="44"/>
        <v>0.43534996792463587</v>
      </c>
      <c r="S31" s="17">
        <f t="shared" si="44"/>
        <v>0.42993618539113665</v>
      </c>
      <c r="T31" s="17">
        <f t="shared" si="44"/>
        <v>0.42371952259311868</v>
      </c>
      <c r="U31" s="17">
        <f t="shared" si="44"/>
        <v>0.41657241965867214</v>
      </c>
      <c r="V31" s="17">
        <f t="shared" si="44"/>
        <v>0.40909885956028302</v>
      </c>
      <c r="W31" s="17">
        <f t="shared" si="44"/>
        <v>0.40185565007277846</v>
      </c>
      <c r="X31" s="17">
        <f t="shared" si="44"/>
        <v>0.39482416004663062</v>
      </c>
      <c r="Y31" s="17">
        <f t="shared" si="44"/>
        <v>0.38744915622957621</v>
      </c>
      <c r="Z31" s="17">
        <f t="shared" si="44"/>
        <v>0.3800592435396562</v>
      </c>
      <c r="AA31" s="17">
        <f t="shared" si="44"/>
        <v>0.37316446554873905</v>
      </c>
      <c r="AB31" s="17">
        <f t="shared" si="44"/>
        <v>0.36622575390923512</v>
      </c>
      <c r="AC31" s="17">
        <f t="shared" si="44"/>
        <v>0.35954615135165829</v>
      </c>
      <c r="AD31" s="17">
        <f t="shared" si="44"/>
        <v>0.35352413753940537</v>
      </c>
      <c r="AE31" s="17">
        <f t="shared" si="44"/>
        <v>0.34790997115201444</v>
      </c>
      <c r="AF31" s="17">
        <f t="shared" si="44"/>
        <v>0.31298090329354977</v>
      </c>
      <c r="AG31" s="17">
        <f t="shared" si="44"/>
        <v>0.27905600345837911</v>
      </c>
      <c r="AH31" s="17">
        <f t="shared" ref="AH31:AK31" si="45">AH81/SUM(AH$81:AH$83)</f>
        <v>0.24552291570350171</v>
      </c>
      <c r="AI31" s="17">
        <f t="shared" si="45"/>
        <v>0.21188609489452759</v>
      </c>
      <c r="AJ31" s="17">
        <f t="shared" si="45"/>
        <v>0.17819185187839537</v>
      </c>
      <c r="AK31" s="17">
        <f t="shared" si="45"/>
        <v>0.14450330331373532</v>
      </c>
      <c r="AL31" s="107"/>
      <c r="AM31" s="107"/>
    </row>
    <row r="32" spans="1:39">
      <c r="A32" t="s">
        <v>381</v>
      </c>
      <c r="B32">
        <f t="shared" si="11"/>
        <v>24</v>
      </c>
      <c r="C32" s="268">
        <v>0.3</v>
      </c>
      <c r="D32" s="268">
        <v>0.3</v>
      </c>
      <c r="E32" s="268">
        <v>0.3</v>
      </c>
      <c r="F32" s="268">
        <v>0.3</v>
      </c>
      <c r="G32" s="268">
        <v>0.3</v>
      </c>
      <c r="H32" s="268">
        <v>0.3</v>
      </c>
      <c r="I32" s="268">
        <v>0.3</v>
      </c>
      <c r="J32" s="268">
        <v>0.29852364948703553</v>
      </c>
      <c r="K32" s="268">
        <v>0.28256768912888669</v>
      </c>
      <c r="L32" s="17">
        <f t="shared" ref="L32:AA32" si="46">L82/SUM(L$81:L$83)</f>
        <v>0.30936026689417673</v>
      </c>
      <c r="M32" s="17">
        <f t="shared" si="46"/>
        <v>0.31355024567841444</v>
      </c>
      <c r="N32" s="17">
        <f t="shared" si="46"/>
        <v>0.31388781690524703</v>
      </c>
      <c r="O32" s="17">
        <f t="shared" si="46"/>
        <v>0.31543894410094331</v>
      </c>
      <c r="P32" s="17">
        <f t="shared" si="46"/>
        <v>0.31721983743486937</v>
      </c>
      <c r="Q32" s="17">
        <f t="shared" si="46"/>
        <v>0.31883263902169873</v>
      </c>
      <c r="R32" s="17">
        <f t="shared" si="46"/>
        <v>0.32078866718521404</v>
      </c>
      <c r="S32" s="17">
        <f t="shared" si="46"/>
        <v>0.32280939346620441</v>
      </c>
      <c r="T32" s="17">
        <f t="shared" si="46"/>
        <v>0.32497598023764895</v>
      </c>
      <c r="U32" s="17">
        <f t="shared" si="46"/>
        <v>0.32775482993460558</v>
      </c>
      <c r="V32" s="17">
        <f t="shared" si="46"/>
        <v>0.33022222974356419</v>
      </c>
      <c r="W32" s="17">
        <f t="shared" si="46"/>
        <v>0.332708026046104</v>
      </c>
      <c r="X32" s="17">
        <f t="shared" si="46"/>
        <v>0.33507942725265366</v>
      </c>
      <c r="Y32" s="17">
        <f t="shared" si="46"/>
        <v>0.33755833542625679</v>
      </c>
      <c r="Z32" s="17">
        <f t="shared" si="46"/>
        <v>0.34023069208670387</v>
      </c>
      <c r="AA32" s="17">
        <f t="shared" si="46"/>
        <v>0.34209365651908852</v>
      </c>
      <c r="AB32" s="17">
        <f t="shared" si="44"/>
        <v>0.34372879918296723</v>
      </c>
      <c r="AC32" s="17">
        <f t="shared" si="44"/>
        <v>0.34562071119418153</v>
      </c>
      <c r="AD32" s="17">
        <f t="shared" si="44"/>
        <v>0.34714667279971562</v>
      </c>
      <c r="AE32" s="17">
        <f t="shared" si="44"/>
        <v>0.34858040550949743</v>
      </c>
      <c r="AF32" s="17">
        <f t="shared" si="44"/>
        <v>0.36410706909886797</v>
      </c>
      <c r="AG32" s="17">
        <f t="shared" si="44"/>
        <v>0.38027781250126996</v>
      </c>
      <c r="AH32" s="17">
        <f t="shared" ref="AH32:AK32" si="47">AH82/SUM(AH$81:AH$83)</f>
        <v>0.39561454073212232</v>
      </c>
      <c r="AI32" s="17">
        <f t="shared" si="47"/>
        <v>0.41121086368233944</v>
      </c>
      <c r="AJ32" s="17">
        <f t="shared" si="47"/>
        <v>0.42692863962271316</v>
      </c>
      <c r="AK32" s="17">
        <f t="shared" si="47"/>
        <v>0.44263272457796088</v>
      </c>
      <c r="AL32" s="107"/>
      <c r="AM32" s="107"/>
    </row>
    <row r="33" spans="1:43">
      <c r="A33" t="s">
        <v>382</v>
      </c>
      <c r="B33">
        <f t="shared" si="11"/>
        <v>25</v>
      </c>
      <c r="C33" s="268">
        <v>0.19999999999999996</v>
      </c>
      <c r="D33" s="268">
        <v>0.19999999999999996</v>
      </c>
      <c r="E33" s="268">
        <v>0.19999999999999996</v>
      </c>
      <c r="F33" s="268">
        <v>0.19999999999999996</v>
      </c>
      <c r="G33" s="268">
        <v>0.19999999999999996</v>
      </c>
      <c r="H33" s="268">
        <v>0.19999999999999996</v>
      </c>
      <c r="I33" s="268">
        <v>0.19999999999999996</v>
      </c>
      <c r="J33" s="268">
        <v>0.19994880218444017</v>
      </c>
      <c r="K33" s="268">
        <v>0.19994880218444014</v>
      </c>
      <c r="L33" s="17">
        <f>L83/SUM(L$81:L$83)</f>
        <v>0.22836854073071305</v>
      </c>
      <c r="M33" s="17">
        <f t="shared" si="44"/>
        <v>0.23260951465124413</v>
      </c>
      <c r="N33" s="17">
        <f t="shared" si="44"/>
        <v>0.23306156373123887</v>
      </c>
      <c r="O33" s="17">
        <f t="shared" si="44"/>
        <v>0.23534868026928282</v>
      </c>
      <c r="P33" s="17">
        <f t="shared" si="44"/>
        <v>0.23771938771863982</v>
      </c>
      <c r="Q33" s="17">
        <f t="shared" si="44"/>
        <v>0.2406871659716866</v>
      </c>
      <c r="R33" s="17">
        <f t="shared" si="44"/>
        <v>0.24386136489015012</v>
      </c>
      <c r="S33" s="17">
        <f t="shared" si="44"/>
        <v>0.24725442114265897</v>
      </c>
      <c r="T33" s="17">
        <f t="shared" si="44"/>
        <v>0.25130449716923237</v>
      </c>
      <c r="U33" s="17">
        <f t="shared" si="44"/>
        <v>0.25567275040672227</v>
      </c>
      <c r="V33" s="17">
        <f t="shared" si="44"/>
        <v>0.26067891069615279</v>
      </c>
      <c r="W33" s="17">
        <f t="shared" si="44"/>
        <v>0.2654363238811176</v>
      </c>
      <c r="X33" s="17">
        <f t="shared" si="44"/>
        <v>0.27009641270071577</v>
      </c>
      <c r="Y33" s="17">
        <f t="shared" si="44"/>
        <v>0.274992508344167</v>
      </c>
      <c r="Z33" s="17">
        <f t="shared" si="44"/>
        <v>0.27971006437363993</v>
      </c>
      <c r="AA33" s="17">
        <f t="shared" si="44"/>
        <v>0.28474187793217243</v>
      </c>
      <c r="AB33" s="17">
        <f t="shared" si="44"/>
        <v>0.29004544690779771</v>
      </c>
      <c r="AC33" s="17">
        <f t="shared" si="44"/>
        <v>0.29483313745416012</v>
      </c>
      <c r="AD33" s="17">
        <f t="shared" si="44"/>
        <v>0.29932918966087896</v>
      </c>
      <c r="AE33" s="17">
        <f t="shared" si="44"/>
        <v>0.30350962333848813</v>
      </c>
      <c r="AF33" s="17">
        <f t="shared" si="44"/>
        <v>0.32291202760758225</v>
      </c>
      <c r="AG33" s="17">
        <f t="shared" si="44"/>
        <v>0.34066618404035093</v>
      </c>
      <c r="AH33" s="17">
        <f t="shared" ref="AH33:AK33" si="48">AH83/SUM(AH$81:AH$83)</f>
        <v>0.35886254356437591</v>
      </c>
      <c r="AI33" s="17">
        <f t="shared" si="48"/>
        <v>0.37690304142313286</v>
      </c>
      <c r="AJ33" s="17">
        <f t="shared" si="48"/>
        <v>0.39487950849889136</v>
      </c>
      <c r="AK33" s="17">
        <f t="shared" si="48"/>
        <v>0.41286397210830378</v>
      </c>
      <c r="AL33" s="107"/>
      <c r="AM33" s="107"/>
    </row>
    <row r="34" spans="1:43">
      <c r="A34" t="s">
        <v>383</v>
      </c>
      <c r="B34">
        <f t="shared" si="11"/>
        <v>26</v>
      </c>
      <c r="C34" s="265">
        <v>26.162716441035041</v>
      </c>
      <c r="D34" s="265">
        <v>26.124793740612695</v>
      </c>
      <c r="E34" s="265">
        <v>25.810272238913001</v>
      </c>
      <c r="F34" s="265">
        <v>25.676476665132281</v>
      </c>
      <c r="G34" s="265">
        <v>25.758415053648385</v>
      </c>
      <c r="H34" s="265">
        <v>25.755361891142741</v>
      </c>
      <c r="I34" s="265">
        <v>25.706039736299225</v>
      </c>
      <c r="J34" s="265">
        <v>25.946710085536886</v>
      </c>
      <c r="K34" s="265">
        <v>26.998265626975765</v>
      </c>
      <c r="L34" s="6">
        <f t="shared" ref="L34:AG34" si="49">L31*L$30</f>
        <v>27.455328536696602</v>
      </c>
      <c r="M34" s="6">
        <f t="shared" si="49"/>
        <v>27.182255123187865</v>
      </c>
      <c r="N34" s="6">
        <f t="shared" si="49"/>
        <v>27.370824378283928</v>
      </c>
      <c r="O34" s="6">
        <f t="shared" si="49"/>
        <v>27.411038436863816</v>
      </c>
      <c r="P34" s="6">
        <f t="shared" si="49"/>
        <v>27.448269217030397</v>
      </c>
      <c r="Q34" s="6">
        <f t="shared" si="49"/>
        <v>27.444135728614732</v>
      </c>
      <c r="R34" s="6">
        <f t="shared" si="49"/>
        <v>27.391748062452859</v>
      </c>
      <c r="S34" s="6">
        <f t="shared" si="49"/>
        <v>27.30718270689772</v>
      </c>
      <c r="T34" s="6">
        <f t="shared" si="49"/>
        <v>27.157765524251296</v>
      </c>
      <c r="U34" s="6">
        <f t="shared" si="49"/>
        <v>26.935271889842749</v>
      </c>
      <c r="V34" s="6">
        <f t="shared" si="49"/>
        <v>26.677960916785743</v>
      </c>
      <c r="W34" s="6">
        <f t="shared" si="49"/>
        <v>26.423184018205994</v>
      </c>
      <c r="X34" s="6">
        <f t="shared" si="49"/>
        <v>26.170599246297112</v>
      </c>
      <c r="Y34" s="6">
        <f t="shared" si="49"/>
        <v>25.883218136769703</v>
      </c>
      <c r="Z34" s="6">
        <f t="shared" si="49"/>
        <v>25.583358467507807</v>
      </c>
      <c r="AA34" s="6">
        <f t="shared" si="49"/>
        <v>25.306496393634095</v>
      </c>
      <c r="AB34" s="6">
        <f t="shared" si="49"/>
        <v>25.016238889567493</v>
      </c>
      <c r="AC34" s="6">
        <f t="shared" si="49"/>
        <v>24.73263863452279</v>
      </c>
      <c r="AD34" s="6">
        <f t="shared" si="49"/>
        <v>24.483958619794251</v>
      </c>
      <c r="AE34" s="6">
        <f t="shared" si="49"/>
        <v>24.254173810563351</v>
      </c>
      <c r="AF34" s="6">
        <f t="shared" si="49"/>
        <v>22.477099460091136</v>
      </c>
      <c r="AG34" s="6">
        <f t="shared" si="49"/>
        <v>20.518919007461761</v>
      </c>
      <c r="AH34" s="6">
        <f t="shared" ref="AH34:AK34" si="50">AH31*AH$30</f>
        <v>18.36488084785201</v>
      </c>
      <c r="AI34" s="6">
        <f t="shared" si="50"/>
        <v>16.031979551451432</v>
      </c>
      <c r="AJ34" s="6">
        <f t="shared" si="50"/>
        <v>13.579652666582088</v>
      </c>
      <c r="AK34" s="6">
        <f t="shared" si="50"/>
        <v>11.054814108119393</v>
      </c>
      <c r="AL34" s="6"/>
      <c r="AM34" s="6"/>
    </row>
    <row r="35" spans="1:43">
      <c r="A35" t="s">
        <v>384</v>
      </c>
      <c r="B35">
        <f t="shared" si="11"/>
        <v>27</v>
      </c>
      <c r="C35" s="265">
        <v>15.697629864621025</v>
      </c>
      <c r="D35" s="265">
        <v>15.706931206012538</v>
      </c>
      <c r="E35" s="265">
        <v>16.206450010480257</v>
      </c>
      <c r="F35" s="265">
        <v>16.65350655721161</v>
      </c>
      <c r="G35" s="265">
        <v>17.096293177200256</v>
      </c>
      <c r="H35" s="265">
        <v>17.422744808714206</v>
      </c>
      <c r="I35" s="265">
        <v>17.892835083270921</v>
      </c>
      <c r="J35" s="265">
        <v>18.376375848815535</v>
      </c>
      <c r="K35" s="265">
        <v>19.311259441517389</v>
      </c>
      <c r="L35" s="6">
        <f t="shared" ref="L35:AG35" si="51">L32*L$30</f>
        <v>18.373603858247002</v>
      </c>
      <c r="M35" s="6">
        <f t="shared" si="51"/>
        <v>18.779742356384702</v>
      </c>
      <c r="N35" s="6">
        <f t="shared" si="51"/>
        <v>18.963373944982962</v>
      </c>
      <c r="O35" s="6">
        <f t="shared" si="51"/>
        <v>19.248154081046206</v>
      </c>
      <c r="P35" s="6">
        <f t="shared" si="51"/>
        <v>19.563924728927528</v>
      </c>
      <c r="Q35" s="6">
        <f t="shared" si="51"/>
        <v>19.864880008719858</v>
      </c>
      <c r="R35" s="6">
        <f t="shared" si="51"/>
        <v>20.183675204378439</v>
      </c>
      <c r="S35" s="6">
        <f t="shared" si="51"/>
        <v>20.503077866928027</v>
      </c>
      <c r="T35" s="6">
        <f t="shared" si="51"/>
        <v>20.828923383789171</v>
      </c>
      <c r="U35" s="6">
        <f t="shared" si="51"/>
        <v>21.192390664584384</v>
      </c>
      <c r="V35" s="6">
        <f t="shared" si="51"/>
        <v>21.534295520700407</v>
      </c>
      <c r="W35" s="6">
        <f t="shared" si="51"/>
        <v>21.876525550799496</v>
      </c>
      <c r="X35" s="6">
        <f t="shared" si="51"/>
        <v>22.210468086026644</v>
      </c>
      <c r="Y35" s="6">
        <f t="shared" si="51"/>
        <v>22.550303412057676</v>
      </c>
      <c r="Z35" s="6">
        <f t="shared" si="51"/>
        <v>22.902334057806431</v>
      </c>
      <c r="AA35" s="6">
        <f t="shared" si="51"/>
        <v>23.199400490223521</v>
      </c>
      <c r="AB35" s="6">
        <f t="shared" si="51"/>
        <v>23.479511371874722</v>
      </c>
      <c r="AC35" s="6">
        <f t="shared" si="51"/>
        <v>23.7747285638774</v>
      </c>
      <c r="AD35" s="6">
        <f t="shared" si="51"/>
        <v>24.042275673128817</v>
      </c>
      <c r="AE35" s="6">
        <f t="shared" si="51"/>
        <v>24.300912429123557</v>
      </c>
      <c r="AF35" s="6">
        <f t="shared" si="51"/>
        <v>26.148786459925194</v>
      </c>
      <c r="AG35" s="6">
        <f t="shared" si="51"/>
        <v>27.961733624598693</v>
      </c>
      <c r="AH35" s="6">
        <f t="shared" ref="AH35:AK35" si="52">AH32*AH$30</f>
        <v>29.591591812949058</v>
      </c>
      <c r="AI35" s="6">
        <f t="shared" si="52"/>
        <v>31.113528998547864</v>
      </c>
      <c r="AJ35" s="6">
        <f t="shared" si="52"/>
        <v>32.535396980156506</v>
      </c>
      <c r="AK35" s="6">
        <f t="shared" si="52"/>
        <v>33.862357303735472</v>
      </c>
      <c r="AL35" s="6"/>
      <c r="AM35" s="6"/>
    </row>
    <row r="36" spans="1:43">
      <c r="A36" t="s">
        <v>385</v>
      </c>
      <c r="B36">
        <f t="shared" si="11"/>
        <v>28</v>
      </c>
      <c r="C36" s="265">
        <v>10.465086576414015</v>
      </c>
      <c r="D36" s="265">
        <v>11.272661511798107</v>
      </c>
      <c r="E36" s="265">
        <v>11.895643442036015</v>
      </c>
      <c r="F36" s="265">
        <v>12.420508234977223</v>
      </c>
      <c r="G36" s="265">
        <v>12.765232238976191</v>
      </c>
      <c r="H36" s="265">
        <v>13.343841341791148</v>
      </c>
      <c r="I36" s="265">
        <v>13.837125797729508</v>
      </c>
      <c r="J36" s="265">
        <v>14.041748987467024</v>
      </c>
      <c r="K36" s="3">
        <f t="shared" ref="K36:AG36" si="53">K33*K$30</f>
        <v>11.858701524628284</v>
      </c>
      <c r="L36" s="6">
        <f t="shared" si="53"/>
        <v>13.563322605056396</v>
      </c>
      <c r="M36" s="6">
        <f t="shared" si="53"/>
        <v>13.931887520427432</v>
      </c>
      <c r="N36" s="6">
        <f t="shared" si="53"/>
        <v>14.080296676733113</v>
      </c>
      <c r="O36" s="6">
        <f t="shared" si="53"/>
        <v>14.361028482089978</v>
      </c>
      <c r="P36" s="6">
        <f t="shared" si="53"/>
        <v>14.660887054042078</v>
      </c>
      <c r="Q36" s="6">
        <f t="shared" si="53"/>
        <v>14.996023262665405</v>
      </c>
      <c r="R36" s="6">
        <f t="shared" si="53"/>
        <v>15.343492733168704</v>
      </c>
      <c r="S36" s="6">
        <f t="shared" si="53"/>
        <v>15.704241426174255</v>
      </c>
      <c r="T36" s="6">
        <f t="shared" si="53"/>
        <v>16.10704309195954</v>
      </c>
      <c r="U36" s="6">
        <f t="shared" si="53"/>
        <v>16.531615445572868</v>
      </c>
      <c r="V36" s="6">
        <f t="shared" si="53"/>
        <v>16.999269562513845</v>
      </c>
      <c r="W36" s="6">
        <f t="shared" si="53"/>
        <v>17.45321443099451</v>
      </c>
      <c r="X36" s="6">
        <f t="shared" si="53"/>
        <v>17.903121667676245</v>
      </c>
      <c r="Y36" s="6">
        <f t="shared" si="53"/>
        <v>18.370645451172628</v>
      </c>
      <c r="Z36" s="6">
        <f t="shared" si="53"/>
        <v>18.82844047468576</v>
      </c>
      <c r="AA36" s="6">
        <f t="shared" si="53"/>
        <v>19.310036116142385</v>
      </c>
      <c r="AB36" s="6">
        <f t="shared" si="53"/>
        <v>19.812495738557786</v>
      </c>
      <c r="AC36" s="6">
        <f t="shared" si="53"/>
        <v>20.281127801599805</v>
      </c>
      <c r="AD36" s="6">
        <f t="shared" si="53"/>
        <v>20.730588707076922</v>
      </c>
      <c r="AE36" s="6">
        <f t="shared" si="53"/>
        <v>21.158850760313094</v>
      </c>
      <c r="AF36" s="6">
        <f t="shared" si="53"/>
        <v>23.190315079983677</v>
      </c>
      <c r="AG36" s="6">
        <f t="shared" si="53"/>
        <v>25.049100367939545</v>
      </c>
      <c r="AH36" s="6">
        <f t="shared" ref="AH36:AK36" si="54">AH33*AH$30</f>
        <v>26.842577339198936</v>
      </c>
      <c r="AI36" s="6">
        <f t="shared" si="54"/>
        <v>28.517689450000706</v>
      </c>
      <c r="AJ36" s="6">
        <f t="shared" si="54"/>
        <v>30.092995353261394</v>
      </c>
      <c r="AK36" s="6">
        <f t="shared" si="54"/>
        <v>31.584983588145132</v>
      </c>
      <c r="AL36" s="6"/>
      <c r="AM36" s="6"/>
    </row>
    <row r="37" spans="1:43">
      <c r="A37" t="s">
        <v>386</v>
      </c>
      <c r="B37">
        <f t="shared" si="11"/>
        <v>29</v>
      </c>
      <c r="C37" s="269">
        <v>0.33936777226430637</v>
      </c>
      <c r="D37" s="268">
        <v>0.34922378908645002</v>
      </c>
      <c r="E37" s="268">
        <v>0.35473666462293074</v>
      </c>
      <c r="F37" s="268">
        <v>0.35856192519926422</v>
      </c>
      <c r="G37" s="268">
        <v>0.35979950950337214</v>
      </c>
      <c r="H37" s="268">
        <v>0.36519987737584303</v>
      </c>
      <c r="I37" s="268">
        <v>0.36857510729613735</v>
      </c>
      <c r="J37" s="268">
        <v>0.36699999999999999</v>
      </c>
      <c r="K37" s="268">
        <v>0.33910000000000001</v>
      </c>
      <c r="L37" s="17">
        <f t="shared" ref="L37:AG37" si="55">L75/K75*K37</f>
        <v>0.35245161852842388</v>
      </c>
      <c r="M37" s="17">
        <f t="shared" si="55"/>
        <v>0.36580323705684775</v>
      </c>
      <c r="N37" s="3">
        <f t="shared" si="55"/>
        <v>0.36630190838476762</v>
      </c>
      <c r="O37" s="3">
        <f t="shared" si="55"/>
        <v>0.36903852791301534</v>
      </c>
      <c r="P37" s="3">
        <f t="shared" si="55"/>
        <v>0.37270142897882824</v>
      </c>
      <c r="Q37" s="3">
        <f t="shared" si="55"/>
        <v>0.37636433004464115</v>
      </c>
      <c r="R37" s="3">
        <f t="shared" si="55"/>
        <v>0.38113241167092948</v>
      </c>
      <c r="S37" s="3">
        <f t="shared" si="55"/>
        <v>0.38643230520600241</v>
      </c>
      <c r="T37" s="3">
        <f t="shared" si="55"/>
        <v>0.41024847577437595</v>
      </c>
      <c r="U37" s="3">
        <f t="shared" si="55"/>
        <v>0.4191111295773014</v>
      </c>
      <c r="V37" s="3">
        <f t="shared" si="55"/>
        <v>0.4287113422728564</v>
      </c>
      <c r="W37" s="3">
        <f t="shared" si="55"/>
        <v>0.43930492481052646</v>
      </c>
      <c r="X37" s="3">
        <f t="shared" si="55"/>
        <v>0.45010913665867985</v>
      </c>
      <c r="Y37" s="3">
        <f t="shared" si="55"/>
        <v>0.46228431649469992</v>
      </c>
      <c r="Z37" s="3">
        <f t="shared" si="55"/>
        <v>0.47511133342480683</v>
      </c>
      <c r="AA37" s="3">
        <f t="shared" si="55"/>
        <v>0.48802367542975372</v>
      </c>
      <c r="AB37" s="3">
        <f t="shared" si="55"/>
        <v>0.50234715585165368</v>
      </c>
      <c r="AC37" s="3">
        <f t="shared" si="55"/>
        <v>0.51869552810607111</v>
      </c>
      <c r="AD37" s="3">
        <f t="shared" si="55"/>
        <v>0.55836575952837519</v>
      </c>
      <c r="AE37" s="3">
        <f t="shared" si="55"/>
        <v>0.57419490509556825</v>
      </c>
      <c r="AF37" s="3">
        <f t="shared" si="55"/>
        <v>0.65781863910535798</v>
      </c>
      <c r="AG37" s="3">
        <f t="shared" si="55"/>
        <v>0.75442973266670366</v>
      </c>
      <c r="AH37" s="3">
        <f t="shared" ref="AH37" si="56">AH75/AG75*AG37</f>
        <v>0.85255058884891299</v>
      </c>
      <c r="AI37" s="3">
        <f t="shared" ref="AI37" si="57">AI75/AH75*AH37</f>
        <v>0.93024587097278821</v>
      </c>
      <c r="AJ37" s="3">
        <f t="shared" ref="AJ37" si="58">AJ75/AI75*AI37</f>
        <v>0.97981500859639237</v>
      </c>
      <c r="AK37" s="3">
        <f t="shared" ref="AK37" si="59">AK75/AJ75*AJ37</f>
        <v>0.99597893814734462</v>
      </c>
      <c r="AL37" s="107"/>
      <c r="AM37" s="107"/>
    </row>
    <row r="38" spans="1:43">
      <c r="A38" t="s">
        <v>263</v>
      </c>
      <c r="C38" s="92"/>
      <c r="D38" s="274">
        <f>(D37/C37)^(1/(D$5-C$5))-1</f>
        <v>2.9042288713459818E-2</v>
      </c>
      <c r="E38" s="274">
        <f t="shared" ref="E38:L38" si="60">(E37/D37)^(1/(E$5-D$5))-1</f>
        <v>1.5786082474226859E-2</v>
      </c>
      <c r="F38" s="274">
        <f t="shared" si="60"/>
        <v>1.0783380907072537E-2</v>
      </c>
      <c r="G38" s="274">
        <f t="shared" si="60"/>
        <v>3.4515218073423171E-3</v>
      </c>
      <c r="H38" s="274">
        <f t="shared" si="60"/>
        <v>1.5009380863039379E-2</v>
      </c>
      <c r="I38" s="274">
        <f t="shared" si="60"/>
        <v>9.2421441774492852E-3</v>
      </c>
      <c r="J38" s="274">
        <f t="shared" si="60"/>
        <v>-4.2735042735043693E-3</v>
      </c>
      <c r="K38" s="274">
        <f t="shared" si="60"/>
        <v>-7.6021798365122573E-2</v>
      </c>
      <c r="L38" s="92">
        <f t="shared" si="60"/>
        <v>3.937369073554664E-2</v>
      </c>
      <c r="M38" s="92">
        <f t="shared" ref="M38" si="61">(M37/L37)^(1/(M$5-L$5))-1</f>
        <v>3.7882131409043618E-2</v>
      </c>
      <c r="N38" s="92">
        <f t="shared" ref="N38" si="62">(N37/M37)^(1/(N$5-M$5))-1</f>
        <v>1.363222840595979E-3</v>
      </c>
      <c r="O38" s="92">
        <f t="shared" ref="O38" si="63">(O37/N37)^(1/(O$5-N$5))-1</f>
        <v>7.4709398602781363E-3</v>
      </c>
      <c r="P38" s="92">
        <f t="shared" ref="P38" si="64">(P37/O37)^(1/(P$5-O$5))-1</f>
        <v>9.9255248131606688E-3</v>
      </c>
      <c r="Q38" s="92">
        <f t="shared" ref="Q38" si="65">(Q37/P37)^(1/(Q$5-P$5))-1</f>
        <v>9.827976983745268E-3</v>
      </c>
      <c r="R38" s="92">
        <f t="shared" ref="R38" si="66">(R37/Q37)^(1/(R$5-Q$5))-1</f>
        <v>1.2668792565232678E-2</v>
      </c>
      <c r="S38" s="92">
        <f t="shared" ref="S38" si="67">(S37/R37)^(1/(S$5-R$5))-1</f>
        <v>1.39056489891205E-2</v>
      </c>
      <c r="T38" s="92">
        <f t="shared" ref="T38" si="68">(T37/S37)^(1/(T$5-S$5))-1</f>
        <v>6.1630899506907033E-2</v>
      </c>
      <c r="U38" s="92">
        <f t="shared" ref="U38" si="69">(U37/T37)^(1/(U$5-T$5))-1</f>
        <v>2.1603136455769834E-2</v>
      </c>
      <c r="V38" s="92">
        <f t="shared" ref="V38" si="70">(V37/U37)^(1/(V$5-U$5))-1</f>
        <v>2.2906126843344365E-2</v>
      </c>
      <c r="W38" s="92">
        <f t="shared" ref="W38" si="71">(W37/V37)^(1/(W$5-V$5))-1</f>
        <v>2.4710292201524542E-2</v>
      </c>
      <c r="X38" s="92">
        <f t="shared" ref="X38" si="72">(X37/W37)^(1/(X$5-W$5))-1</f>
        <v>2.4593878278995618E-2</v>
      </c>
      <c r="Y38" s="92">
        <f t="shared" ref="Y38" si="73">(Y37/X37)^(1/(Y$5-X$5))-1</f>
        <v>2.7049395012064714E-2</v>
      </c>
      <c r="Z38" s="92">
        <f t="shared" ref="Z38" si="74">(Z37/Y37)^(1/(Z$5-Y$5))-1</f>
        <v>2.7747030285103724E-2</v>
      </c>
      <c r="AA38" s="92">
        <f t="shared" ref="AA38" si="75">(AA37/Z37)^(1/(AA$5-Z$5))-1</f>
        <v>2.7177507873510809E-2</v>
      </c>
      <c r="AB38" s="92">
        <f t="shared" ref="AB38" si="76">(AB37/AA37)^(1/(AB$5-AA$5))-1</f>
        <v>2.9349970386757684E-2</v>
      </c>
      <c r="AC38" s="92">
        <f t="shared" ref="AC38" si="77">(AC37/AB37)^(1/(AC$5-AB$5))-1</f>
        <v>3.2543972955716649E-2</v>
      </c>
      <c r="AD38" s="92">
        <f t="shared" ref="AD38" si="78">(AD37/AC37)^(1/(AD$5-AC$5))-1</f>
        <v>7.6480766215882401E-2</v>
      </c>
      <c r="AE38" s="92">
        <f t="shared" ref="AE38" si="79">(AE37/AD37)^(1/(AE$5-AD$5))-1</f>
        <v>2.83490620566762E-2</v>
      </c>
      <c r="AF38" s="92">
        <f t="shared" ref="AF38" si="80">(AF37/AE37)^(1/(AF$5-AE$5))-1</f>
        <v>2.7565153237630202E-2</v>
      </c>
      <c r="AG38" s="92">
        <f t="shared" ref="AG38" si="81">(AG37/AF37)^(1/(AG$5-AF$5))-1</f>
        <v>2.7785589548525946E-2</v>
      </c>
      <c r="AH38" s="92">
        <f t="shared" ref="AH38" si="82">(AH37/AG37)^(1/(AH$5-AG$5))-1</f>
        <v>2.4755534538967172E-2</v>
      </c>
      <c r="AI38" s="92">
        <f t="shared" ref="AI38" si="83">(AI37/AH37)^(1/(AI$5-AH$5))-1</f>
        <v>1.7596298267333221E-2</v>
      </c>
      <c r="AJ38" s="92">
        <f t="shared" ref="AJ38" si="84">(AJ37/AI37)^(1/(AJ$5-AI$5))-1</f>
        <v>1.0437061796241043E-2</v>
      </c>
      <c r="AK38" s="92">
        <f t="shared" ref="AK38" si="85">(AK37/AJ37)^(1/(AK$5-AJ$5))-1</f>
        <v>3.2778251214204968E-3</v>
      </c>
      <c r="AL38" s="92"/>
      <c r="AM38" s="92"/>
    </row>
    <row r="39" spans="1:43">
      <c r="L39" s="6"/>
      <c r="Y39" s="92"/>
      <c r="Z39" s="92"/>
      <c r="AA39" s="92"/>
    </row>
    <row r="40" spans="1:43">
      <c r="A40" s="182" t="s">
        <v>639</v>
      </c>
    </row>
    <row r="41" spans="1:43">
      <c r="C41" s="26" t="s">
        <v>536</v>
      </c>
      <c r="D41" s="26" t="s">
        <v>545</v>
      </c>
      <c r="E41" s="26" t="s">
        <v>546</v>
      </c>
      <c r="F41" s="26" t="s">
        <v>537</v>
      </c>
      <c r="G41" s="26" t="s">
        <v>547</v>
      </c>
      <c r="H41" s="26" t="s">
        <v>548</v>
      </c>
      <c r="I41" s="26" t="s">
        <v>549</v>
      </c>
      <c r="J41" s="26" t="s">
        <v>550</v>
      </c>
      <c r="K41" s="26" t="s">
        <v>538</v>
      </c>
      <c r="L41" s="26" t="s">
        <v>551</v>
      </c>
      <c r="M41" s="26" t="s">
        <v>552</v>
      </c>
      <c r="N41" s="26" t="s">
        <v>553</v>
      </c>
      <c r="O41" s="26" t="s">
        <v>554</v>
      </c>
      <c r="P41" s="26" t="s">
        <v>539</v>
      </c>
      <c r="Q41" s="26" t="s">
        <v>555</v>
      </c>
      <c r="R41" s="26" t="s">
        <v>556</v>
      </c>
      <c r="S41" s="26" t="s">
        <v>557</v>
      </c>
      <c r="T41" s="26" t="s">
        <v>558</v>
      </c>
      <c r="U41" s="26" t="s">
        <v>540</v>
      </c>
      <c r="V41" s="26" t="s">
        <v>559</v>
      </c>
      <c r="W41" s="26" t="s">
        <v>560</v>
      </c>
      <c r="X41" s="26" t="s">
        <v>561</v>
      </c>
      <c r="Y41" s="26" t="s">
        <v>562</v>
      </c>
      <c r="Z41" s="26" t="s">
        <v>541</v>
      </c>
      <c r="AA41" s="26" t="s">
        <v>563</v>
      </c>
      <c r="AB41" s="26" t="s">
        <v>564</v>
      </c>
      <c r="AC41" s="26" t="s">
        <v>565</v>
      </c>
      <c r="AD41" s="26" t="s">
        <v>566</v>
      </c>
      <c r="AE41" s="26" t="s">
        <v>542</v>
      </c>
      <c r="AF41" s="26" t="s">
        <v>543</v>
      </c>
      <c r="AG41" s="26" t="s">
        <v>544</v>
      </c>
      <c r="AH41" s="26" t="s">
        <v>706</v>
      </c>
      <c r="AI41" s="26" t="s">
        <v>711</v>
      </c>
      <c r="AJ41" s="26" t="s">
        <v>716</v>
      </c>
      <c r="AK41" s="26" t="s">
        <v>721</v>
      </c>
      <c r="AL41" s="26"/>
      <c r="AM41" s="26"/>
      <c r="AN41" s="26" t="s">
        <v>782</v>
      </c>
      <c r="AO41" s="26"/>
    </row>
    <row r="43" spans="1:43">
      <c r="A43" t="s">
        <v>590</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H43">
        <v>2055</v>
      </c>
      <c r="AI43">
        <v>2060</v>
      </c>
      <c r="AJ43">
        <v>2065</v>
      </c>
      <c r="AK43">
        <v>2070</v>
      </c>
      <c r="AN43">
        <v>2055</v>
      </c>
      <c r="AO43">
        <v>2060</v>
      </c>
      <c r="AP43">
        <v>2065</v>
      </c>
      <c r="AQ43">
        <v>2070</v>
      </c>
    </row>
    <row r="44" spans="1:43">
      <c r="A44" t="s">
        <v>591</v>
      </c>
      <c r="C44">
        <v>0</v>
      </c>
      <c r="D44">
        <f>C44+1</f>
        <v>1</v>
      </c>
      <c r="E44">
        <f t="shared" ref="E44" si="86">D44+1</f>
        <v>2</v>
      </c>
      <c r="F44">
        <f t="shared" ref="F44" si="87">E44+1</f>
        <v>3</v>
      </c>
      <c r="G44">
        <f t="shared" ref="G44" si="88">F44+1</f>
        <v>4</v>
      </c>
      <c r="H44">
        <f t="shared" ref="H44" si="89">G44+1</f>
        <v>5</v>
      </c>
      <c r="I44">
        <f t="shared" ref="I44" si="90">H44+1</f>
        <v>6</v>
      </c>
      <c r="J44">
        <f t="shared" ref="J44" si="91">I44+1</f>
        <v>7</v>
      </c>
      <c r="K44">
        <f t="shared" ref="K44" si="92">J44+1</f>
        <v>8</v>
      </c>
      <c r="L44">
        <f t="shared" ref="L44" si="93">K44+1</f>
        <v>9</v>
      </c>
      <c r="M44">
        <f t="shared" ref="M44" si="94">L44+1</f>
        <v>10</v>
      </c>
      <c r="N44">
        <f t="shared" ref="N44" si="95">M44+1</f>
        <v>11</v>
      </c>
      <c r="O44">
        <f t="shared" ref="O44" si="96">N44+1</f>
        <v>12</v>
      </c>
      <c r="P44">
        <f t="shared" ref="P44" si="97">O44+1</f>
        <v>13</v>
      </c>
      <c r="Q44">
        <f t="shared" ref="Q44" si="98">P44+1</f>
        <v>14</v>
      </c>
      <c r="R44">
        <f t="shared" ref="R44" si="99">Q44+1</f>
        <v>15</v>
      </c>
      <c r="S44">
        <f t="shared" ref="S44" si="100">R44+1</f>
        <v>16</v>
      </c>
      <c r="T44">
        <f t="shared" ref="T44" si="101">S44+1</f>
        <v>17</v>
      </c>
      <c r="U44">
        <f t="shared" ref="U44" si="102">T44+1</f>
        <v>18</v>
      </c>
      <c r="V44">
        <f t="shared" ref="V44" si="103">U44+1</f>
        <v>19</v>
      </c>
      <c r="W44">
        <f t="shared" ref="W44" si="104">V44+1</f>
        <v>20</v>
      </c>
      <c r="X44">
        <f t="shared" ref="X44" si="105">W44+1</f>
        <v>21</v>
      </c>
      <c r="Y44">
        <f t="shared" ref="Y44" si="106">X44+1</f>
        <v>22</v>
      </c>
      <c r="Z44">
        <f t="shared" ref="Z44" si="107">Y44+1</f>
        <v>23</v>
      </c>
      <c r="AA44">
        <f t="shared" ref="AA44" si="108">Z44+1</f>
        <v>24</v>
      </c>
      <c r="AB44">
        <f t="shared" ref="AB44" si="109">AA44+1</f>
        <v>25</v>
      </c>
      <c r="AC44">
        <f t="shared" ref="AC44" si="110">AB44+1</f>
        <v>26</v>
      </c>
      <c r="AD44">
        <f t="shared" ref="AD44" si="111">AC44+1</f>
        <v>27</v>
      </c>
      <c r="AE44">
        <f t="shared" ref="AE44" si="112">AD44+1</f>
        <v>28</v>
      </c>
      <c r="AF44">
        <f t="shared" ref="AF44" si="113">AE44+1</f>
        <v>29</v>
      </c>
      <c r="AG44">
        <f t="shared" ref="AG44" si="114">AF44+1</f>
        <v>30</v>
      </c>
      <c r="AH44">
        <f t="shared" ref="AH44" si="115">AG44+1</f>
        <v>31</v>
      </c>
      <c r="AI44">
        <f t="shared" ref="AI44" si="116">AH44+1</f>
        <v>32</v>
      </c>
      <c r="AJ44">
        <f t="shared" ref="AJ44" si="117">AI44+1</f>
        <v>33</v>
      </c>
      <c r="AK44">
        <f t="shared" ref="AK44" si="118">AJ44+1</f>
        <v>34</v>
      </c>
      <c r="AN44">
        <v>31</v>
      </c>
      <c r="AO44">
        <v>32</v>
      </c>
      <c r="AP44">
        <v>33</v>
      </c>
      <c r="AQ44">
        <v>34</v>
      </c>
    </row>
    <row r="45" spans="1:43">
      <c r="A45" s="115" t="s">
        <v>126</v>
      </c>
      <c r="B45">
        <v>1</v>
      </c>
      <c r="C45" s="265">
        <v>96.797279590965346</v>
      </c>
      <c r="D45" s="265">
        <v>101.32801029182565</v>
      </c>
      <c r="E45" s="265">
        <v>105.4512845971946</v>
      </c>
      <c r="F45" s="265">
        <v>104.03295587682055</v>
      </c>
      <c r="G45" s="265">
        <v>102.86973222443167</v>
      </c>
      <c r="H45" s="265">
        <v>106.45368114150588</v>
      </c>
      <c r="I45" s="265">
        <v>104.83293209544796</v>
      </c>
      <c r="J45" s="6">
        <f>INDEX(DriversGams!$A$5:$BA$26,MATCH(Drivers!$A45,DriversGams!$A$5:$A$26,0),MATCH(Drivers!J$3,DriversGams!$A$5:$BA$5,0))</f>
        <v>103.19</v>
      </c>
      <c r="K45" s="6">
        <f>INDEX(DriversGams!$A$5:$BA$26,MATCH(Drivers!$A45,DriversGams!$A$5:$A$26,0),MATCH(Drivers!K$3,DriversGams!$A$5:$BA$5,0))</f>
        <v>101.98</v>
      </c>
      <c r="L45" s="6">
        <f>INDEX(DriversGams!$A$5:$BA$26,MATCH(Drivers!$A45,DriversGams!$A$5:$A$26,0),MATCH(Drivers!L$3,DriversGams!$A$5:$BA$5,0))</f>
        <v>106.77618269276007</v>
      </c>
      <c r="M45" s="6">
        <f>INDEX(DriversGams!$A$5:$BA$26,MATCH(Drivers!$A45,DriversGams!$A$5:$A$26,0),MATCH(Drivers!M$3,DriversGams!$A$5:$BA$5,0))</f>
        <v>108.81604147435188</v>
      </c>
      <c r="N45" s="6">
        <f>INDEX(DriversGams!$A$5:$BA$26,MATCH(Drivers!$A45,DriversGams!$A$5:$A$26,0),MATCH(Drivers!N$3,DriversGams!$A$5:$BA$5,0))</f>
        <v>109.03367355730057</v>
      </c>
      <c r="O45" s="6">
        <f>INDEX(DriversGams!$A$5:$BA$26,MATCH(Drivers!$A45,DriversGams!$A$5:$A$26,0),MATCH(Drivers!O$3,DriversGams!$A$5:$BA$5,0))</f>
        <v>110.12401029287358</v>
      </c>
      <c r="P45" s="6">
        <f>INDEX(DriversGams!$A$5:$BA$26,MATCH(Drivers!$A45,DriversGams!$A$5:$A$26,0),MATCH(Drivers!P$3,DriversGams!$A$5:$BA$5,0))</f>
        <v>111.33537440609517</v>
      </c>
      <c r="Q45" s="6">
        <f>INDEX(DriversGams!$A$5:$BA$26,MATCH(Drivers!$A45,DriversGams!$A$5:$A$26,0),MATCH(Drivers!Q$3,DriversGams!$A$5:$BA$5,0))</f>
        <v>112.8940696477805</v>
      </c>
      <c r="R45" s="6">
        <f>INDEX(DriversGams!$A$5:$BA$26,MATCH(Drivers!$A45,DriversGams!$A$5:$A$26,0),MATCH(Drivers!R$3,DriversGams!$A$5:$BA$5,0))</f>
        <v>114.70037476214499</v>
      </c>
      <c r="S45" s="6">
        <f>INDEX(DriversGams!$A$5:$BA$26,MATCH(Drivers!$A45,DriversGams!$A$5:$A$26,0),MATCH(Drivers!S$3,DriversGams!$A$5:$BA$5,0))</f>
        <v>116.7649815078636</v>
      </c>
      <c r="T45" s="6">
        <f>INDEX(DriversGams!$A$5:$BA$26,MATCH(Drivers!$A45,DriversGams!$A$5:$A$26,0),MATCH(Drivers!T$3,DriversGams!$A$5:$BA$5,0))</f>
        <v>119.33751514287142</v>
      </c>
      <c r="U45" s="6">
        <f>INDEX(DriversGams!$A$5:$BA$26,MATCH(Drivers!$A45,DriversGams!$A$5:$A$26,0),MATCH(Drivers!U$3,DriversGams!$A$5:$BA$5,0))</f>
        <v>122.46634842347326</v>
      </c>
      <c r="V45" s="6">
        <f>INDEX(DriversGams!$A$5:$BA$26,MATCH(Drivers!$A45,DriversGams!$A$5:$A$26,0),MATCH(Drivers!V$3,DriversGams!$A$5:$BA$5,0))</f>
        <v>126.06421579250767</v>
      </c>
      <c r="W45" s="6">
        <f>INDEX(DriversGams!$A$5:$BA$26,MATCH(Drivers!$A45,DriversGams!$A$5:$A$26,0),MATCH(Drivers!W$3,DriversGams!$A$5:$BA$5,0))</f>
        <v>129.8559171888065</v>
      </c>
      <c r="X45" s="6">
        <f>INDEX(DriversGams!$A$5:$BA$26,MATCH(Drivers!$A45,DriversGams!$A$5:$A$26,0),MATCH(Drivers!X$3,DriversGams!$A$5:$BA$5,0))</f>
        <v>133.87855551713014</v>
      </c>
      <c r="Y45" s="6">
        <f>INDEX(DriversGams!$A$5:$BA$26,MATCH(Drivers!$A45,DriversGams!$A$5:$A$26,0),MATCH(Drivers!Y$3,DriversGams!$A$5:$BA$5,0))</f>
        <v>138.47941603601245</v>
      </c>
      <c r="Z45" s="6">
        <f>INDEX(DriversGams!$A$5:$BA$26,MATCH(Drivers!$A45,DriversGams!$A$5:$A$26,0),MATCH(Drivers!Z$3,DriversGams!$A$5:$BA$5,0))</f>
        <v>143.35454149130049</v>
      </c>
      <c r="AA45" s="6">
        <f>INDEX(DriversGams!$A$5:$BA$26,MATCH(Drivers!$A45,DriversGams!$A$5:$A$26,0),MATCH(Drivers!AA$3,DriversGams!$A$5:$BA$5,0))</f>
        <v>148.52153545006567</v>
      </c>
      <c r="AB45" s="6">
        <f>INDEX(DriversGams!$A$5:$BA$26,MATCH(Drivers!$A45,DriversGams!$A$5:$A$26,0),MATCH(Drivers!AB$3,DriversGams!$A$5:$BA$5,0))</f>
        <v>154.01787462641707</v>
      </c>
      <c r="AC45" s="6">
        <f>INDEX(DriversGams!$A$5:$BA$26,MATCH(Drivers!$A45,DriversGams!$A$5:$A$26,0),MATCH(Drivers!AC$3,DriversGams!$A$5:$BA$5,0))</f>
        <v>159.77135760162864</v>
      </c>
      <c r="AD45" s="6">
        <f>INDEX(DriversGams!$A$5:$BA$26,MATCH(Drivers!$A45,DriversGams!$A$5:$A$26,0),MATCH(Drivers!AD$3,DriversGams!$A$5:$BA$5,0))</f>
        <v>165.61347836440339</v>
      </c>
      <c r="AE45" s="6">
        <f>INDEX(DriversGams!$A$5:$BA$26,MATCH(Drivers!$A45,DriversGams!$A$5:$A$26,0),MATCH(Drivers!AE$3,DriversGams!$A$5:$BA$5,0))</f>
        <v>171.47762048595308</v>
      </c>
      <c r="AF45" s="6">
        <f>INDEX(DriversGams!$A$5:$BA$26,MATCH(Drivers!$A45,DriversGams!$A$5:$A$26,0),MATCH(Drivers!AF$3,DriversGams!$A$5:$BA$5,0))</f>
        <v>203.42521702176563</v>
      </c>
      <c r="AG45" s="6">
        <f>INDEX(DriversGams!$A$5:$BA$26,MATCH(Drivers!$A45,DriversGams!$A$5:$A$26,0),MATCH(Drivers!AG$3,DriversGams!$A$5:$BA$5,0))</f>
        <v>241.92531126525446</v>
      </c>
      <c r="AH45" s="6">
        <f>INDEX(DriversGams!$A$5:$BA$26,MATCH(Drivers!$A45,DriversGams!$A$5:$A$26,0),MATCH(Drivers!AH$3,DriversGams!$A$5:$BA$5,0))</f>
        <v>282.02525190600596</v>
      </c>
      <c r="AI45" s="6">
        <f>AO45/AN45*AH45</f>
        <v>314.65951769462703</v>
      </c>
      <c r="AJ45" s="6">
        <f t="shared" ref="AJ45:AK45" si="119">AP45/AO45*AI45</f>
        <v>335.87004092771502</v>
      </c>
      <c r="AK45" s="6">
        <f t="shared" si="119"/>
        <v>342.85263739891138</v>
      </c>
      <c r="AL45" s="107"/>
      <c r="AM45" s="107"/>
      <c r="AN45" s="6">
        <v>282.02525190600596</v>
      </c>
      <c r="AO45" s="6">
        <v>314.65951769462703</v>
      </c>
      <c r="AP45" s="6">
        <v>335.87004092771502</v>
      </c>
      <c r="AQ45" s="6">
        <v>342.85263739891133</v>
      </c>
    </row>
    <row r="46" spans="1:43">
      <c r="A46" s="115" t="s">
        <v>4</v>
      </c>
      <c r="B46">
        <f>B45+1</f>
        <v>2</v>
      </c>
      <c r="C46" s="265">
        <v>2420.5059603282948</v>
      </c>
      <c r="D46" s="265">
        <v>2489.1047071827661</v>
      </c>
      <c r="E46" s="265">
        <v>2551.5982527371866</v>
      </c>
      <c r="F46" s="265">
        <v>2595.1630396206046</v>
      </c>
      <c r="G46" s="265">
        <v>2628.6516711665686</v>
      </c>
      <c r="H46" s="265">
        <v>2667.1308637985835</v>
      </c>
      <c r="I46" s="265">
        <v>2710.4237502366891</v>
      </c>
      <c r="J46" s="6">
        <f>INDEX(DriversGams!$A$5:$BA$26,MATCH(Drivers!$A46,DriversGams!$A$5:$A$26,0),MATCH(Drivers!J$3,DriversGams!$A$5:$BA$5,0))</f>
        <v>2746.44</v>
      </c>
      <c r="K46" s="6">
        <f>INDEX(DriversGams!$A$5:$BA$26,MATCH(Drivers!$A46,DriversGams!$A$5:$A$26,0),MATCH(Drivers!K$3,DriversGams!$A$5:$BA$5,0))</f>
        <v>2570.58</v>
      </c>
      <c r="L46" s="6">
        <f>INDEX(DriversGams!$A$5:$BA$26,MATCH(Drivers!$A46,DriversGams!$A$5:$A$26,0),MATCH(Drivers!L$3,DriversGams!$A$5:$BA$5,0))</f>
        <v>2701.6634132159884</v>
      </c>
      <c r="M46" s="6">
        <f>INDEX(DriversGams!$A$5:$BA$26,MATCH(Drivers!$A46,DriversGams!$A$5:$A$26,0),MATCH(Drivers!M$3,DriversGams!$A$5:$BA$5,0))</f>
        <v>2753.2761577379706</v>
      </c>
      <c r="N46" s="6">
        <f>INDEX(DriversGams!$A$5:$BA$26,MATCH(Drivers!$A46,DriversGams!$A$5:$A$26,0),MATCH(Drivers!N$3,DriversGams!$A$5:$BA$5,0))</f>
        <v>2758.7827100534464</v>
      </c>
      <c r="O46" s="6">
        <f>INDEX(DriversGams!$A$5:$BA$26,MATCH(Drivers!$A46,DriversGams!$A$5:$A$26,0),MATCH(Drivers!O$3,DriversGams!$A$5:$BA$5,0))</f>
        <v>2786.3705371539809</v>
      </c>
      <c r="P46" s="6">
        <f>INDEX(DriversGams!$A$5:$BA$26,MATCH(Drivers!$A46,DriversGams!$A$5:$A$26,0),MATCH(Drivers!P$3,DriversGams!$A$5:$BA$5,0))</f>
        <v>2817.0206130626743</v>
      </c>
      <c r="Q46" s="6">
        <f>INDEX(DriversGams!$A$5:$BA$26,MATCH(Drivers!$A46,DriversGams!$A$5:$A$26,0),MATCH(Drivers!Q$3,DriversGams!$A$5:$BA$5,0))</f>
        <v>2856.4589016455516</v>
      </c>
      <c r="R46" s="6">
        <f>INDEX(DriversGams!$A$5:$BA$26,MATCH(Drivers!$A46,DriversGams!$A$5:$A$26,0),MATCH(Drivers!R$3,DriversGams!$A$5:$BA$5,0))</f>
        <v>2902.1622440718807</v>
      </c>
      <c r="S46" s="6">
        <f>INDEX(DriversGams!$A$5:$BA$26,MATCH(Drivers!$A46,DriversGams!$A$5:$A$26,0),MATCH(Drivers!S$3,DriversGams!$A$5:$BA$5,0))</f>
        <v>2954.4011644651746</v>
      </c>
      <c r="T46" s="6">
        <f>INDEX(DriversGams!$A$5:$BA$26,MATCH(Drivers!$A46,DriversGams!$A$5:$A$26,0),MATCH(Drivers!T$3,DriversGams!$A$5:$BA$5,0))</f>
        <v>3019.4917101814099</v>
      </c>
      <c r="U46" s="6">
        <f>INDEX(DriversGams!$A$5:$BA$26,MATCH(Drivers!$A46,DriversGams!$A$5:$A$26,0),MATCH(Drivers!U$3,DriversGams!$A$5:$BA$5,0))</f>
        <v>3098.6578143357187</v>
      </c>
      <c r="V46" s="6">
        <f>INDEX(DriversGams!$A$5:$BA$26,MATCH(Drivers!$A46,DriversGams!$A$5:$A$26,0),MATCH(Drivers!V$3,DriversGams!$A$5:$BA$5,0))</f>
        <v>3189.6914736349381</v>
      </c>
      <c r="W46" s="6">
        <f>INDEX(DriversGams!$A$5:$BA$26,MATCH(Drivers!$A46,DriversGams!$A$5:$A$26,0),MATCH(Drivers!W$3,DriversGams!$A$5:$BA$5,0))</f>
        <v>3285.6295440723929</v>
      </c>
      <c r="X46" s="6">
        <f>INDEX(DriversGams!$A$5:$BA$26,MATCH(Drivers!$A46,DriversGams!$A$5:$A$26,0),MATCH(Drivers!X$3,DriversGams!$A$5:$BA$5,0))</f>
        <v>3387.4108076665748</v>
      </c>
      <c r="Y46" s="6">
        <f>INDEX(DriversGams!$A$5:$BA$26,MATCH(Drivers!$A46,DriversGams!$A$5:$A$26,0),MATCH(Drivers!Y$3,DriversGams!$A$5:$BA$5,0))</f>
        <v>3503.822316485358</v>
      </c>
      <c r="Z46" s="6">
        <f>INDEX(DriversGams!$A$5:$BA$26,MATCH(Drivers!$A46,DriversGams!$A$5:$A$26,0),MATCH(Drivers!Z$3,DriversGams!$A$5:$BA$5,0))</f>
        <v>3627.1733086751424</v>
      </c>
      <c r="AA46" s="6">
        <f>INDEX(DriversGams!$A$5:$BA$26,MATCH(Drivers!$A46,DriversGams!$A$5:$A$26,0),MATCH(Drivers!AA$3,DriversGams!$A$5:$BA$5,0))</f>
        <v>3757.9091917406686</v>
      </c>
      <c r="AB46" s="6">
        <f>INDEX(DriversGams!$A$5:$BA$26,MATCH(Drivers!$A46,DriversGams!$A$5:$A$26,0),MATCH(Drivers!AB$3,DriversGams!$A$5:$BA$5,0))</f>
        <v>3896.9782058681149</v>
      </c>
      <c r="AC46" s="6">
        <f>INDEX(DriversGams!$A$5:$BA$26,MATCH(Drivers!$A46,DriversGams!$A$5:$A$26,0),MATCH(Drivers!AC$3,DriversGams!$A$5:$BA$5,0))</f>
        <v>4042.5535023498846</v>
      </c>
      <c r="AD46" s="6">
        <f>INDEX(DriversGams!$A$5:$BA$26,MATCH(Drivers!$A46,DriversGams!$A$5:$A$26,0),MATCH(Drivers!AD$3,DriversGams!$A$5:$BA$5,0))</f>
        <v>4190.3715224582984</v>
      </c>
      <c r="AE46" s="6">
        <f>INDEX(DriversGams!$A$5:$BA$26,MATCH(Drivers!$A46,DriversGams!$A$5:$A$26,0),MATCH(Drivers!AE$3,DriversGams!$A$5:$BA$5,0))</f>
        <v>4338.746729551779</v>
      </c>
      <c r="AF46" s="6">
        <f>INDEX(DriversGams!$A$5:$BA$26,MATCH(Drivers!$A46,DriversGams!$A$5:$A$26,0),MATCH(Drivers!AF$3,DriversGams!$A$5:$BA$5,0))</f>
        <v>5147.0885387860135</v>
      </c>
      <c r="AG46" s="6">
        <f>INDEX(DriversGams!$A$5:$BA$26,MATCH(Drivers!$A46,DriversGams!$A$5:$A$26,0),MATCH(Drivers!AG$3,DriversGams!$A$5:$BA$5,0))</f>
        <v>6121.2224083428055</v>
      </c>
      <c r="AH46" s="6">
        <f>INDEX(DriversGams!$A$5:$BA$26,MATCH(Drivers!$A46,DriversGams!$A$5:$A$26,0),MATCH(Drivers!AH$3,DriversGams!$A$5:$BA$5,0))</f>
        <v>7135.8357778147301</v>
      </c>
      <c r="AI46" s="6">
        <f t="shared" ref="AI46:AI65" si="120">AO46/AN46*AH46</f>
        <v>7961.5517724759829</v>
      </c>
      <c r="AJ46" s="6">
        <f t="shared" ref="AJ46:AJ65" si="121">AP46/AO46*AI46</f>
        <v>8498.2229022061783</v>
      </c>
      <c r="AK46" s="6">
        <f t="shared" ref="AK46:AK65" si="122">AQ46/AP46*AJ46</f>
        <v>8674.8973715470001</v>
      </c>
      <c r="AL46" s="107"/>
      <c r="AM46" s="107"/>
      <c r="AN46" s="6">
        <v>7135.8357778147301</v>
      </c>
      <c r="AO46" s="6">
        <v>7961.5517724759829</v>
      </c>
      <c r="AP46" s="6">
        <v>8498.2229022061783</v>
      </c>
      <c r="AQ46" s="6">
        <v>8674.8973715470001</v>
      </c>
    </row>
    <row r="47" spans="1:43">
      <c r="A47" s="115" t="s">
        <v>508</v>
      </c>
      <c r="B47">
        <f t="shared" ref="B47:B75" si="123">B46+1</f>
        <v>3</v>
      </c>
      <c r="C47" s="265">
        <v>72.107894835057621</v>
      </c>
      <c r="D47" s="265">
        <v>74.266300997437128</v>
      </c>
      <c r="E47" s="265">
        <v>75.801027741220466</v>
      </c>
      <c r="F47" s="265">
        <v>76.644854367250801</v>
      </c>
      <c r="G47" s="265">
        <v>77.466834349241523</v>
      </c>
      <c r="H47" s="265">
        <v>78.131791577197461</v>
      </c>
      <c r="I47" s="265">
        <v>79.016580660802092</v>
      </c>
      <c r="J47" s="6">
        <f>INDEX(DriversGams!$A$5:$BA$26,MATCH(Drivers!$A47,DriversGams!$A$5:$A$26,0),MATCH(Drivers!J$3,DriversGams!$A$5:$BA$5,0))</f>
        <v>78.849999999999994</v>
      </c>
      <c r="K47" s="6">
        <f>INDEX(DriversGams!$A$5:$BA$26,MATCH(Drivers!$A47,DriversGams!$A$5:$A$26,0),MATCH(Drivers!K$3,DriversGams!$A$5:$BA$5,0))</f>
        <v>77.7</v>
      </c>
      <c r="L47" s="6">
        <f>INDEX(DriversGams!$A$5:$BA$26,MATCH(Drivers!$A47,DriversGams!$A$5:$A$26,0),MATCH(Drivers!L$3,DriversGams!$A$5:$BA$5,0))</f>
        <v>76.135205707164062</v>
      </c>
      <c r="M47" s="6">
        <f>INDEX(DriversGams!$A$5:$BA$26,MATCH(Drivers!$A47,DriversGams!$A$5:$A$26,0),MATCH(Drivers!M$3,DriversGams!$A$5:$BA$5,0))</f>
        <v>77.742235294203837</v>
      </c>
      <c r="N47" s="6">
        <f>INDEX(DriversGams!$A$5:$BA$26,MATCH(Drivers!$A47,DriversGams!$A$5:$A$26,0),MATCH(Drivers!N$3,DriversGams!$A$5:$BA$5,0))</f>
        <v>77.878117507877974</v>
      </c>
      <c r="O47" s="6">
        <f>INDEX(DriversGams!$A$5:$BA$26,MATCH(Drivers!$A47,DriversGams!$A$5:$A$26,0),MATCH(Drivers!O$3,DriversGams!$A$5:$BA$5,0))</f>
        <v>78.673049806759352</v>
      </c>
      <c r="P47" s="6">
        <f>INDEX(DriversGams!$A$5:$BA$26,MATCH(Drivers!$A47,DriversGams!$A$5:$A$26,0),MATCH(Drivers!P$3,DriversGams!$A$5:$BA$5,0))</f>
        <v>79.521149223415577</v>
      </c>
      <c r="Q47" s="6">
        <f>INDEX(DriversGams!$A$5:$BA$26,MATCH(Drivers!$A47,DriversGams!$A$5:$A$26,0),MATCH(Drivers!Q$3,DriversGams!$A$5:$BA$5,0))</f>
        <v>80.774652394623189</v>
      </c>
      <c r="R47" s="6">
        <f>INDEX(DriversGams!$A$5:$BA$26,MATCH(Drivers!$A47,DriversGams!$A$5:$A$26,0),MATCH(Drivers!R$3,DriversGams!$A$5:$BA$5,0))</f>
        <v>82.191765517127862</v>
      </c>
      <c r="S47" s="6">
        <f>INDEX(DriversGams!$A$5:$BA$26,MATCH(Drivers!$A47,DriversGams!$A$5:$A$26,0),MATCH(Drivers!S$3,DriversGams!$A$5:$BA$5,0))</f>
        <v>83.743576134007142</v>
      </c>
      <c r="T47" s="6">
        <f>INDEX(DriversGams!$A$5:$BA$26,MATCH(Drivers!$A47,DriversGams!$A$5:$A$26,0),MATCH(Drivers!T$3,DriversGams!$A$5:$BA$5,0))</f>
        <v>85.698947012055399</v>
      </c>
      <c r="U47" s="6">
        <f>INDEX(DriversGams!$A$5:$BA$26,MATCH(Drivers!$A47,DriversGams!$A$5:$A$26,0),MATCH(Drivers!U$3,DriversGams!$A$5:$BA$5,0))</f>
        <v>88.078439163688742</v>
      </c>
      <c r="V47" s="6">
        <f>INDEX(DriversGams!$A$5:$BA$26,MATCH(Drivers!$A47,DriversGams!$A$5:$A$26,0),MATCH(Drivers!V$3,DriversGams!$A$5:$BA$5,0))</f>
        <v>90.895610853007369</v>
      </c>
      <c r="W47" s="6">
        <f>INDEX(DriversGams!$A$5:$BA$26,MATCH(Drivers!$A47,DriversGams!$A$5:$A$26,0),MATCH(Drivers!W$3,DriversGams!$A$5:$BA$5,0))</f>
        <v>93.83924856851894</v>
      </c>
      <c r="X47" s="6">
        <f>INDEX(DriversGams!$A$5:$BA$26,MATCH(Drivers!$A47,DriversGams!$A$5:$A$26,0),MATCH(Drivers!X$3,DriversGams!$A$5:$BA$5,0))</f>
        <v>97.041782283230617</v>
      </c>
      <c r="Y47" s="6">
        <f>INDEX(DriversGams!$A$5:$BA$26,MATCH(Drivers!$A47,DriversGams!$A$5:$A$26,0),MATCH(Drivers!Y$3,DriversGams!$A$5:$BA$5,0))</f>
        <v>100.63131738787627</v>
      </c>
      <c r="Z47" s="6">
        <f>INDEX(DriversGams!$A$5:$BA$26,MATCH(Drivers!$A47,DriversGams!$A$5:$A$26,0),MATCH(Drivers!Z$3,DriversGams!$A$5:$BA$5,0))</f>
        <v>104.53021461524696</v>
      </c>
      <c r="AA47" s="6">
        <f>INDEX(DriversGams!$A$5:$BA$26,MATCH(Drivers!$A47,DriversGams!$A$5:$A$26,0),MATCH(Drivers!AA$3,DriversGams!$A$5:$BA$5,0))</f>
        <v>108.65405249955951</v>
      </c>
      <c r="AB47" s="6">
        <f>INDEX(DriversGams!$A$5:$BA$26,MATCH(Drivers!$A47,DriversGams!$A$5:$A$26,0),MATCH(Drivers!AB$3,DriversGams!$A$5:$BA$5,0))</f>
        <v>112.97775869175781</v>
      </c>
      <c r="AC47" s="6">
        <f>INDEX(DriversGams!$A$5:$BA$26,MATCH(Drivers!$A47,DriversGams!$A$5:$A$26,0),MATCH(Drivers!AC$3,DriversGams!$A$5:$BA$5,0))</f>
        <v>117.5592448917391</v>
      </c>
      <c r="AD47" s="6">
        <f>INDEX(DriversGams!$A$5:$BA$26,MATCH(Drivers!$A47,DriversGams!$A$5:$A$26,0),MATCH(Drivers!AD$3,DriversGams!$A$5:$BA$5,0))</f>
        <v>122.2093857914188</v>
      </c>
      <c r="AE47" s="6">
        <f>INDEX(DriversGams!$A$5:$BA$26,MATCH(Drivers!$A47,DriversGams!$A$5:$A$26,0),MATCH(Drivers!AE$3,DriversGams!$A$5:$BA$5,0))</f>
        <v>126.87883757879246</v>
      </c>
      <c r="AF47" s="6">
        <f>INDEX(DriversGams!$A$5:$BA$26,MATCH(Drivers!$A47,DriversGams!$A$5:$A$26,0),MATCH(Drivers!AF$3,DriversGams!$A$5:$BA$5,0))</f>
        <v>151.95081165067995</v>
      </c>
      <c r="AG47" s="6">
        <f>INDEX(DriversGams!$A$5:$BA$26,MATCH(Drivers!$A47,DriversGams!$A$5:$A$26,0),MATCH(Drivers!AG$3,DriversGams!$A$5:$BA$5,0))</f>
        <v>182.09353675989118</v>
      </c>
      <c r="AH47" s="6">
        <f>INDEX(DriversGams!$A$5:$BA$26,MATCH(Drivers!$A47,DriversGams!$A$5:$A$26,0),MATCH(Drivers!AH$3,DriversGams!$A$5:$BA$5,0))</f>
        <v>213.46298674732751</v>
      </c>
      <c r="AI47" s="6">
        <f t="shared" si="120"/>
        <v>239.03171955828549</v>
      </c>
      <c r="AJ47" s="6">
        <f t="shared" si="121"/>
        <v>255.73506376809104</v>
      </c>
      <c r="AK47" s="6">
        <f t="shared" si="122"/>
        <v>261.40203004829675</v>
      </c>
      <c r="AL47" s="107"/>
      <c r="AM47" s="107"/>
      <c r="AN47" s="6">
        <v>213.46298674732751</v>
      </c>
      <c r="AO47" s="6">
        <v>239.03171955828549</v>
      </c>
      <c r="AP47" s="6">
        <v>255.73506376809107</v>
      </c>
      <c r="AQ47" s="6">
        <v>261.40203004829675</v>
      </c>
    </row>
    <row r="48" spans="1:43">
      <c r="A48" s="115" t="s">
        <v>692</v>
      </c>
      <c r="B48">
        <f t="shared" si="123"/>
        <v>4</v>
      </c>
      <c r="C48" s="265">
        <v>2.4554419284149018</v>
      </c>
      <c r="D48" s="265">
        <v>2.4807404210106916</v>
      </c>
      <c r="E48" s="265">
        <v>2.5000863271133542</v>
      </c>
      <c r="F48" s="265">
        <v>2.4936376917457999</v>
      </c>
      <c r="G48" s="265">
        <v>2.4903306992496184</v>
      </c>
      <c r="H48" s="265">
        <v>2.5025665714854908</v>
      </c>
      <c r="I48" s="265">
        <v>2.5113301016003717</v>
      </c>
      <c r="J48" s="6">
        <f>INDEX(DriversGams!$A$5:$BA$26,MATCH(Drivers!$A48,DriversGams!$A$5:$A$26,0),MATCH(Drivers!J$3,DriversGams!$A$5:$BA$5,0))</f>
        <v>2.4900000000000002</v>
      </c>
      <c r="K48" s="6">
        <f>INDEX(DriversGams!$A$5:$BA$26,MATCH(Drivers!$A48,DriversGams!$A$5:$A$26,0),MATCH(Drivers!K$3,DriversGams!$A$5:$BA$5,0))</f>
        <v>2.36</v>
      </c>
      <c r="L48" s="6">
        <f>INDEX(DriversGams!$A$5:$BA$26,MATCH(Drivers!$A48,DriversGams!$A$5:$A$26,0),MATCH(Drivers!L$3,DriversGams!$A$5:$BA$5,0))</f>
        <v>2.4042696539104442</v>
      </c>
      <c r="M48" s="6">
        <f>INDEX(DriversGams!$A$5:$BA$26,MATCH(Drivers!$A48,DriversGams!$A$5:$A$26,0),MATCH(Drivers!M$3,DriversGams!$A$5:$BA$5,0))</f>
        <v>2.4550179566590691</v>
      </c>
      <c r="N48" s="6">
        <f>INDEX(DriversGams!$A$5:$BA$26,MATCH(Drivers!$A48,DriversGams!$A$5:$A$26,0),MATCH(Drivers!N$3,DriversGams!$A$5:$BA$5,0))</f>
        <v>2.459308973932989</v>
      </c>
      <c r="O48" s="6">
        <f>INDEX(DriversGams!$A$5:$BA$26,MATCH(Drivers!$A48,DriversGams!$A$5:$A$26,0),MATCH(Drivers!O$3,DriversGams!$A$5:$BA$5,0))</f>
        <v>2.4844120991608221</v>
      </c>
      <c r="P48" s="6">
        <f>INDEX(DriversGams!$A$5:$BA$26,MATCH(Drivers!$A48,DriversGams!$A$5:$A$26,0),MATCH(Drivers!P$3,DriversGams!$A$5:$BA$5,0))</f>
        <v>2.5111941860025979</v>
      </c>
      <c r="Q48" s="6">
        <f>INDEX(DriversGams!$A$5:$BA$26,MATCH(Drivers!$A48,DriversGams!$A$5:$A$26,0),MATCH(Drivers!Q$3,DriversGams!$A$5:$BA$5,0))</f>
        <v>2.5507784966723115</v>
      </c>
      <c r="R48" s="6">
        <f>INDEX(DriversGams!$A$5:$BA$26,MATCH(Drivers!$A48,DriversGams!$A$5:$A$26,0),MATCH(Drivers!R$3,DriversGams!$A$5:$BA$5,0))</f>
        <v>2.5955294373829858</v>
      </c>
      <c r="S48" s="6">
        <f>INDEX(DriversGams!$A$5:$BA$26,MATCH(Drivers!$A48,DriversGams!$A$5:$A$26,0),MATCH(Drivers!S$3,DriversGams!$A$5:$BA$5,0))</f>
        <v>2.6445339831791732</v>
      </c>
      <c r="T48" s="6">
        <f>INDEX(DriversGams!$A$5:$BA$26,MATCH(Drivers!$A48,DriversGams!$A$5:$A$26,0),MATCH(Drivers!T$3,DriversGams!$A$5:$BA$5,0))</f>
        <v>2.7062825372228025</v>
      </c>
      <c r="U48" s="6">
        <f>INDEX(DriversGams!$A$5:$BA$26,MATCH(Drivers!$A48,DriversGams!$A$5:$A$26,0),MATCH(Drivers!U$3,DriversGams!$A$5:$BA$5,0))</f>
        <v>2.7814243946428032</v>
      </c>
      <c r="V48" s="6">
        <f>INDEX(DriversGams!$A$5:$BA$26,MATCH(Drivers!$A48,DriversGams!$A$5:$A$26,0),MATCH(Drivers!V$3,DriversGams!$A$5:$BA$5,0))</f>
        <v>2.8703877111476017</v>
      </c>
      <c r="W48" s="6">
        <f>INDEX(DriversGams!$A$5:$BA$26,MATCH(Drivers!$A48,DriversGams!$A$5:$A$26,0),MATCH(Drivers!W$3,DriversGams!$A$5:$BA$5,0))</f>
        <v>2.9633446916374409</v>
      </c>
      <c r="X48" s="6">
        <f>INDEX(DriversGams!$A$5:$BA$26,MATCH(Drivers!$A48,DriversGams!$A$5:$A$26,0),MATCH(Drivers!X$3,DriversGams!$A$5:$BA$5,0))</f>
        <v>3.0644773352599146</v>
      </c>
      <c r="Y48" s="6">
        <f>INDEX(DriversGams!$A$5:$BA$26,MATCH(Drivers!$A48,DriversGams!$A$5:$A$26,0),MATCH(Drivers!Y$3,DriversGams!$A$5:$BA$5,0))</f>
        <v>3.1778310754066195</v>
      </c>
      <c r="Z48" s="6">
        <f>INDEX(DriversGams!$A$5:$BA$26,MATCH(Drivers!$A48,DriversGams!$A$5:$A$26,0),MATCH(Drivers!Z$3,DriversGams!$A$5:$BA$5,0))</f>
        <v>3.3009541457446416</v>
      </c>
      <c r="AA48" s="6">
        <f>INDEX(DriversGams!$A$5:$BA$26,MATCH(Drivers!$A48,DriversGams!$A$5:$A$26,0),MATCH(Drivers!AA$3,DriversGams!$A$5:$BA$5,0))</f>
        <v>3.431180605249248</v>
      </c>
      <c r="AB48" s="6">
        <f>INDEX(DriversGams!$A$5:$BA$26,MATCH(Drivers!$A48,DriversGams!$A$5:$A$26,0),MATCH(Drivers!AB$3,DriversGams!$A$5:$BA$5,0))</f>
        <v>3.5677186955291949</v>
      </c>
      <c r="AC48" s="6">
        <f>INDEX(DriversGams!$A$5:$BA$26,MATCH(Drivers!$A48,DriversGams!$A$5:$A$26,0),MATCH(Drivers!AC$3,DriversGams!$A$5:$BA$5,0))</f>
        <v>3.7123972071075513</v>
      </c>
      <c r="AD48" s="6">
        <f>INDEX(DriversGams!$A$5:$BA$26,MATCH(Drivers!$A48,DriversGams!$A$5:$A$26,0),MATCH(Drivers!AD$3,DriversGams!$A$5:$BA$5,0))</f>
        <v>3.8592437618342785</v>
      </c>
      <c r="AE48" s="6">
        <f>INDEX(DriversGams!$A$5:$BA$26,MATCH(Drivers!$A48,DriversGams!$A$5:$A$26,0),MATCH(Drivers!AE$3,DriversGams!$A$5:$BA$5,0))</f>
        <v>4.0067001340671311</v>
      </c>
      <c r="AF48" s="6">
        <f>INDEX(DriversGams!$A$5:$BA$26,MATCH(Drivers!$A48,DriversGams!$A$5:$A$26,0),MATCH(Drivers!AF$3,DriversGams!$A$5:$BA$5,0))</f>
        <v>4.7984466837056834</v>
      </c>
      <c r="AG48" s="6">
        <f>INDEX(DriversGams!$A$5:$BA$26,MATCH(Drivers!$A48,DriversGams!$A$5:$A$26,0),MATCH(Drivers!AG$3,DriversGams!$A$5:$BA$5,0))</f>
        <v>5.7503222134702492</v>
      </c>
      <c r="AH48" s="6">
        <f>INDEX(DriversGams!$A$5:$BA$26,MATCH(Drivers!$A48,DriversGams!$A$5:$A$26,0),MATCH(Drivers!AH$3,DriversGams!$A$5:$BA$5,0))</f>
        <v>6.740936423599817</v>
      </c>
      <c r="AI48" s="6">
        <f t="shared" si="120"/>
        <v>7.5483700913142799</v>
      </c>
      <c r="AJ48" s="6">
        <f t="shared" si="121"/>
        <v>8.0758441189923502</v>
      </c>
      <c r="AK48" s="6">
        <f t="shared" si="122"/>
        <v>8.2548009488935836</v>
      </c>
      <c r="AL48" s="107"/>
      <c r="AM48" s="107"/>
      <c r="AN48" s="6">
        <v>6.740936423599817</v>
      </c>
      <c r="AO48" s="6">
        <v>7.5483700913142799</v>
      </c>
      <c r="AP48" s="6">
        <v>8.0758441189923502</v>
      </c>
      <c r="AQ48" s="6">
        <v>8.2548009488935836</v>
      </c>
    </row>
    <row r="49" spans="1:43">
      <c r="A49" s="115" t="s">
        <v>505</v>
      </c>
      <c r="B49">
        <f t="shared" si="123"/>
        <v>5</v>
      </c>
      <c r="C49" s="265">
        <v>138.08343097582718</v>
      </c>
      <c r="D49" s="265">
        <v>143.16360238477418</v>
      </c>
      <c r="E49" s="265">
        <v>146.98438355117329</v>
      </c>
      <c r="F49" s="265">
        <v>148.78204922418408</v>
      </c>
      <c r="G49" s="265">
        <v>151.86270236184362</v>
      </c>
      <c r="H49" s="265">
        <v>153.55950890468549</v>
      </c>
      <c r="I49" s="265">
        <v>155.74281242834212</v>
      </c>
      <c r="J49" s="6">
        <f>INDEX(DriversGams!$A$5:$BA$26,MATCH(Drivers!$A49,DriversGams!$A$5:$A$26,0),MATCH(Drivers!J$3,DriversGams!$A$5:$BA$5,0))</f>
        <v>155.24</v>
      </c>
      <c r="K49" s="6">
        <f>INDEX(DriversGams!$A$5:$BA$26,MATCH(Drivers!$A49,DriversGams!$A$5:$A$26,0),MATCH(Drivers!K$3,DriversGams!$A$5:$BA$5,0))</f>
        <v>152.88999999999999</v>
      </c>
      <c r="L49" s="6">
        <f>INDEX(DriversGams!$A$5:$BA$26,MATCH(Drivers!$A49,DriversGams!$A$5:$A$26,0),MATCH(Drivers!L$3,DriversGams!$A$5:$BA$5,0))</f>
        <v>149.89510886468165</v>
      </c>
      <c r="M49" s="6">
        <f>INDEX(DriversGams!$A$5:$BA$26,MATCH(Drivers!$A49,DriversGams!$A$5:$A$26,0),MATCH(Drivers!M$3,DriversGams!$A$5:$BA$5,0))</f>
        <v>153.05903116134692</v>
      </c>
      <c r="N49" s="6">
        <f>INDEX(DriversGams!$A$5:$BA$26,MATCH(Drivers!$A49,DriversGams!$A$5:$A$26,0),MATCH(Drivers!N$3,DriversGams!$A$5:$BA$5,0))</f>
        <v>153.32655627042456</v>
      </c>
      <c r="O49" s="6">
        <f>INDEX(DriversGams!$A$5:$BA$26,MATCH(Drivers!$A49,DriversGams!$A$5:$A$26,0),MATCH(Drivers!O$3,DriversGams!$A$5:$BA$5,0))</f>
        <v>154.89162019025139</v>
      </c>
      <c r="P49" s="6">
        <f>INDEX(DriversGams!$A$5:$BA$26,MATCH(Drivers!$A49,DriversGams!$A$5:$A$26,0),MATCH(Drivers!P$3,DriversGams!$A$5:$BA$5,0))</f>
        <v>156.56135961246716</v>
      </c>
      <c r="Q49" s="6">
        <f>INDEX(DriversGams!$A$5:$BA$26,MATCH(Drivers!$A49,DriversGams!$A$5:$A$26,0),MATCH(Drivers!Q$3,DriversGams!$A$5:$BA$5,0))</f>
        <v>159.0292585636183</v>
      </c>
      <c r="R49" s="6">
        <f>INDEX(DriversGams!$A$5:$BA$26,MATCH(Drivers!$A49,DriversGams!$A$5:$A$26,0),MATCH(Drivers!R$3,DriversGams!$A$5:$BA$5,0))</f>
        <v>161.81927303587736</v>
      </c>
      <c r="S49" s="6">
        <f>INDEX(DriversGams!$A$5:$BA$26,MATCH(Drivers!$A49,DriversGams!$A$5:$A$26,0),MATCH(Drivers!S$3,DriversGams!$A$5:$BA$5,0))</f>
        <v>164.87448014005415</v>
      </c>
      <c r="T49" s="6">
        <f>INDEX(DriversGams!$A$5:$BA$26,MATCH(Drivers!$A49,DriversGams!$A$5:$A$26,0),MATCH(Drivers!T$3,DriversGams!$A$5:$BA$5,0))</f>
        <v>168.72421730058949</v>
      </c>
      <c r="U49" s="6">
        <f>INDEX(DriversGams!$A$5:$BA$26,MATCH(Drivers!$A49,DriversGams!$A$5:$A$26,0),MATCH(Drivers!U$3,DriversGams!$A$5:$BA$5,0))</f>
        <v>173.40896507001955</v>
      </c>
      <c r="V49" s="6">
        <f>INDEX(DriversGams!$A$5:$BA$26,MATCH(Drivers!$A49,DriversGams!$A$5:$A$26,0),MATCH(Drivers!V$3,DriversGams!$A$5:$BA$5,0))</f>
        <v>178.95541697933879</v>
      </c>
      <c r="W49" s="6">
        <f>INDEX(DriversGams!$A$5:$BA$26,MATCH(Drivers!$A49,DriversGams!$A$5:$A$26,0),MATCH(Drivers!W$3,DriversGams!$A$5:$BA$5,0))</f>
        <v>184.75085539349249</v>
      </c>
      <c r="X49" s="6">
        <f>INDEX(DriversGams!$A$5:$BA$26,MATCH(Drivers!$A49,DriversGams!$A$5:$A$26,0),MATCH(Drivers!X$3,DriversGams!$A$5:$BA$5,0))</f>
        <v>191.05600864487914</v>
      </c>
      <c r="Y49" s="6">
        <f>INDEX(DriversGams!$A$5:$BA$26,MATCH(Drivers!$A49,DriversGams!$A$5:$A$26,0),MATCH(Drivers!Y$3,DriversGams!$A$5:$BA$5,0))</f>
        <v>198.12309082173635</v>
      </c>
      <c r="Z49" s="6">
        <f>INDEX(DriversGams!$A$5:$BA$26,MATCH(Drivers!$A49,DriversGams!$A$5:$A$26,0),MATCH(Drivers!Z$3,DriversGams!$A$5:$BA$5,0))</f>
        <v>205.79924561662574</v>
      </c>
      <c r="AA49" s="6">
        <f>INDEX(DriversGams!$A$5:$BA$26,MATCH(Drivers!$A49,DriversGams!$A$5:$A$26,0),MATCH(Drivers!AA$3,DriversGams!$A$5:$BA$5,0))</f>
        <v>213.91826391923422</v>
      </c>
      <c r="AB49" s="6">
        <f>INDEX(DriversGams!$A$5:$BA$26,MATCH(Drivers!$A49,DriversGams!$A$5:$A$26,0),MATCH(Drivers!AB$3,DriversGams!$A$5:$BA$5,0))</f>
        <v>222.43078325058318</v>
      </c>
      <c r="AC49" s="6">
        <f>INDEX(DriversGams!$A$5:$BA$26,MATCH(Drivers!$A49,DriversGams!$A$5:$A$26,0),MATCH(Drivers!AC$3,DriversGams!$A$5:$BA$5,0))</f>
        <v>231.45082025356473</v>
      </c>
      <c r="AD49" s="6">
        <f>INDEX(DriversGams!$A$5:$BA$26,MATCH(Drivers!$A49,DriversGams!$A$5:$A$26,0),MATCH(Drivers!AD$3,DriversGams!$A$5:$BA$5,0))</f>
        <v>240.60602473379652</v>
      </c>
      <c r="AE49" s="6">
        <f>INDEX(DriversGams!$A$5:$BA$26,MATCH(Drivers!$A49,DriversGams!$A$5:$A$26,0),MATCH(Drivers!AE$3,DriversGams!$A$5:$BA$5,0))</f>
        <v>249.79924851910897</v>
      </c>
      <c r="AF49" s="6">
        <f>INDEX(DriversGams!$A$5:$BA$26,MATCH(Drivers!$A49,DriversGams!$A$5:$A$26,0),MATCH(Drivers!AF$3,DriversGams!$A$5:$BA$5,0))</f>
        <v>299.16098922830128</v>
      </c>
      <c r="AG49" s="6">
        <f>INDEX(DriversGams!$A$5:$BA$26,MATCH(Drivers!$A49,DriversGams!$A$5:$A$26,0),MATCH(Drivers!AG$3,DriversGams!$A$5:$BA$5,0))</f>
        <v>358.50603229683588</v>
      </c>
      <c r="AH49" s="6">
        <f>INDEX(DriversGams!$A$5:$BA$26,MATCH(Drivers!$A49,DriversGams!$A$5:$A$26,0),MATCH(Drivers!AH$3,DriversGams!$A$5:$BA$5,0))</f>
        <v>420.26625317254434</v>
      </c>
      <c r="AI49" s="6">
        <f t="shared" si="120"/>
        <v>470.60601324322431</v>
      </c>
      <c r="AJ49" s="6">
        <f t="shared" si="121"/>
        <v>503.49158274392454</v>
      </c>
      <c r="AK49" s="6">
        <f t="shared" si="122"/>
        <v>514.64871458081905</v>
      </c>
      <c r="AL49" s="107"/>
      <c r="AM49" s="107"/>
      <c r="AN49" s="6">
        <v>420.26625317254434</v>
      </c>
      <c r="AO49" s="6">
        <v>470.60601324322437</v>
      </c>
      <c r="AP49" s="6">
        <v>503.49158274392465</v>
      </c>
      <c r="AQ49" s="6">
        <v>514.64871458081916</v>
      </c>
    </row>
    <row r="50" spans="1:43">
      <c r="A50" s="115" t="s">
        <v>580</v>
      </c>
      <c r="B50">
        <f t="shared" si="123"/>
        <v>6</v>
      </c>
      <c r="C50" s="265">
        <v>0.14875454246747444</v>
      </c>
      <c r="D50" s="265">
        <v>0.12</v>
      </c>
      <c r="E50" s="265">
        <v>0.12</v>
      </c>
      <c r="F50" s="265">
        <v>0.12</v>
      </c>
      <c r="G50" s="265">
        <v>0.12</v>
      </c>
      <c r="H50" s="265">
        <v>0.12</v>
      </c>
      <c r="I50" s="265">
        <v>0.12</v>
      </c>
      <c r="J50" s="6">
        <f>INDEX(DriversGams!$A$5:$BA$26,MATCH(Drivers!$A50,DriversGams!$A$5:$A$26,0),MATCH(Drivers!J$3,DriversGams!$A$5:$BA$5,0))</f>
        <v>0.12</v>
      </c>
      <c r="K50" s="6">
        <f>INDEX(DriversGams!$A$5:$BA$26,MATCH(Drivers!$A50,DriversGams!$A$5:$A$26,0),MATCH(Drivers!K$3,DriversGams!$A$5:$BA$5,0))</f>
        <v>0.12</v>
      </c>
      <c r="L50" s="6">
        <f>INDEX(DriversGams!$A$5:$BA$26,MATCH(Drivers!$A50,DriversGams!$A$5:$A$26,0),MATCH(Drivers!L$3,DriversGams!$A$5:$BA$5,0))</f>
        <v>0.11586841705592502</v>
      </c>
      <c r="M50" s="6">
        <f>INDEX(DriversGams!$A$5:$BA$26,MATCH(Drivers!$A50,DriversGams!$A$5:$A$26,0),MATCH(Drivers!M$3,DriversGams!$A$5:$BA$5,0))</f>
        <v>0.11831411839320813</v>
      </c>
      <c r="N50" s="6">
        <f>INDEX(DriversGams!$A$5:$BA$26,MATCH(Drivers!$A50,DriversGams!$A$5:$A$26,0),MATCH(Drivers!N$3,DriversGams!$A$5:$BA$5,0))</f>
        <v>0.11852091440640911</v>
      </c>
      <c r="O50" s="6">
        <f>INDEX(DriversGams!$A$5:$BA$26,MATCH(Drivers!$A50,DriversGams!$A$5:$A$26,0),MATCH(Drivers!O$3,DriversGams!$A$5:$BA$5,0))</f>
        <v>0.11973070357401551</v>
      </c>
      <c r="P50" s="6">
        <f>INDEX(DriversGams!$A$5:$BA$26,MATCH(Drivers!$A50,DriversGams!$A$5:$A$26,0),MATCH(Drivers!P$3,DriversGams!$A$5:$BA$5,0))</f>
        <v>0.12102140655434204</v>
      </c>
      <c r="Q50" s="6">
        <f>INDEX(DriversGams!$A$5:$BA$26,MATCH(Drivers!$A50,DriversGams!$A$5:$A$26,0),MATCH(Drivers!Q$3,DriversGams!$A$5:$BA$5,0))</f>
        <v>0.12292908417697886</v>
      </c>
      <c r="R50" s="6">
        <f>INDEX(DriversGams!$A$5:$BA$26,MATCH(Drivers!$A50,DriversGams!$A$5:$A$26,0),MATCH(Drivers!R$3,DriversGams!$A$5:$BA$5,0))</f>
        <v>0.12508575601845712</v>
      </c>
      <c r="S50" s="6">
        <f>INDEX(DriversGams!$A$5:$BA$26,MATCH(Drivers!$A50,DriversGams!$A$5:$A$26,0),MATCH(Drivers!S$3,DriversGams!$A$5:$BA$5,0))</f>
        <v>0.12744742087610472</v>
      </c>
      <c r="T50" s="6">
        <f>INDEX(DriversGams!$A$5:$BA$26,MATCH(Drivers!$A50,DriversGams!$A$5:$A$26,0),MATCH(Drivers!T$3,DriversGams!$A$5:$BA$5,0))</f>
        <v>0.13042325480591818</v>
      </c>
      <c r="U50" s="6">
        <f>INDEX(DriversGams!$A$5:$BA$26,MATCH(Drivers!$A50,DriversGams!$A$5:$A$26,0),MATCH(Drivers!U$3,DriversGams!$A$5:$BA$5,0))</f>
        <v>0.13404454913941219</v>
      </c>
      <c r="V50" s="6">
        <f>INDEX(DriversGams!$A$5:$BA$26,MATCH(Drivers!$A50,DriversGams!$A$5:$A$26,0),MATCH(Drivers!V$3,DriversGams!$A$5:$BA$5,0))</f>
        <v>0.1383319378866314</v>
      </c>
      <c r="W50" s="6">
        <f>INDEX(DriversGams!$A$5:$BA$26,MATCH(Drivers!$A50,DriversGams!$A$5:$A$26,0),MATCH(Drivers!W$3,DriversGams!$A$5:$BA$5,0))</f>
        <v>0.14281179236806943</v>
      </c>
      <c r="X50" s="6">
        <f>INDEX(DriversGams!$A$5:$BA$26,MATCH(Drivers!$A50,DriversGams!$A$5:$A$26,0),MATCH(Drivers!X$3,DriversGams!$A$5:$BA$5,0))</f>
        <v>0.14768565471132117</v>
      </c>
      <c r="Y50" s="6">
        <f>INDEX(DriversGams!$A$5:$BA$26,MATCH(Drivers!$A50,DriversGams!$A$5:$A$26,0),MATCH(Drivers!Y$3,DriversGams!$A$5:$BA$5,0))</f>
        <v>0.15314848556176477</v>
      </c>
      <c r="Z50" s="6">
        <f>INDEX(DriversGams!$A$5:$BA$26,MATCH(Drivers!$A50,DriversGams!$A$5:$A$26,0),MATCH(Drivers!Z$3,DriversGams!$A$5:$BA$5,0))</f>
        <v>0.15908212750576584</v>
      </c>
      <c r="AA50" s="6">
        <f>INDEX(DriversGams!$A$5:$BA$26,MATCH(Drivers!$A50,DriversGams!$A$5:$A$26,0),MATCH(Drivers!AA$3,DriversGams!$A$5:$BA$5,0))</f>
        <v>0.16535810145779506</v>
      </c>
      <c r="AB50" s="6">
        <f>INDEX(DriversGams!$A$5:$BA$26,MATCH(Drivers!$A50,DriversGams!$A$5:$A$26,0),MATCH(Drivers!AB$3,DriversGams!$A$5:$BA$5,0))</f>
        <v>0.17193825038694913</v>
      </c>
      <c r="AC50" s="6">
        <f>INDEX(DriversGams!$A$5:$BA$26,MATCH(Drivers!$A50,DriversGams!$A$5:$A$26,0),MATCH(Drivers!AC$3,DriversGams!$A$5:$BA$5,0))</f>
        <v>0.1789107087762675</v>
      </c>
      <c r="AD50" s="6">
        <f>INDEX(DriversGams!$A$5:$BA$26,MATCH(Drivers!$A50,DriversGams!$A$5:$A$26,0),MATCH(Drivers!AD$3,DriversGams!$A$5:$BA$5,0))</f>
        <v>0.18598765117273627</v>
      </c>
      <c r="AE50" s="6">
        <f>INDEX(DriversGams!$A$5:$BA$26,MATCH(Drivers!$A50,DriversGams!$A$5:$A$26,0),MATCH(Drivers!AE$3,DriversGams!$A$5:$BA$5,0))</f>
        <v>0.19309398236468098</v>
      </c>
      <c r="AF50" s="6">
        <f>INDEX(DriversGams!$A$5:$BA$26,MATCH(Drivers!$A50,DriversGams!$A$5:$A$26,0),MATCH(Drivers!AF$3,DriversGams!$A$5:$BA$5,0))</f>
        <v>0.23125044258822566</v>
      </c>
      <c r="AG50" s="6">
        <f>INDEX(DriversGams!$A$5:$BA$26,MATCH(Drivers!$A50,DriversGams!$A$5:$A$26,0),MATCH(Drivers!AG$3,DriversGams!$A$5:$BA$5,0))</f>
        <v>0.27712396209495171</v>
      </c>
      <c r="AH50" s="6">
        <f>INDEX(DriversGams!$A$5:$BA$26,MATCH(Drivers!$A50,DriversGams!$A$5:$A$26,0),MATCH(Drivers!AH$3,DriversGams!$A$5:$BA$5,0))</f>
        <v>0.32486440595661764</v>
      </c>
      <c r="AI50" s="6">
        <f t="shared" si="120"/>
        <v>0.36377687187056768</v>
      </c>
      <c r="AJ50" s="6">
        <f t="shared" si="121"/>
        <v>0.38919730693939042</v>
      </c>
      <c r="AK50" s="6">
        <f t="shared" si="122"/>
        <v>0.39782173247679925</v>
      </c>
      <c r="AL50" s="107"/>
      <c r="AM50" s="107"/>
      <c r="AN50" s="6">
        <v>0.32486440595661764</v>
      </c>
      <c r="AO50" s="6">
        <v>0.36377687187056762</v>
      </c>
      <c r="AP50" s="6">
        <v>0.38919730693939036</v>
      </c>
      <c r="AQ50" s="6">
        <v>0.39782173247679914</v>
      </c>
    </row>
    <row r="51" spans="1:43">
      <c r="A51" s="115" t="s">
        <v>700</v>
      </c>
      <c r="B51">
        <f t="shared" si="123"/>
        <v>7</v>
      </c>
      <c r="C51" s="265">
        <v>0.28999999999999998</v>
      </c>
      <c r="D51" s="265">
        <v>0.28999999999999998</v>
      </c>
      <c r="E51" s="265">
        <v>0.28999999999999998</v>
      </c>
      <c r="F51" s="265">
        <v>0.28999999999999998</v>
      </c>
      <c r="G51" s="265">
        <v>0.28999999999999998</v>
      </c>
      <c r="H51" s="265">
        <v>0.28999999999999998</v>
      </c>
      <c r="I51" s="265">
        <v>0.28999999999999998</v>
      </c>
      <c r="J51" s="6">
        <f>INDEX(DriversGams!$A$5:$BA$26,MATCH(Drivers!$A51,DriversGams!$A$5:$A$26,0),MATCH(Drivers!J$3,DriversGams!$A$5:$BA$5,0))</f>
        <v>0.28999999999999998</v>
      </c>
      <c r="K51" s="6">
        <f>INDEX(DriversGams!$A$5:$BA$26,MATCH(Drivers!$A51,DriversGams!$A$5:$A$26,0),MATCH(Drivers!K$3,DriversGams!$A$5:$BA$5,0))</f>
        <v>0.28999999999999998</v>
      </c>
      <c r="L51" s="6">
        <f>INDEX(DriversGams!$A$5:$BA$26,MATCH(Drivers!$A51,DriversGams!$A$5:$A$26,0),MATCH(Drivers!L$3,DriversGams!$A$5:$BA$5,0))</f>
        <v>0.28001534121848543</v>
      </c>
      <c r="M51" s="6">
        <f>INDEX(DriversGams!$A$5:$BA$26,MATCH(Drivers!$A51,DriversGams!$A$5:$A$26,0),MATCH(Drivers!M$3,DriversGams!$A$5:$BA$5,0))</f>
        <v>0.2859257861169196</v>
      </c>
      <c r="N51" s="6">
        <f>INDEX(DriversGams!$A$5:$BA$26,MATCH(Drivers!$A51,DriversGams!$A$5:$A$26,0),MATCH(Drivers!N$3,DriversGams!$A$5:$BA$5,0))</f>
        <v>0.28642554314882196</v>
      </c>
      <c r="O51" s="6">
        <f>INDEX(DriversGams!$A$5:$BA$26,MATCH(Drivers!$A51,DriversGams!$A$5:$A$26,0),MATCH(Drivers!O$3,DriversGams!$A$5:$BA$5,0))</f>
        <v>0.28934920030387079</v>
      </c>
      <c r="P51" s="6">
        <f>INDEX(DriversGams!$A$5:$BA$26,MATCH(Drivers!$A51,DriversGams!$A$5:$A$26,0),MATCH(Drivers!P$3,DriversGams!$A$5:$BA$5,0))</f>
        <v>0.29246839917299322</v>
      </c>
      <c r="Q51" s="6">
        <f>INDEX(DriversGams!$A$5:$BA$26,MATCH(Drivers!$A51,DriversGams!$A$5:$A$26,0),MATCH(Drivers!Q$3,DriversGams!$A$5:$BA$5,0))</f>
        <v>0.29707862009436553</v>
      </c>
      <c r="R51" s="6">
        <f>INDEX(DriversGams!$A$5:$BA$26,MATCH(Drivers!$A51,DriversGams!$A$5:$A$26,0),MATCH(Drivers!R$3,DriversGams!$A$5:$BA$5,0))</f>
        <v>0.30229057704460466</v>
      </c>
      <c r="S51" s="6">
        <f>INDEX(DriversGams!$A$5:$BA$26,MATCH(Drivers!$A51,DriversGams!$A$5:$A$26,0),MATCH(Drivers!S$3,DriversGams!$A$5:$BA$5,0))</f>
        <v>0.30799793378391971</v>
      </c>
      <c r="T51" s="6">
        <f>INDEX(DriversGams!$A$5:$BA$26,MATCH(Drivers!$A51,DriversGams!$A$5:$A$26,0),MATCH(Drivers!T$3,DriversGams!$A$5:$BA$5,0))</f>
        <v>0.31518953244763559</v>
      </c>
      <c r="U51" s="6">
        <f>INDEX(DriversGams!$A$5:$BA$26,MATCH(Drivers!$A51,DriversGams!$A$5:$A$26,0),MATCH(Drivers!U$3,DriversGams!$A$5:$BA$5,0))</f>
        <v>0.32394099375357938</v>
      </c>
      <c r="V51" s="6">
        <f>INDEX(DriversGams!$A$5:$BA$26,MATCH(Drivers!$A51,DriversGams!$A$5:$A$26,0),MATCH(Drivers!V$3,DriversGams!$A$5:$BA$5,0))</f>
        <v>0.33430218322602584</v>
      </c>
      <c r="W51" s="6">
        <f>INDEX(DriversGams!$A$5:$BA$26,MATCH(Drivers!$A51,DriversGams!$A$5:$A$26,0),MATCH(Drivers!W$3,DriversGams!$A$5:$BA$5,0))</f>
        <v>0.34512849822283442</v>
      </c>
      <c r="X51" s="6">
        <f>INDEX(DriversGams!$A$5:$BA$26,MATCH(Drivers!$A51,DriversGams!$A$5:$A$26,0),MATCH(Drivers!X$3,DriversGams!$A$5:$BA$5,0))</f>
        <v>0.35690699888569277</v>
      </c>
      <c r="Y51" s="6">
        <f>INDEX(DriversGams!$A$5:$BA$26,MATCH(Drivers!$A51,DriversGams!$A$5:$A$26,0),MATCH(Drivers!Y$3,DriversGams!$A$5:$BA$5,0))</f>
        <v>0.37010884010759815</v>
      </c>
      <c r="Z51" s="6">
        <f>INDEX(DriversGams!$A$5:$BA$26,MATCH(Drivers!$A51,DriversGams!$A$5:$A$26,0),MATCH(Drivers!Z$3,DriversGams!$A$5:$BA$5,0))</f>
        <v>0.38444847480560074</v>
      </c>
      <c r="AA51" s="6">
        <f>INDEX(DriversGams!$A$5:$BA$26,MATCH(Drivers!$A51,DriversGams!$A$5:$A$26,0),MATCH(Drivers!AA$3,DriversGams!$A$5:$BA$5,0))</f>
        <v>0.39961541185633803</v>
      </c>
      <c r="AB51" s="6">
        <f>INDEX(DriversGams!$A$5:$BA$26,MATCH(Drivers!$A51,DriversGams!$A$5:$A$26,0),MATCH(Drivers!AB$3,DriversGams!$A$5:$BA$5,0))</f>
        <v>0.41551743843512701</v>
      </c>
      <c r="AC51" s="6">
        <f>INDEX(DriversGams!$A$5:$BA$26,MATCH(Drivers!$A51,DriversGams!$A$5:$A$26,0),MATCH(Drivers!AC$3,DriversGams!$A$5:$BA$5,0))</f>
        <v>0.43236754620931306</v>
      </c>
      <c r="AD51" s="6">
        <f>INDEX(DriversGams!$A$5:$BA$26,MATCH(Drivers!$A51,DriversGams!$A$5:$A$26,0),MATCH(Drivers!AD$3,DriversGams!$A$5:$BA$5,0))</f>
        <v>0.4494701570007793</v>
      </c>
      <c r="AE51" s="6">
        <f>INDEX(DriversGams!$A$5:$BA$26,MATCH(Drivers!$A51,DriversGams!$A$5:$A$26,0),MATCH(Drivers!AE$3,DriversGams!$A$5:$BA$5,0))</f>
        <v>0.46664379071464568</v>
      </c>
      <c r="AF51" s="6">
        <f>INDEX(DriversGams!$A$5:$BA$26,MATCH(Drivers!$A51,DriversGams!$A$5:$A$26,0),MATCH(Drivers!AF$3,DriversGams!$A$5:$BA$5,0))</f>
        <v>0.55885523625487865</v>
      </c>
      <c r="AG51" s="6">
        <f>INDEX(DriversGams!$A$5:$BA$26,MATCH(Drivers!$A51,DriversGams!$A$5:$A$26,0),MATCH(Drivers!AG$3,DriversGams!$A$5:$BA$5,0))</f>
        <v>0.66971624172946653</v>
      </c>
      <c r="AH51" s="6">
        <f>INDEX(DriversGams!$A$5:$BA$26,MATCH(Drivers!$A51,DriversGams!$A$5:$A$26,0),MATCH(Drivers!AH$3,DriversGams!$A$5:$BA$5,0))</f>
        <v>0.7850889810618259</v>
      </c>
      <c r="AI51" s="6">
        <f t="shared" si="120"/>
        <v>0.8791274403538718</v>
      </c>
      <c r="AJ51" s="6">
        <f t="shared" si="121"/>
        <v>0.94056015843686014</v>
      </c>
      <c r="AK51" s="6">
        <f t="shared" si="122"/>
        <v>0.96140252015226479</v>
      </c>
      <c r="AL51" s="107"/>
      <c r="AM51" s="107"/>
      <c r="AN51" s="6">
        <v>0.7850889810618259</v>
      </c>
      <c r="AO51" s="6">
        <v>0.87912744035387169</v>
      </c>
      <c r="AP51" s="6">
        <v>0.94056015843685992</v>
      </c>
      <c r="AQ51" s="6">
        <v>0.96140252015226446</v>
      </c>
    </row>
    <row r="52" spans="1:43">
      <c r="A52" s="115" t="s">
        <v>701</v>
      </c>
      <c r="B52">
        <f t="shared" si="123"/>
        <v>8</v>
      </c>
      <c r="C52" s="265">
        <v>0.08</v>
      </c>
      <c r="D52" s="265">
        <v>0.08</v>
      </c>
      <c r="E52" s="265">
        <v>0.08</v>
      </c>
      <c r="F52" s="265">
        <v>0.08</v>
      </c>
      <c r="G52" s="265">
        <v>0.08</v>
      </c>
      <c r="H52" s="265">
        <v>0.08</v>
      </c>
      <c r="I52" s="265">
        <v>0.08</v>
      </c>
      <c r="J52" s="6">
        <f>INDEX(DriversGams!$A$5:$BA$26,MATCH(Drivers!$A52,DriversGams!$A$5:$A$26,0),MATCH(Drivers!J$3,DriversGams!$A$5:$BA$5,0))</f>
        <v>0.08</v>
      </c>
      <c r="K52" s="6">
        <f>INDEX(DriversGams!$A$5:$BA$26,MATCH(Drivers!$A52,DriversGams!$A$5:$A$26,0),MATCH(Drivers!K$3,DriversGams!$A$5:$BA$5,0))</f>
        <v>0.08</v>
      </c>
      <c r="L52" s="6">
        <f>INDEX(DriversGams!$A$5:$BA$26,MATCH(Drivers!$A52,DriversGams!$A$5:$A$26,0),MATCH(Drivers!L$3,DriversGams!$A$5:$BA$5,0))</f>
        <v>7.7245611370616668E-2</v>
      </c>
      <c r="M52" s="6">
        <f>INDEX(DriversGams!$A$5:$BA$26,MATCH(Drivers!$A52,DriversGams!$A$5:$A$26,0),MATCH(Drivers!M$3,DriversGams!$A$5:$BA$5,0))</f>
        <v>7.8876078928805424E-2</v>
      </c>
      <c r="N52" s="6">
        <f>INDEX(DriversGams!$A$5:$BA$26,MATCH(Drivers!$A52,DriversGams!$A$5:$A$26,0),MATCH(Drivers!N$3,DriversGams!$A$5:$BA$5,0))</f>
        <v>7.9013942937606066E-2</v>
      </c>
      <c r="O52" s="6">
        <f>INDEX(DriversGams!$A$5:$BA$26,MATCH(Drivers!$A52,DriversGams!$A$5:$A$26,0),MATCH(Drivers!O$3,DriversGams!$A$5:$BA$5,0))</f>
        <v>7.9820469049343673E-2</v>
      </c>
      <c r="P52" s="6">
        <f>INDEX(DriversGams!$A$5:$BA$26,MATCH(Drivers!$A52,DriversGams!$A$5:$A$26,0),MATCH(Drivers!P$3,DriversGams!$A$5:$BA$5,0))</f>
        <v>8.0680937702894695E-2</v>
      </c>
      <c r="Q52" s="6">
        <f>INDEX(DriversGams!$A$5:$BA$26,MATCH(Drivers!$A52,DriversGams!$A$5:$A$26,0),MATCH(Drivers!Q$3,DriversGams!$A$5:$BA$5,0))</f>
        <v>8.1952722784652571E-2</v>
      </c>
      <c r="R52" s="6">
        <f>INDEX(DriversGams!$A$5:$BA$26,MATCH(Drivers!$A52,DriversGams!$A$5:$A$26,0),MATCH(Drivers!R$3,DriversGams!$A$5:$BA$5,0))</f>
        <v>8.3390504012304745E-2</v>
      </c>
      <c r="S52" s="6">
        <f>INDEX(DriversGams!$A$5:$BA$26,MATCH(Drivers!$A52,DriversGams!$A$5:$A$26,0),MATCH(Drivers!S$3,DriversGams!$A$5:$BA$5,0))</f>
        <v>8.4964947250736486E-2</v>
      </c>
      <c r="T52" s="6">
        <f>INDEX(DriversGams!$A$5:$BA$26,MATCH(Drivers!$A52,DriversGams!$A$5:$A$26,0),MATCH(Drivers!T$3,DriversGams!$A$5:$BA$5,0))</f>
        <v>8.6948836537278779E-2</v>
      </c>
      <c r="U52" s="6">
        <f>INDEX(DriversGams!$A$5:$BA$26,MATCH(Drivers!$A52,DriversGams!$A$5:$A$26,0),MATCH(Drivers!U$3,DriversGams!$A$5:$BA$5,0))</f>
        <v>8.9363032759608121E-2</v>
      </c>
      <c r="V52" s="6">
        <f>INDEX(DriversGams!$A$5:$BA$26,MATCH(Drivers!$A52,DriversGams!$A$5:$A$26,0),MATCH(Drivers!V$3,DriversGams!$A$5:$BA$5,0))</f>
        <v>9.2221291924420926E-2</v>
      </c>
      <c r="W52" s="6">
        <f>INDEX(DriversGams!$A$5:$BA$26,MATCH(Drivers!$A52,DriversGams!$A$5:$A$26,0),MATCH(Drivers!W$3,DriversGams!$A$5:$BA$5,0))</f>
        <v>9.5207861578712943E-2</v>
      </c>
      <c r="X52" s="6">
        <f>INDEX(DriversGams!$A$5:$BA$26,MATCH(Drivers!$A52,DriversGams!$A$5:$A$26,0),MATCH(Drivers!X$3,DriversGams!$A$5:$BA$5,0))</f>
        <v>9.8457103140880783E-2</v>
      </c>
      <c r="Y52" s="6">
        <f>INDEX(DriversGams!$A$5:$BA$26,MATCH(Drivers!$A52,DriversGams!$A$5:$A$26,0),MATCH(Drivers!Y$3,DriversGams!$A$5:$BA$5,0))</f>
        <v>0.10209899037450984</v>
      </c>
      <c r="Z52" s="6">
        <f>INDEX(DriversGams!$A$5:$BA$26,MATCH(Drivers!$A52,DriversGams!$A$5:$A$26,0),MATCH(Drivers!Z$3,DriversGams!$A$5:$BA$5,0))</f>
        <v>0.10605475167051057</v>
      </c>
      <c r="AA52" s="6">
        <f>INDEX(DriversGams!$A$5:$BA$26,MATCH(Drivers!$A52,DriversGams!$A$5:$A$26,0),MATCH(Drivers!AA$3,DriversGams!$A$5:$BA$5,0))</f>
        <v>0.11023873430519671</v>
      </c>
      <c r="AB52" s="6">
        <f>INDEX(DriversGams!$A$5:$BA$26,MATCH(Drivers!$A52,DriversGams!$A$5:$A$26,0),MATCH(Drivers!AB$3,DriversGams!$A$5:$BA$5,0))</f>
        <v>0.11462550025796608</v>
      </c>
      <c r="AC52" s="6">
        <f>INDEX(DriversGams!$A$5:$BA$26,MATCH(Drivers!$A52,DriversGams!$A$5:$A$26,0),MATCH(Drivers!AC$3,DriversGams!$A$5:$BA$5,0))</f>
        <v>0.119273805850845</v>
      </c>
      <c r="AD52" s="6">
        <f>INDEX(DriversGams!$A$5:$BA$26,MATCH(Drivers!$A52,DriversGams!$A$5:$A$26,0),MATCH(Drivers!AD$3,DriversGams!$A$5:$BA$5,0))</f>
        <v>0.12399176744849086</v>
      </c>
      <c r="AE52" s="6">
        <f>INDEX(DriversGams!$A$5:$BA$26,MATCH(Drivers!$A52,DriversGams!$A$5:$A$26,0),MATCH(Drivers!AE$3,DriversGams!$A$5:$BA$5,0))</f>
        <v>0.12872932157645398</v>
      </c>
      <c r="AF52" s="6">
        <f>INDEX(DriversGams!$A$5:$BA$26,MATCH(Drivers!$A52,DriversGams!$A$5:$A$26,0),MATCH(Drivers!AF$3,DriversGams!$A$5:$BA$5,0))</f>
        <v>0.15416696172548378</v>
      </c>
      <c r="AG52" s="6">
        <f>INDEX(DriversGams!$A$5:$BA$26,MATCH(Drivers!$A52,DriversGams!$A$5:$A$26,0),MATCH(Drivers!AG$3,DriversGams!$A$5:$BA$5,0))</f>
        <v>0.18474930806330114</v>
      </c>
      <c r="AH52" s="6">
        <f>INDEX(DriversGams!$A$5:$BA$26,MATCH(Drivers!$A52,DriversGams!$A$5:$A$26,0),MATCH(Drivers!AH$3,DriversGams!$A$5:$BA$5,0))</f>
        <v>0.21657627063774509</v>
      </c>
      <c r="AI52" s="6">
        <f t="shared" si="120"/>
        <v>0.24251791458037844</v>
      </c>
      <c r="AJ52" s="6">
        <f t="shared" si="121"/>
        <v>0.25946487129292689</v>
      </c>
      <c r="AK52" s="6">
        <f t="shared" si="122"/>
        <v>0.26521448831786609</v>
      </c>
      <c r="AL52" s="107"/>
      <c r="AM52" s="107"/>
      <c r="AN52" s="6">
        <v>0.21657627063774509</v>
      </c>
      <c r="AO52" s="6">
        <v>0.24251791458037844</v>
      </c>
      <c r="AP52" s="6">
        <v>0.25946487129292689</v>
      </c>
      <c r="AQ52" s="6">
        <v>0.26521448831786609</v>
      </c>
    </row>
    <row r="53" spans="1:43">
      <c r="A53" s="115" t="s">
        <v>372</v>
      </c>
      <c r="B53">
        <f>B50+1</f>
        <v>7</v>
      </c>
      <c r="C53" s="265">
        <v>19.344853564503961</v>
      </c>
      <c r="D53" s="265">
        <v>19.93389877641825</v>
      </c>
      <c r="E53" s="265">
        <v>20.313674916573973</v>
      </c>
      <c r="F53" s="265">
        <v>20.822458982202448</v>
      </c>
      <c r="G53" s="265">
        <v>20.887687708565075</v>
      </c>
      <c r="H53" s="265">
        <v>21.03698901557286</v>
      </c>
      <c r="I53" s="265">
        <v>21.050034760845385</v>
      </c>
      <c r="J53" s="6">
        <f>INDEX(DriversGams!$A$5:$BA$26,MATCH(Drivers!$A53,DriversGams!$A$5:$A$26,0),MATCH(Drivers!J$3,DriversGams!$A$5:$BA$5,0))</f>
        <v>20.85</v>
      </c>
      <c r="K53" s="6">
        <f>INDEX(DriversGams!$A$5:$BA$26,MATCH(Drivers!$A53,DriversGams!$A$5:$A$26,0),MATCH(Drivers!K$3,DriversGams!$A$5:$BA$5,0))</f>
        <v>19.82</v>
      </c>
      <c r="L53" s="6">
        <f>INDEX(DriversGams!$A$5:$BA$26,MATCH(Drivers!$A53,DriversGams!$A$5:$A$26,0),MATCH(Drivers!L$3,DriversGams!$A$5:$BA$5,0))</f>
        <v>20.132137463466972</v>
      </c>
      <c r="M53" s="6">
        <f>INDEX(DriversGams!$A$5:$BA$26,MATCH(Drivers!$A53,DriversGams!$A$5:$A$26,0),MATCH(Drivers!M$3,DriversGams!$A$5:$BA$5,0))</f>
        <v>20.557078070819912</v>
      </c>
      <c r="N53" s="6">
        <f>INDEX(DriversGams!$A$5:$BA$26,MATCH(Drivers!$A53,DriversGams!$A$5:$A$26,0),MATCH(Drivers!N$3,DriversGams!$A$5:$BA$5,0))</f>
        <v>20.593008878113583</v>
      </c>
      <c r="O53" s="6">
        <f>INDEX(DriversGams!$A$5:$BA$26,MATCH(Drivers!$A53,DriversGams!$A$5:$A$26,0),MATCH(Drivers!O$3,DriversGams!$A$5:$BA$5,0))</f>
        <v>20.803209745985196</v>
      </c>
      <c r="P53" s="6">
        <f>INDEX(DriversGams!$A$5:$BA$26,MATCH(Drivers!$A53,DriversGams!$A$5:$A$26,0),MATCH(Drivers!P$3,DriversGams!$A$5:$BA$5,0))</f>
        <v>21.027469388816932</v>
      </c>
      <c r="Q53" s="6">
        <f>INDEX(DriversGams!$A$5:$BA$26,MATCH(Drivers!$A53,DriversGams!$A$5:$A$26,0),MATCH(Drivers!Q$3,DriversGams!$A$5:$BA$5,0))</f>
        <v>21.358928375750075</v>
      </c>
      <c r="R53" s="6">
        <f>INDEX(DriversGams!$A$5:$BA$26,MATCH(Drivers!$A53,DriversGams!$A$5:$A$26,0),MATCH(Drivers!R$3,DriversGams!$A$5:$BA$5,0))</f>
        <v>21.733650108206927</v>
      </c>
      <c r="S53" s="6">
        <f>INDEX(DriversGams!$A$5:$BA$26,MATCH(Drivers!$A53,DriversGams!$A$5:$A$26,0),MATCH(Drivers!S$3,DriversGams!$A$5:$BA$5,0))</f>
        <v>22.143989377223196</v>
      </c>
      <c r="T53" s="6">
        <f>INDEX(DriversGams!$A$5:$BA$26,MATCH(Drivers!$A53,DriversGams!$A$5:$A$26,0),MATCH(Drivers!T$3,DriversGams!$A$5:$BA$5,0))</f>
        <v>22.661040522528285</v>
      </c>
      <c r="U53" s="6">
        <f>INDEX(DriversGams!$A$5:$BA$26,MATCH(Drivers!$A53,DriversGams!$A$5:$A$26,0),MATCH(Drivers!U$3,DriversGams!$A$5:$BA$5,0))</f>
        <v>23.290240412972867</v>
      </c>
      <c r="V53" s="6">
        <f>INDEX(DriversGams!$A$5:$BA$26,MATCH(Drivers!$A53,DriversGams!$A$5:$A$26,0),MATCH(Drivers!V$3,DriversGams!$A$5:$BA$5,0))</f>
        <v>24.035174207802203</v>
      </c>
      <c r="W53" s="6">
        <f>INDEX(DriversGams!$A$5:$BA$26,MATCH(Drivers!$A53,DriversGams!$A$5:$A$26,0),MATCH(Drivers!W$3,DriversGams!$A$5:$BA$5,0))</f>
        <v>24.813548923952062</v>
      </c>
      <c r="X53" s="6">
        <f>INDEX(DriversGams!$A$5:$BA$26,MATCH(Drivers!$A53,DriversGams!$A$5:$A$26,0),MATCH(Drivers!X$3,DriversGams!$A$5:$BA$5,0))</f>
        <v>25.660382506092056</v>
      </c>
      <c r="Y53" s="6">
        <f>INDEX(DriversGams!$A$5:$BA$26,MATCH(Drivers!$A53,DriversGams!$A$5:$A$26,0),MATCH(Drivers!Y$3,DriversGams!$A$5:$BA$5,0))</f>
        <v>26.609549366356628</v>
      </c>
      <c r="Z53" s="6">
        <f>INDEX(DriversGams!$A$5:$BA$26,MATCH(Drivers!$A53,DriversGams!$A$5:$A$26,0),MATCH(Drivers!Z$3,DriversGams!$A$5:$BA$5,0))</f>
        <v>27.640519654126816</v>
      </c>
      <c r="AA53" s="6">
        <f>INDEX(DriversGams!$A$5:$BA$26,MATCH(Drivers!$A53,DriversGams!$A$5:$A$26,0),MATCH(Drivers!AA$3,DriversGams!$A$5:$BA$5,0))</f>
        <v>28.730970128291894</v>
      </c>
      <c r="AB53" s="6">
        <f>INDEX(DriversGams!$A$5:$BA$26,MATCH(Drivers!$A53,DriversGams!$A$5:$A$26,0),MATCH(Drivers!AB$3,DriversGams!$A$5:$BA$5,0))</f>
        <v>29.87427100473241</v>
      </c>
      <c r="AC53" s="6">
        <f>INDEX(DriversGams!$A$5:$BA$26,MATCH(Drivers!$A53,DriversGams!$A$5:$A$26,0),MATCH(Drivers!AC$3,DriversGams!$A$5:$BA$5,0))</f>
        <v>31.085735649876479</v>
      </c>
      <c r="AD53" s="6">
        <f>INDEX(DriversGams!$A$5:$BA$26,MATCH(Drivers!$A53,DriversGams!$A$5:$A$26,0),MATCH(Drivers!AD$3,DriversGams!$A$5:$BA$5,0))</f>
        <v>32.315354391262929</v>
      </c>
      <c r="AE53" s="6">
        <f>INDEX(DriversGams!$A$5:$BA$26,MATCH(Drivers!$A53,DriversGams!$A$5:$A$26,0),MATCH(Drivers!AE$3,DriversGams!$A$5:$BA$5,0))</f>
        <v>33.550079435863324</v>
      </c>
      <c r="AF53" s="6">
        <f>INDEX(DriversGams!$A$5:$BA$26,MATCH(Drivers!$A53,DriversGams!$A$5:$A$26,0),MATCH(Drivers!AF$3,DriversGams!$A$5:$BA$5,0))</f>
        <v>40.179764399704212</v>
      </c>
      <c r="AG53" s="6">
        <f>INDEX(DriversGams!$A$5:$BA$26,MATCH(Drivers!$A53,DriversGams!$A$5:$A$26,0),MATCH(Drivers!AG$3,DriversGams!$A$5:$BA$5,0))</f>
        <v>48.150288413997863</v>
      </c>
      <c r="AH53" s="6">
        <f>INDEX(DriversGams!$A$5:$BA$26,MATCH(Drivers!$A53,DriversGams!$A$5:$A$26,0),MATCH(Drivers!AH$3,DriversGams!$A$5:$BA$5,0))</f>
        <v>56.445190534962315</v>
      </c>
      <c r="AI53" s="6">
        <f t="shared" si="120"/>
        <v>63.206231487511133</v>
      </c>
      <c r="AJ53" s="6">
        <f t="shared" si="121"/>
        <v>67.623032080719071</v>
      </c>
      <c r="AK53" s="6">
        <f t="shared" si="122"/>
        <v>69.121526017843848</v>
      </c>
      <c r="AL53" s="107"/>
      <c r="AM53" s="107"/>
      <c r="AN53" s="6">
        <v>56.445190534962315</v>
      </c>
      <c r="AO53" s="6">
        <v>63.206231487511133</v>
      </c>
      <c r="AP53" s="6">
        <v>67.623032080719071</v>
      </c>
      <c r="AQ53" s="6">
        <v>69.121526017843848</v>
      </c>
    </row>
    <row r="54" spans="1:43">
      <c r="A54" s="115" t="s">
        <v>371</v>
      </c>
      <c r="B54">
        <f t="shared" si="123"/>
        <v>8</v>
      </c>
      <c r="C54" s="265">
        <v>186.51301855651582</v>
      </c>
      <c r="D54" s="265">
        <v>191.20040429598868</v>
      </c>
      <c r="E54" s="265">
        <v>192.19084947996168</v>
      </c>
      <c r="F54" s="265">
        <v>198.3568473622208</v>
      </c>
      <c r="G54" s="265">
        <v>195.64424405359443</v>
      </c>
      <c r="H54" s="265">
        <v>201.78663829260577</v>
      </c>
      <c r="I54" s="265">
        <v>200.62824410860065</v>
      </c>
      <c r="J54" s="6">
        <f>INDEX(DriversGams!$A$5:$BA$26,MATCH(Drivers!$A54,DriversGams!$A$5:$A$26,0),MATCH(Drivers!J$3,DriversGams!$A$5:$BA$5,0))</f>
        <v>198.05</v>
      </c>
      <c r="K54" s="6">
        <f>INDEX(DriversGams!$A$5:$BA$26,MATCH(Drivers!$A54,DriversGams!$A$5:$A$26,0),MATCH(Drivers!K$3,DriversGams!$A$5:$BA$5,0))</f>
        <v>190.12</v>
      </c>
      <c r="L54" s="6">
        <f>INDEX(DriversGams!$A$5:$BA$26,MATCH(Drivers!$A54,DriversGams!$A$5:$A$26,0),MATCH(Drivers!L$3,DriversGams!$A$5:$BA$5,0))</f>
        <v>199.06146159587709</v>
      </c>
      <c r="M54" s="6">
        <f>INDEX(DriversGams!$A$5:$BA$26,MATCH(Drivers!$A54,DriversGams!$A$5:$A$26,0),MATCH(Drivers!M$3,DriversGams!$A$5:$BA$5,0))</f>
        <v>202.86434403906432</v>
      </c>
      <c r="N54" s="6">
        <f>INDEX(DriversGams!$A$5:$BA$26,MATCH(Drivers!$A54,DriversGams!$A$5:$A$26,0),MATCH(Drivers!N$3,DriversGams!$A$5:$BA$5,0))</f>
        <v>203.27007272714246</v>
      </c>
      <c r="O54" s="6">
        <f>INDEX(DriversGams!$A$5:$BA$26,MATCH(Drivers!$A54,DriversGams!$A$5:$A$26,0),MATCH(Drivers!O$3,DriversGams!$A$5:$BA$5,0))</f>
        <v>205.30277345441388</v>
      </c>
      <c r="P54" s="6">
        <f>INDEX(DriversGams!$A$5:$BA$26,MATCH(Drivers!$A54,DriversGams!$A$5:$A$26,0),MATCH(Drivers!P$3,DriversGams!$A$5:$BA$5,0))</f>
        <v>207.5611039624124</v>
      </c>
      <c r="Q54" s="6">
        <f>INDEX(DriversGams!$A$5:$BA$26,MATCH(Drivers!$A54,DriversGams!$A$5:$A$26,0),MATCH(Drivers!Q$3,DriversGams!$A$5:$BA$5,0))</f>
        <v>210.46695941788619</v>
      </c>
      <c r="R54" s="6">
        <f>INDEX(DriversGams!$A$5:$BA$26,MATCH(Drivers!$A54,DriversGams!$A$5:$A$26,0),MATCH(Drivers!R$3,DriversGams!$A$5:$BA$5,0))</f>
        <v>213.83443076857236</v>
      </c>
      <c r="S54" s="6">
        <f>INDEX(DriversGams!$A$5:$BA$26,MATCH(Drivers!$A54,DriversGams!$A$5:$A$26,0),MATCH(Drivers!S$3,DriversGams!$A$5:$BA$5,0))</f>
        <v>217.68345052240667</v>
      </c>
      <c r="T54" s="6">
        <f>INDEX(DriversGams!$A$5:$BA$26,MATCH(Drivers!$A54,DriversGams!$A$5:$A$26,0),MATCH(Drivers!T$3,DriversGams!$A$5:$BA$5,0))</f>
        <v>222.47939183136617</v>
      </c>
      <c r="U54" s="6">
        <f>INDEX(DriversGams!$A$5:$BA$26,MATCH(Drivers!$A54,DriversGams!$A$5:$A$26,0),MATCH(Drivers!U$3,DriversGams!$A$5:$BA$5,0))</f>
        <v>228.31243540175274</v>
      </c>
      <c r="V54" s="6">
        <f>INDEX(DriversGams!$A$5:$BA$26,MATCH(Drivers!$A54,DriversGams!$A$5:$A$26,0),MATCH(Drivers!V$3,DriversGams!$A$5:$BA$5,0))</f>
        <v>235.01989317975648</v>
      </c>
      <c r="W54" s="6">
        <f>INDEX(DriversGams!$A$5:$BA$26,MATCH(Drivers!$A54,DriversGams!$A$5:$A$26,0),MATCH(Drivers!W$3,DriversGams!$A$5:$BA$5,0))</f>
        <v>242.08871323726126</v>
      </c>
      <c r="X54" s="6">
        <f>INDEX(DriversGams!$A$5:$BA$26,MATCH(Drivers!$A54,DriversGams!$A$5:$A$26,0),MATCH(Drivers!X$3,DriversGams!$A$5:$BA$5,0))</f>
        <v>249.58806604154535</v>
      </c>
      <c r="Y54" s="6">
        <f>INDEX(DriversGams!$A$5:$BA$26,MATCH(Drivers!$A54,DriversGams!$A$5:$A$26,0),MATCH(Drivers!Y$3,DriversGams!$A$5:$BA$5,0))</f>
        <v>258.16539102536478</v>
      </c>
      <c r="Z54" s="6">
        <f>INDEX(DriversGams!$A$5:$BA$26,MATCH(Drivers!$A54,DriversGams!$A$5:$A$26,0),MATCH(Drivers!Z$3,DriversGams!$A$5:$BA$5,0))</f>
        <v>267.25402459625479</v>
      </c>
      <c r="AA54" s="6">
        <f>INDEX(DriversGams!$A$5:$BA$26,MATCH(Drivers!$A54,DriversGams!$A$5:$A$26,0),MATCH(Drivers!AA$3,DriversGams!$A$5:$BA$5,0))</f>
        <v>276.88678485748676</v>
      </c>
      <c r="AB54" s="6">
        <f>INDEX(DriversGams!$A$5:$BA$26,MATCH(Drivers!$A54,DriversGams!$A$5:$A$26,0),MATCH(Drivers!AB$3,DriversGams!$A$5:$BA$5,0))</f>
        <v>287.13353916429128</v>
      </c>
      <c r="AC54" s="6">
        <f>INDEX(DriversGams!$A$5:$BA$26,MATCH(Drivers!$A54,DriversGams!$A$5:$A$26,0),MATCH(Drivers!AC$3,DriversGams!$A$5:$BA$5,0))</f>
        <v>297.85968334204398</v>
      </c>
      <c r="AD54" s="6">
        <f>INDEX(DriversGams!$A$5:$BA$26,MATCH(Drivers!$A54,DriversGams!$A$5:$A$26,0),MATCH(Drivers!AD$3,DriversGams!$A$5:$BA$5,0))</f>
        <v>308.75107380506353</v>
      </c>
      <c r="AE54" s="6">
        <f>INDEX(DriversGams!$A$5:$BA$26,MATCH(Drivers!$A54,DriversGams!$A$5:$A$26,0),MATCH(Drivers!AE$3,DriversGams!$A$5:$BA$5,0))</f>
        <v>319.68351840350471</v>
      </c>
      <c r="AF54" s="6">
        <f>INDEX(DriversGams!$A$5:$BA$26,MATCH(Drivers!$A54,DriversGams!$A$5:$A$26,0),MATCH(Drivers!AF$3,DriversGams!$A$5:$BA$5,0))</f>
        <v>379.24301098429203</v>
      </c>
      <c r="AG54" s="6">
        <f>INDEX(DriversGams!$A$5:$BA$26,MATCH(Drivers!$A54,DriversGams!$A$5:$A$26,0),MATCH(Drivers!AG$3,DriversGams!$A$5:$BA$5,0))</f>
        <v>451.01824061335759</v>
      </c>
      <c r="AH54" s="6">
        <f>INDEX(DriversGams!$A$5:$BA$26,MATCH(Drivers!$A54,DriversGams!$A$5:$A$26,0),MATCH(Drivers!AH$3,DriversGams!$A$5:$BA$5,0))</f>
        <v>525.77604326701203</v>
      </c>
      <c r="AI54" s="6">
        <f t="shared" si="120"/>
        <v>586.61568448815979</v>
      </c>
      <c r="AJ54" s="6">
        <f t="shared" si="121"/>
        <v>626.15818965657195</v>
      </c>
      <c r="AK54" s="6">
        <f t="shared" si="122"/>
        <v>639.17575428790985</v>
      </c>
      <c r="AL54" s="107"/>
      <c r="AM54" s="107"/>
      <c r="AN54" s="6">
        <v>525.77604326701203</v>
      </c>
      <c r="AO54" s="6">
        <v>586.61568448815979</v>
      </c>
      <c r="AP54" s="6">
        <v>626.15818965657195</v>
      </c>
      <c r="AQ54" s="6">
        <v>639.17575428790974</v>
      </c>
    </row>
    <row r="55" spans="1:43">
      <c r="A55" s="115" t="s">
        <v>698</v>
      </c>
      <c r="B55">
        <f t="shared" si="123"/>
        <v>9</v>
      </c>
      <c r="C55" s="265">
        <v>91.99927686334776</v>
      </c>
      <c r="D55" s="265">
        <v>94.311373368720652</v>
      </c>
      <c r="E55" s="265">
        <v>94.799919645026264</v>
      </c>
      <c r="F55" s="265">
        <v>97.841355308332979</v>
      </c>
      <c r="G55" s="265">
        <v>96.503338558927737</v>
      </c>
      <c r="H55" s="265">
        <v>99.533131506208818</v>
      </c>
      <c r="I55" s="265">
        <v>98.961742827413289</v>
      </c>
      <c r="J55" s="6">
        <f>INDEX(DriversGams!$A$5:$BA$26,MATCH(Drivers!$A55,DriversGams!$A$5:$A$26,0),MATCH(Drivers!J$3,DriversGams!$A$5:$BA$5,0))</f>
        <v>97.69</v>
      </c>
      <c r="K55" s="6">
        <f>INDEX(DriversGams!$A$5:$BA$26,MATCH(Drivers!$A55,DriversGams!$A$5:$A$26,0),MATCH(Drivers!K$3,DriversGams!$A$5:$BA$5,0))</f>
        <v>74.06</v>
      </c>
      <c r="L55" s="6">
        <f>INDEX(DriversGams!$A$5:$BA$26,MATCH(Drivers!$A55,DriversGams!$A$5:$A$26,0),MATCH(Drivers!L$3,DriversGams!$A$5:$BA$5,0))</f>
        <v>94.326547184944275</v>
      </c>
      <c r="M55" s="6">
        <f>INDEX(DriversGams!$A$5:$BA$26,MATCH(Drivers!$A55,DriversGams!$A$5:$A$26,0),MATCH(Drivers!M$3,DriversGams!$A$5:$BA$5,0))</f>
        <v>96.317551881937504</v>
      </c>
      <c r="N55" s="6">
        <f>INDEX(DriversGams!$A$5:$BA$26,MATCH(Drivers!$A55,DriversGams!$A$5:$A$26,0),MATCH(Drivers!N$3,DriversGams!$A$5:$BA$5,0))</f>
        <v>96.485901069684203</v>
      </c>
      <c r="O55" s="6">
        <f>INDEX(DriversGams!$A$5:$BA$26,MATCH(Drivers!$A55,DriversGams!$A$5:$A$26,0),MATCH(Drivers!O$3,DriversGams!$A$5:$BA$5,0))</f>
        <v>97.470770267879786</v>
      </c>
      <c r="P55" s="6">
        <f>INDEX(DriversGams!$A$5:$BA$26,MATCH(Drivers!$A55,DriversGams!$A$5:$A$26,0),MATCH(Drivers!P$3,DriversGams!$A$5:$BA$5,0))</f>
        <v>98.521510052447283</v>
      </c>
      <c r="Q55" s="6">
        <f>INDEX(DriversGams!$A$5:$BA$26,MATCH(Drivers!$A55,DriversGams!$A$5:$A$26,0),MATCH(Drivers!Q$3,DriversGams!$A$5:$BA$5,0))</f>
        <v>100.07451861040886</v>
      </c>
      <c r="R55" s="6">
        <f>INDEX(DriversGams!$A$5:$BA$26,MATCH(Drivers!$A55,DriversGams!$A$5:$A$26,0),MATCH(Drivers!R$3,DriversGams!$A$5:$BA$5,0))</f>
        <v>101.83022921202563</v>
      </c>
      <c r="S55" s="6">
        <f>INDEX(DriversGams!$A$5:$BA$26,MATCH(Drivers!$A55,DriversGams!$A$5:$A$26,0),MATCH(Drivers!S$3,DriversGams!$A$5:$BA$5,0))</f>
        <v>103.75282121155557</v>
      </c>
      <c r="T55" s="6">
        <f>INDEX(DriversGams!$A$5:$BA$26,MATCH(Drivers!$A55,DriversGams!$A$5:$A$26,0),MATCH(Drivers!T$3,DriversGams!$A$5:$BA$5,0))</f>
        <v>106.17539801658455</v>
      </c>
      <c r="U55" s="6">
        <f>INDEX(DriversGams!$A$5:$BA$26,MATCH(Drivers!$A55,DriversGams!$A$5:$A$26,0),MATCH(Drivers!U$3,DriversGams!$A$5:$BA$5,0))</f>
        <v>109.12343337857645</v>
      </c>
      <c r="V55" s="6">
        <f>INDEX(DriversGams!$A$5:$BA$26,MATCH(Drivers!$A55,DriversGams!$A$5:$A$26,0),MATCH(Drivers!V$3,DriversGams!$A$5:$BA$5,0))</f>
        <v>112.61372510120849</v>
      </c>
      <c r="W55" s="6">
        <f>INDEX(DriversGams!$A$5:$BA$26,MATCH(Drivers!$A55,DriversGams!$A$5:$A$26,0),MATCH(Drivers!W$3,DriversGams!$A$5:$BA$5,0))</f>
        <v>116.26069997030584</v>
      </c>
      <c r="X55" s="6">
        <f>INDEX(DriversGams!$A$5:$BA$26,MATCH(Drivers!$A55,DriversGams!$A$5:$A$26,0),MATCH(Drivers!X$3,DriversGams!$A$5:$BA$5,0))</f>
        <v>120.22843007290803</v>
      </c>
      <c r="Y55" s="6">
        <f>INDEX(DriversGams!$A$5:$BA$26,MATCH(Drivers!$A55,DriversGams!$A$5:$A$26,0),MATCH(Drivers!Y$3,DriversGams!$A$5:$BA$5,0))</f>
        <v>124.67562962107333</v>
      </c>
      <c r="Z55" s="6">
        <f>INDEX(DriversGams!$A$5:$BA$26,MATCH(Drivers!$A55,DriversGams!$A$5:$A$26,0),MATCH(Drivers!Z$3,DriversGams!$A$5:$BA$5,0))</f>
        <v>129.50610863365219</v>
      </c>
      <c r="AA55" s="6">
        <f>INDEX(DriversGams!$A$5:$BA$26,MATCH(Drivers!$A55,DriversGams!$A$5:$A$26,0),MATCH(Drivers!AA$3,DriversGams!$A$5:$BA$5,0))</f>
        <v>134.61527442843331</v>
      </c>
      <c r="AB55" s="6">
        <f>INDEX(DriversGams!$A$5:$BA$26,MATCH(Drivers!$A55,DriversGams!$A$5:$A$26,0),MATCH(Drivers!AB$3,DriversGams!$A$5:$BA$5,0))</f>
        <v>139.97206400250883</v>
      </c>
      <c r="AC55" s="6">
        <f>INDEX(DriversGams!$A$5:$BA$26,MATCH(Drivers!$A55,DriversGams!$A$5:$A$26,0),MATCH(Drivers!AC$3,DriversGams!$A$5:$BA$5,0))</f>
        <v>145.64822616961308</v>
      </c>
      <c r="AD55" s="6">
        <f>INDEX(DriversGams!$A$5:$BA$26,MATCH(Drivers!$A55,DriversGams!$A$5:$A$26,0),MATCH(Drivers!AD$3,DriversGams!$A$5:$BA$5,0))</f>
        <v>151.40944702553838</v>
      </c>
      <c r="AE55" s="6">
        <f>INDEX(DriversGams!$A$5:$BA$26,MATCH(Drivers!$A55,DriversGams!$A$5:$A$26,0),MATCH(Drivers!AE$3,DriversGams!$A$5:$BA$5,0))</f>
        <v>157.19459281004737</v>
      </c>
      <c r="AF55" s="6">
        <f>INDEX(DriversGams!$A$5:$BA$26,MATCH(Drivers!$A55,DriversGams!$A$5:$A$26,0),MATCH(Drivers!AF$3,DriversGams!$A$5:$BA$5,0))</f>
        <v>188.25713113703137</v>
      </c>
      <c r="AG55" s="6">
        <f>INDEX(DriversGams!$A$5:$BA$26,MATCH(Drivers!$A55,DriversGams!$A$5:$A$26,0),MATCH(Drivers!AG$3,DriversGams!$A$5:$BA$5,0))</f>
        <v>225.60199880879858</v>
      </c>
      <c r="AH55" s="6">
        <f>INDEX(DriversGams!$A$5:$BA$26,MATCH(Drivers!$A55,DriversGams!$A$5:$A$26,0),MATCH(Drivers!AH$3,DriversGams!$A$5:$BA$5,0))</f>
        <v>264.46669848251645</v>
      </c>
      <c r="AI55" s="6">
        <f t="shared" si="120"/>
        <v>296.1446884419646</v>
      </c>
      <c r="AJ55" s="6">
        <f t="shared" si="121"/>
        <v>316.83904095757532</v>
      </c>
      <c r="AK55" s="6">
        <f t="shared" si="122"/>
        <v>323.8600420471542</v>
      </c>
      <c r="AL55" s="107"/>
      <c r="AM55" s="107"/>
      <c r="AN55" s="6">
        <v>264.46669848251645</v>
      </c>
      <c r="AO55" s="6">
        <v>296.1446884419646</v>
      </c>
      <c r="AP55" s="6">
        <v>316.83904095757532</v>
      </c>
      <c r="AQ55" s="6">
        <v>323.8600420471542</v>
      </c>
    </row>
    <row r="56" spans="1:43">
      <c r="A56" s="115" t="s">
        <v>510</v>
      </c>
      <c r="B56">
        <f t="shared" si="123"/>
        <v>10</v>
      </c>
      <c r="C56" s="265">
        <v>18.748363502594032</v>
      </c>
      <c r="D56" s="265">
        <v>15.909210489014884</v>
      </c>
      <c r="E56" s="265">
        <v>14.603991495393339</v>
      </c>
      <c r="F56" s="265">
        <v>14.80978596739901</v>
      </c>
      <c r="G56" s="265">
        <v>14.414883061658401</v>
      </c>
      <c r="H56" s="265">
        <v>13.877221828490436</v>
      </c>
      <c r="I56" s="265">
        <v>13.621369241672575</v>
      </c>
      <c r="J56" s="6">
        <f>INDEX(DriversGams!$A$5:$BA$26,MATCH(Drivers!$A56,DriversGams!$A$5:$A$26,0),MATCH(Drivers!J$3,DriversGams!$A$5:$BA$5,0))</f>
        <v>13.08</v>
      </c>
      <c r="K56" s="6">
        <f>INDEX(DriversGams!$A$5:$BA$26,MATCH(Drivers!$A56,DriversGams!$A$5:$A$26,0),MATCH(Drivers!K$3,DriversGams!$A$5:$BA$5,0))</f>
        <v>12.33</v>
      </c>
      <c r="L56" s="6">
        <f>INDEX(DriversGams!$A$5:$BA$26,MATCH(Drivers!$A56,DriversGams!$A$5:$A$26,0),MATCH(Drivers!L$3,DriversGams!$A$5:$BA$5,0))</f>
        <v>12.629657459095826</v>
      </c>
      <c r="M56" s="6">
        <f>INDEX(DriversGams!$A$5:$BA$26,MATCH(Drivers!$A56,DriversGams!$A$5:$A$26,0),MATCH(Drivers!M$3,DriversGams!$A$5:$BA$5,0))</f>
        <v>12.896238904859686</v>
      </c>
      <c r="N56" s="6">
        <f>INDEX(DriversGams!$A$5:$BA$26,MATCH(Drivers!$A56,DriversGams!$A$5:$A$26,0),MATCH(Drivers!N$3,DriversGams!$A$5:$BA$5,0))</f>
        <v>12.918779670298592</v>
      </c>
      <c r="O56" s="6">
        <f>INDEX(DriversGams!$A$5:$BA$26,MATCH(Drivers!$A56,DriversGams!$A$5:$A$26,0),MATCH(Drivers!O$3,DriversGams!$A$5:$BA$5,0))</f>
        <v>13.05064668956769</v>
      </c>
      <c r="P56" s="6">
        <f>INDEX(DriversGams!$A$5:$BA$26,MATCH(Drivers!$A56,DriversGams!$A$5:$A$26,0),MATCH(Drivers!P$3,DriversGams!$A$5:$BA$5,0))</f>
        <v>13.191333314423284</v>
      </c>
      <c r="Q56" s="6">
        <f>INDEX(DriversGams!$A$5:$BA$26,MATCH(Drivers!$A56,DriversGams!$A$5:$A$26,0),MATCH(Drivers!Q$3,DriversGams!$A$5:$BA$5,0))</f>
        <v>13.399270175290695</v>
      </c>
      <c r="R56" s="6">
        <f>INDEX(DriversGams!$A$5:$BA$26,MATCH(Drivers!$A56,DriversGams!$A$5:$A$26,0),MATCH(Drivers!R$3,DriversGams!$A$5:$BA$5,0))</f>
        <v>13.634347406011827</v>
      </c>
      <c r="S56" s="6">
        <f>INDEX(DriversGams!$A$5:$BA$26,MATCH(Drivers!$A56,DriversGams!$A$5:$A$26,0),MATCH(Drivers!S$3,DriversGams!$A$5:$BA$5,0))</f>
        <v>13.891768875495416</v>
      </c>
      <c r="T56" s="6">
        <f>INDEX(DriversGams!$A$5:$BA$26,MATCH(Drivers!$A56,DriversGams!$A$5:$A$26,0),MATCH(Drivers!T$3,DriversGams!$A$5:$BA$5,0))</f>
        <v>14.216134773845083</v>
      </c>
      <c r="U56" s="6">
        <f>INDEX(DriversGams!$A$5:$BA$26,MATCH(Drivers!$A56,DriversGams!$A$5:$A$26,0),MATCH(Drivers!U$3,DriversGams!$A$5:$BA$5,0))</f>
        <v>14.610855856195927</v>
      </c>
      <c r="V56" s="6">
        <f>INDEX(DriversGams!$A$5:$BA$26,MATCH(Drivers!$A56,DriversGams!$A$5:$A$26,0),MATCH(Drivers!V$3,DriversGams!$A$5:$BA$5,0))</f>
        <v>15.078181229642823</v>
      </c>
      <c r="W56" s="6">
        <f>INDEX(DriversGams!$A$5:$BA$26,MATCH(Drivers!$A56,DriversGams!$A$5:$A$26,0),MATCH(Drivers!W$3,DriversGams!$A$5:$BA$5,0))</f>
        <v>15.566485368119569</v>
      </c>
      <c r="X56" s="6">
        <f>INDEX(DriversGams!$A$5:$BA$26,MATCH(Drivers!$A56,DriversGams!$A$5:$A$26,0),MATCH(Drivers!X$3,DriversGams!$A$5:$BA$5,0))</f>
        <v>16.097736363534008</v>
      </c>
      <c r="Y56" s="6">
        <f>INDEX(DriversGams!$A$5:$BA$26,MATCH(Drivers!$A56,DriversGams!$A$5:$A$26,0),MATCH(Drivers!Y$3,DriversGams!$A$5:$BA$5,0))</f>
        <v>16.693184926232362</v>
      </c>
      <c r="Z56" s="6">
        <f>INDEX(DriversGams!$A$5:$BA$26,MATCH(Drivers!$A56,DriversGams!$A$5:$A$26,0),MATCH(Drivers!Z$3,DriversGams!$A$5:$BA$5,0))</f>
        <v>17.339951898128479</v>
      </c>
      <c r="AA56" s="6">
        <f>INDEX(DriversGams!$A$5:$BA$26,MATCH(Drivers!$A56,DriversGams!$A$5:$A$26,0),MATCH(Drivers!AA$3,DriversGams!$A$5:$BA$5,0))</f>
        <v>18.024033058899665</v>
      </c>
      <c r="AB56" s="6">
        <f>INDEX(DriversGams!$A$5:$BA$26,MATCH(Drivers!$A56,DriversGams!$A$5:$A$26,0),MATCH(Drivers!AB$3,DriversGams!$A$5:$BA$5,0))</f>
        <v>18.741269292177456</v>
      </c>
      <c r="AC56" s="6">
        <f>INDEX(DriversGams!$A$5:$BA$26,MATCH(Drivers!$A56,DriversGams!$A$5:$A$26,0),MATCH(Drivers!AC$3,DriversGams!$A$5:$BA$5,0))</f>
        <v>19.501267256613158</v>
      </c>
      <c r="AD56" s="6">
        <f>INDEX(DriversGams!$A$5:$BA$26,MATCH(Drivers!$A56,DriversGams!$A$5:$A$26,0),MATCH(Drivers!AD$3,DriversGams!$A$5:$BA$5,0))</f>
        <v>20.272653977828256</v>
      </c>
      <c r="AE56" s="6">
        <f>INDEX(DriversGams!$A$5:$BA$26,MATCH(Drivers!$A56,DriversGams!$A$5:$A$26,0),MATCH(Drivers!AE$3,DriversGams!$A$5:$BA$5,0))</f>
        <v>21.047244077750229</v>
      </c>
      <c r="AF56" s="6">
        <f>INDEX(DriversGams!$A$5:$BA$26,MATCH(Drivers!$A56,DriversGams!$A$5:$A$26,0),MATCH(Drivers!AF$3,DriversGams!$A$5:$BA$5,0))</f>
        <v>25.206298242116599</v>
      </c>
      <c r="AG56" s="6">
        <f>INDEX(DriversGams!$A$5:$BA$26,MATCH(Drivers!$A56,DriversGams!$A$5:$A$26,0),MATCH(Drivers!AG$3,DriversGams!$A$5:$BA$5,0))</f>
        <v>30.20651186834974</v>
      </c>
      <c r="AH56" s="6">
        <f>INDEX(DriversGams!$A$5:$BA$26,MATCH(Drivers!$A56,DriversGams!$A$5:$A$26,0),MATCH(Drivers!AH$3,DriversGams!$A$5:$BA$5,0))</f>
        <v>35.410220249271326</v>
      </c>
      <c r="AI56" s="6">
        <f t="shared" si="120"/>
        <v>39.651679033891867</v>
      </c>
      <c r="AJ56" s="6">
        <f t="shared" si="121"/>
        <v>42.422506456393542</v>
      </c>
      <c r="AK56" s="6">
        <f t="shared" si="122"/>
        <v>43.362568839971104</v>
      </c>
      <c r="AL56" s="107"/>
      <c r="AM56" s="107"/>
      <c r="AN56" s="6">
        <v>35.410220249271326</v>
      </c>
      <c r="AO56" s="6">
        <v>39.651679033891874</v>
      </c>
      <c r="AP56" s="6">
        <v>42.422506456393549</v>
      </c>
      <c r="AQ56" s="6">
        <v>43.362568839971111</v>
      </c>
    </row>
    <row r="57" spans="1:43">
      <c r="A57" s="115" t="s">
        <v>509</v>
      </c>
      <c r="B57">
        <f t="shared" si="123"/>
        <v>11</v>
      </c>
      <c r="C57" s="265">
        <v>16.099074173411047</v>
      </c>
      <c r="D57" s="265">
        <v>16.518849146566016</v>
      </c>
      <c r="E57" s="265">
        <v>16.808536607755151</v>
      </c>
      <c r="F57" s="265">
        <v>17.0461507724374</v>
      </c>
      <c r="G57" s="265">
        <v>17.232929214387152</v>
      </c>
      <c r="H57" s="265">
        <v>17.424562753451802</v>
      </c>
      <c r="I57" s="265">
        <v>17.64894439854638</v>
      </c>
      <c r="J57" s="6">
        <f>INDEX(DriversGams!$A$5:$BA$26,MATCH(Drivers!$A57,DriversGams!$A$5:$A$26,0),MATCH(Drivers!J$3,DriversGams!$A$5:$BA$5,0))</f>
        <v>17.63</v>
      </c>
      <c r="K57" s="6">
        <f>INDEX(DriversGams!$A$5:$BA$26,MATCH(Drivers!$A57,DriversGams!$A$5:$A$26,0),MATCH(Drivers!K$3,DriversGams!$A$5:$BA$5,0))</f>
        <v>16.46</v>
      </c>
      <c r="L57" s="6">
        <f>INDEX(DriversGams!$A$5:$BA$26,MATCH(Drivers!$A57,DriversGams!$A$5:$A$26,0),MATCH(Drivers!L$3,DriversGams!$A$5:$BA$5,0))</f>
        <v>17.023001605799649</v>
      </c>
      <c r="M57" s="6">
        <f>INDEX(DriversGams!$A$5:$BA$26,MATCH(Drivers!$A57,DriversGams!$A$5:$A$26,0),MATCH(Drivers!M$3,DriversGams!$A$5:$BA$5,0))</f>
        <v>17.382315893935495</v>
      </c>
      <c r="N57" s="6">
        <f>INDEX(DriversGams!$A$5:$BA$26,MATCH(Drivers!$A57,DriversGams!$A$5:$A$26,0),MATCH(Drivers!N$3,DriversGams!$A$5:$BA$5,0))</f>
        <v>17.412697674874938</v>
      </c>
      <c r="O57" s="6">
        <f>INDEX(DriversGams!$A$5:$BA$26,MATCH(Drivers!$A57,DriversGams!$A$5:$A$26,0),MATCH(Drivers!O$3,DriversGams!$A$5:$BA$5,0))</f>
        <v>17.590435866749111</v>
      </c>
      <c r="P57" s="6">
        <f>INDEX(DriversGams!$A$5:$BA$26,MATCH(Drivers!$A57,DriversGams!$A$5:$A$26,0),MATCH(Drivers!P$3,DriversGams!$A$5:$BA$5,0))</f>
        <v>17.780061646275421</v>
      </c>
      <c r="Q57" s="6">
        <f>INDEX(DriversGams!$A$5:$BA$26,MATCH(Drivers!$A57,DriversGams!$A$5:$A$26,0),MATCH(Drivers!Q$3,DriversGams!$A$5:$BA$5,0))</f>
        <v>18.060331283667811</v>
      </c>
      <c r="R57" s="6">
        <f>INDEX(DriversGams!$A$5:$BA$26,MATCH(Drivers!$A57,DriversGams!$A$5:$A$26,0),MATCH(Drivers!R$3,DriversGams!$A$5:$BA$5,0))</f>
        <v>18.377182321711658</v>
      </c>
      <c r="S57" s="6">
        <f>INDEX(DriversGams!$A$5:$BA$26,MATCH(Drivers!$A57,DriversGams!$A$5:$A$26,0),MATCH(Drivers!S$3,DriversGams!$A$5:$BA$5,0))</f>
        <v>18.724150250381051</v>
      </c>
      <c r="T57" s="6">
        <f>INDEX(DriversGams!$A$5:$BA$26,MATCH(Drivers!$A57,DriversGams!$A$5:$A$26,0),MATCH(Drivers!T$3,DriversGams!$A$5:$BA$5,0))</f>
        <v>19.161349851902813</v>
      </c>
      <c r="U57" s="6">
        <f>INDEX(DriversGams!$A$5:$BA$26,MATCH(Drivers!$A57,DriversGams!$A$5:$A$26,0),MATCH(Drivers!U$3,DriversGams!$A$5:$BA$5,0))</f>
        <v>19.693378344398639</v>
      </c>
      <c r="V57" s="6">
        <f>INDEX(DriversGams!$A$5:$BA$26,MATCH(Drivers!$A57,DriversGams!$A$5:$A$26,0),MATCH(Drivers!V$3,DriversGams!$A$5:$BA$5,0))</f>
        <v>20.32326720784426</v>
      </c>
      <c r="W57" s="6">
        <f>INDEX(DriversGams!$A$5:$BA$26,MATCH(Drivers!$A57,DriversGams!$A$5:$A$26,0),MATCH(Drivers!W$3,DriversGams!$A$5:$BA$5,0))</f>
        <v>20.981432495408864</v>
      </c>
      <c r="X57" s="6">
        <f>INDEX(DriversGams!$A$5:$BA$26,MATCH(Drivers!$A57,DriversGams!$A$5:$A$26,0),MATCH(Drivers!X$3,DriversGams!$A$5:$BA$5,0))</f>
        <v>21.697484104671602</v>
      </c>
      <c r="Y57" s="6">
        <f>INDEX(DriversGams!$A$5:$BA$26,MATCH(Drivers!$A57,DriversGams!$A$5:$A$26,0),MATCH(Drivers!Y$3,DriversGams!$A$5:$BA$5,0))</f>
        <v>22.500065003782609</v>
      </c>
      <c r="Z57" s="6">
        <f>INDEX(DriversGams!$A$5:$BA$26,MATCH(Drivers!$A57,DriversGams!$A$5:$A$26,0),MATCH(Drivers!Z$3,DriversGams!$A$5:$BA$5,0))</f>
        <v>23.371815899388764</v>
      </c>
      <c r="AA57" s="6">
        <f>INDEX(DriversGams!$A$5:$BA$26,MATCH(Drivers!$A57,DriversGams!$A$5:$A$26,0),MATCH(Drivers!AA$3,DriversGams!$A$5:$BA$5,0))</f>
        <v>24.293861072507724</v>
      </c>
      <c r="AB57" s="6">
        <f>INDEX(DriversGams!$A$5:$BA$26,MATCH(Drivers!$A57,DriversGams!$A$5:$A$26,0),MATCH(Drivers!AB$3,DriversGams!$A$5:$BA$5,0))</f>
        <v>25.260594619349277</v>
      </c>
      <c r="AC57" s="6">
        <f>INDEX(DriversGams!$A$5:$BA$26,MATCH(Drivers!$A57,DriversGams!$A$5:$A$26,0),MATCH(Drivers!AC$3,DriversGams!$A$5:$BA$5,0))</f>
        <v>26.284964964379967</v>
      </c>
      <c r="AD57" s="6">
        <f>INDEX(DriversGams!$A$5:$BA$26,MATCH(Drivers!$A57,DriversGams!$A$5:$A$26,0),MATCH(Drivers!AD$3,DriversGams!$A$5:$BA$5,0))</f>
        <v>27.324685751461171</v>
      </c>
      <c r="AE57" s="6">
        <f>INDEX(DriversGams!$A$5:$BA$26,MATCH(Drivers!$A57,DriversGams!$A$5:$A$26,0),MATCH(Drivers!AE$3,DriversGams!$A$5:$BA$5,0))</f>
        <v>28.368724242411048</v>
      </c>
      <c r="AF57" s="6">
        <f>INDEX(DriversGams!$A$5:$BA$26,MATCH(Drivers!$A57,DriversGams!$A$5:$A$26,0),MATCH(Drivers!AF$3,DriversGams!$A$5:$BA$5,0))</f>
        <v>33.974544190253489</v>
      </c>
      <c r="AG57" s="6">
        <f>INDEX(DriversGams!$A$5:$BA$26,MATCH(Drivers!$A57,DriversGams!$A$5:$A$26,0),MATCH(Drivers!AG$3,DriversGams!$A$5:$BA$5,0))</f>
        <v>40.714128764449988</v>
      </c>
      <c r="AH57" s="6">
        <f>INDEX(DriversGams!$A$5:$BA$26,MATCH(Drivers!$A57,DriversGams!$A$5:$A$26,0),MATCH(Drivers!AH$3,DriversGams!$A$5:$BA$5,0))</f>
        <v>47.727995641793072</v>
      </c>
      <c r="AI57" s="6">
        <f t="shared" si="120"/>
        <v>53.444885425650895</v>
      </c>
      <c r="AJ57" s="6">
        <f t="shared" si="121"/>
        <v>57.179571011178773</v>
      </c>
      <c r="AK57" s="6">
        <f t="shared" si="122"/>
        <v>58.446642863049753</v>
      </c>
      <c r="AL57" s="107"/>
      <c r="AM57" s="107"/>
      <c r="AN57" s="6">
        <v>47.727995641793072</v>
      </c>
      <c r="AO57" s="6">
        <v>53.444885425650895</v>
      </c>
      <c r="AP57" s="6">
        <v>57.179571011178766</v>
      </c>
      <c r="AQ57" s="6">
        <v>58.446642863049739</v>
      </c>
    </row>
    <row r="58" spans="1:43">
      <c r="A58" s="115" t="s">
        <v>506</v>
      </c>
      <c r="B58">
        <f t="shared" si="123"/>
        <v>12</v>
      </c>
      <c r="C58" s="265">
        <v>335.77331305186084</v>
      </c>
      <c r="D58" s="265">
        <v>345.12368336779264</v>
      </c>
      <c r="E58" s="265">
        <v>351.73654833895557</v>
      </c>
      <c r="F58" s="265">
        <v>356.62847152051233</v>
      </c>
      <c r="G58" s="265">
        <v>360.31274126727499</v>
      </c>
      <c r="H58" s="265">
        <v>363.08022098030375</v>
      </c>
      <c r="I58" s="265">
        <v>367.26352107202263</v>
      </c>
      <c r="J58" s="6">
        <f>INDEX(DriversGams!$A$5:$BA$26,MATCH(Drivers!$A58,DriversGams!$A$5:$A$26,0),MATCH(Drivers!J$3,DriversGams!$A$5:$BA$5,0))</f>
        <v>366.87</v>
      </c>
      <c r="K58" s="6">
        <f>INDEX(DriversGams!$A$5:$BA$26,MATCH(Drivers!$A58,DriversGams!$A$5:$A$26,0),MATCH(Drivers!K$3,DriversGams!$A$5:$BA$5,0))</f>
        <v>340.31</v>
      </c>
      <c r="L58" s="6">
        <f>INDEX(DriversGams!$A$5:$BA$26,MATCH(Drivers!$A58,DriversGams!$A$5:$A$26,0),MATCH(Drivers!L$3,DriversGams!$A$5:$BA$5,0))</f>
        <v>354.2387180442268</v>
      </c>
      <c r="M58" s="6">
        <f>INDEX(DriversGams!$A$5:$BA$26,MATCH(Drivers!$A58,DriversGams!$A$5:$A$26,0),MATCH(Drivers!M$3,DriversGams!$A$5:$BA$5,0))</f>
        <v>361.71583845763558</v>
      </c>
      <c r="N58" s="6">
        <f>INDEX(DriversGams!$A$5:$BA$26,MATCH(Drivers!$A58,DriversGams!$A$5:$A$26,0),MATCH(Drivers!N$3,DriversGams!$A$5:$BA$5,0))</f>
        <v>362.34806556899423</v>
      </c>
      <c r="O58" s="6">
        <f>INDEX(DriversGams!$A$5:$BA$26,MATCH(Drivers!$A58,DriversGams!$A$5:$A$26,0),MATCH(Drivers!O$3,DriversGams!$A$5:$BA$5,0))</f>
        <v>366.04669350165892</v>
      </c>
      <c r="P58" s="6">
        <f>INDEX(DriversGams!$A$5:$BA$26,MATCH(Drivers!$A58,DriversGams!$A$5:$A$26,0),MATCH(Drivers!P$3,DriversGams!$A$5:$BA$5,0))</f>
        <v>369.99269518826225</v>
      </c>
      <c r="Q58" s="6">
        <f>INDEX(DriversGams!$A$5:$BA$26,MATCH(Drivers!$A58,DriversGams!$A$5:$A$26,0),MATCH(Drivers!Q$3,DriversGams!$A$5:$BA$5,0))</f>
        <v>375.82494260006865</v>
      </c>
      <c r="R58" s="6">
        <f>INDEX(DriversGams!$A$5:$BA$26,MATCH(Drivers!$A58,DriversGams!$A$5:$A$26,0),MATCH(Drivers!R$3,DriversGams!$A$5:$BA$5,0))</f>
        <v>382.41842758742808</v>
      </c>
      <c r="S58" s="6">
        <f>INDEX(DriversGams!$A$5:$BA$26,MATCH(Drivers!$A58,DriversGams!$A$5:$A$26,0),MATCH(Drivers!S$3,DriversGams!$A$5:$BA$5,0))</f>
        <v>389.63862747347122</v>
      </c>
      <c r="T58" s="6">
        <f>INDEX(DriversGams!$A$5:$BA$26,MATCH(Drivers!$A58,DriversGams!$A$5:$A$26,0),MATCH(Drivers!T$3,DriversGams!$A$5:$BA$5,0))</f>
        <v>398.73649575539338</v>
      </c>
      <c r="U58" s="6">
        <f>INDEX(DriversGams!$A$5:$BA$26,MATCH(Drivers!$A58,DriversGams!$A$5:$A$26,0),MATCH(Drivers!U$3,DriversGams!$A$5:$BA$5,0))</f>
        <v>409.80769785646794</v>
      </c>
      <c r="V58" s="6">
        <f>INDEX(DriversGams!$A$5:$BA$26,MATCH(Drivers!$A58,DriversGams!$A$5:$A$26,0),MATCH(Drivers!V$3,DriversGams!$A$5:$BA$5,0))</f>
        <v>422.91531710390387</v>
      </c>
      <c r="W58" s="6">
        <f>INDEX(DriversGams!$A$5:$BA$26,MATCH(Drivers!$A58,DriversGams!$A$5:$A$26,0),MATCH(Drivers!W$3,DriversGams!$A$5:$BA$5,0))</f>
        <v>436.61135221728028</v>
      </c>
      <c r="X58" s="6">
        <f>INDEX(DriversGams!$A$5:$BA$26,MATCH(Drivers!$A58,DriversGams!$A$5:$A$26,0),MATCH(Drivers!X$3,DriversGams!$A$5:$BA$5,0))</f>
        <v>451.51196786618669</v>
      </c>
      <c r="Y58" s="6">
        <f>INDEX(DriversGams!$A$5:$BA$26,MATCH(Drivers!$A58,DriversGams!$A$5:$A$26,0),MATCH(Drivers!Y$3,DriversGams!$A$5:$BA$5,0))</f>
        <v>468.21320748370539</v>
      </c>
      <c r="Z58" s="6">
        <f>INDEX(DriversGams!$A$5:$BA$26,MATCH(Drivers!$A58,DriversGams!$A$5:$A$26,0),MATCH(Drivers!Z$3,DriversGams!$A$5:$BA$5,0))</f>
        <v>486.35383431700268</v>
      </c>
      <c r="AA58" s="6">
        <f>INDEX(DriversGams!$A$5:$BA$26,MATCH(Drivers!$A58,DriversGams!$A$5:$A$26,0),MATCH(Drivers!AA$3,DriversGams!$A$5:$BA$5,0))</f>
        <v>505.541055681844</v>
      </c>
      <c r="AB58" s="6">
        <f>INDEX(DriversGams!$A$5:$BA$26,MATCH(Drivers!$A58,DriversGams!$A$5:$A$26,0),MATCH(Drivers!AB$3,DriversGams!$A$5:$BA$5,0))</f>
        <v>525.65821599550031</v>
      </c>
      <c r="AC58" s="6">
        <f>INDEX(DriversGams!$A$5:$BA$26,MATCH(Drivers!$A58,DriversGams!$A$5:$A$26,0),MATCH(Drivers!AC$3,DriversGams!$A$5:$BA$5,0))</f>
        <v>546.97476440624382</v>
      </c>
      <c r="AD58" s="6">
        <f>INDEX(DriversGams!$A$5:$BA$26,MATCH(Drivers!$A58,DriversGams!$A$5:$A$26,0),MATCH(Drivers!AD$3,DriversGams!$A$5:$BA$5,0))</f>
        <v>568.61074654784807</v>
      </c>
      <c r="AE58" s="6">
        <f>INDEX(DriversGams!$A$5:$BA$26,MATCH(Drivers!$A58,DriversGams!$A$5:$A$26,0),MATCH(Drivers!AE$3,DriversGams!$A$5:$BA$5,0))</f>
        <v>590.33657758442098</v>
      </c>
      <c r="AF58" s="6">
        <f>INDEX(DriversGams!$A$5:$BA$26,MATCH(Drivers!$A58,DriversGams!$A$5:$A$26,0),MATCH(Drivers!AF$3,DriversGams!$A$5:$BA$5,0))</f>
        <v>706.99041560285298</v>
      </c>
      <c r="AG58" s="6">
        <f>INDEX(DriversGams!$A$5:$BA$26,MATCH(Drivers!$A58,DriversGams!$A$5:$A$26,0),MATCH(Drivers!AG$3,DriversGams!$A$5:$BA$5,0))</f>
        <v>847.23723311479125</v>
      </c>
      <c r="AH58" s="6">
        <f>INDEX(DriversGams!$A$5:$BA$26,MATCH(Drivers!$A58,DriversGams!$A$5:$A$26,0),MATCH(Drivers!AH$3,DriversGams!$A$5:$BA$5,0))</f>
        <v>993.19170511086941</v>
      </c>
      <c r="AI58" s="6">
        <f t="shared" si="120"/>
        <v>1112.156841526293</v>
      </c>
      <c r="AJ58" s="6">
        <f t="shared" si="121"/>
        <v>1189.8734666404514</v>
      </c>
      <c r="AK58" s="6">
        <f t="shared" si="122"/>
        <v>1216.2404916146945</v>
      </c>
      <c r="AL58" s="107"/>
      <c r="AM58" s="107"/>
      <c r="AN58" s="6">
        <v>993.19170511086941</v>
      </c>
      <c r="AO58" s="6">
        <v>1112.156841526293</v>
      </c>
      <c r="AP58" s="6">
        <v>1189.8734666404512</v>
      </c>
      <c r="AQ58" s="6">
        <v>1216.2404916146943</v>
      </c>
    </row>
    <row r="59" spans="1:43">
      <c r="A59" s="115" t="s">
        <v>512</v>
      </c>
      <c r="B59">
        <f t="shared" si="123"/>
        <v>13</v>
      </c>
      <c r="C59" s="265">
        <v>49.680584563226056</v>
      </c>
      <c r="D59" s="265">
        <v>48.564231533814059</v>
      </c>
      <c r="E59" s="265">
        <v>47.459267978951466</v>
      </c>
      <c r="F59" s="265">
        <v>46.356109920093544</v>
      </c>
      <c r="G59" s="265">
        <v>46.356109920093544</v>
      </c>
      <c r="H59" s="265">
        <v>46.356109920093544</v>
      </c>
      <c r="I59" s="265">
        <v>46.327221984018706</v>
      </c>
      <c r="J59" s="6">
        <f>INDEX(DriversGams!$A$5:$BA$26,MATCH(Drivers!$A59,DriversGams!$A$5:$A$26,0),MATCH(Drivers!J$3,DriversGams!$A$5:$BA$5,0))</f>
        <v>46.32</v>
      </c>
      <c r="K59" s="6">
        <f>INDEX(DriversGams!$A$5:$BA$26,MATCH(Drivers!$A59,DriversGams!$A$5:$A$26,0),MATCH(Drivers!K$3,DriversGams!$A$5:$BA$5,0))</f>
        <v>29.1</v>
      </c>
      <c r="L59" s="6">
        <f>INDEX(DriversGams!$A$5:$BA$26,MATCH(Drivers!$A59,DriversGams!$A$5:$A$26,0),MATCH(Drivers!L$3,DriversGams!$A$5:$BA$5,0))</f>
        <v>44.725208983587052</v>
      </c>
      <c r="M59" s="6">
        <f>INDEX(DriversGams!$A$5:$BA$26,MATCH(Drivers!$A59,DriversGams!$A$5:$A$26,0),MATCH(Drivers!M$3,DriversGams!$A$5:$BA$5,0))</f>
        <v>45.669249699778334</v>
      </c>
      <c r="N59" s="6">
        <f>INDEX(DriversGams!$A$5:$BA$26,MATCH(Drivers!$A59,DriversGams!$A$5:$A$26,0),MATCH(Drivers!N$3,DriversGams!$A$5:$BA$5,0))</f>
        <v>45.74907296087391</v>
      </c>
      <c r="O59" s="6">
        <f>INDEX(DriversGams!$A$5:$BA$26,MATCH(Drivers!$A59,DriversGams!$A$5:$A$26,0),MATCH(Drivers!O$3,DriversGams!$A$5:$BA$5,0))</f>
        <v>46.216051579569985</v>
      </c>
      <c r="P59" s="6">
        <f>INDEX(DriversGams!$A$5:$BA$26,MATCH(Drivers!$A59,DriversGams!$A$5:$A$26,0),MATCH(Drivers!P$3,DriversGams!$A$5:$BA$5,0))</f>
        <v>46.71426292997603</v>
      </c>
      <c r="Q59" s="6">
        <f>INDEX(DriversGams!$A$5:$BA$26,MATCH(Drivers!$A59,DriversGams!$A$5:$A$26,0),MATCH(Drivers!Q$3,DriversGams!$A$5:$BA$5,0))</f>
        <v>47.450626492313837</v>
      </c>
      <c r="R59" s="6">
        <f>INDEX(DriversGams!$A$5:$BA$26,MATCH(Drivers!$A59,DriversGams!$A$5:$A$26,0),MATCH(Drivers!R$3,DriversGams!$A$5:$BA$5,0))</f>
        <v>48.283101823124447</v>
      </c>
      <c r="S59" s="6">
        <f>INDEX(DriversGams!$A$5:$BA$26,MATCH(Drivers!$A59,DriversGams!$A$5:$A$26,0),MATCH(Drivers!S$3,DriversGams!$A$5:$BA$5,0))</f>
        <v>49.194704458176425</v>
      </c>
      <c r="T59" s="6">
        <f>INDEX(DriversGams!$A$5:$BA$26,MATCH(Drivers!$A59,DriversGams!$A$5:$A$26,0),MATCH(Drivers!T$3,DriversGams!$A$5:$BA$5,0))</f>
        <v>50.343376355084416</v>
      </c>
      <c r="U59" s="6">
        <f>INDEX(DriversGams!$A$5:$BA$26,MATCH(Drivers!$A59,DriversGams!$A$5:$A$26,0),MATCH(Drivers!U$3,DriversGams!$A$5:$BA$5,0))</f>
        <v>51.741195967813098</v>
      </c>
      <c r="V59" s="6">
        <f>INDEX(DriversGams!$A$5:$BA$26,MATCH(Drivers!$A59,DriversGams!$A$5:$A$26,0),MATCH(Drivers!V$3,DriversGams!$A$5:$BA$5,0))</f>
        <v>53.396128024239715</v>
      </c>
      <c r="W59" s="6">
        <f>INDEX(DriversGams!$A$5:$BA$26,MATCH(Drivers!$A59,DriversGams!$A$5:$A$26,0),MATCH(Drivers!W$3,DriversGams!$A$5:$BA$5,0))</f>
        <v>55.125351854074793</v>
      </c>
      <c r="X59" s="6">
        <f>INDEX(DriversGams!$A$5:$BA$26,MATCH(Drivers!$A59,DriversGams!$A$5:$A$26,0),MATCH(Drivers!X$3,DriversGams!$A$5:$BA$5,0))</f>
        <v>57.00666271856997</v>
      </c>
      <c r="Y59" s="6">
        <f>INDEX(DriversGams!$A$5:$BA$26,MATCH(Drivers!$A59,DriversGams!$A$5:$A$26,0),MATCH(Drivers!Y$3,DriversGams!$A$5:$BA$5,0))</f>
        <v>59.1153154268412</v>
      </c>
      <c r="Z59" s="6">
        <f>INDEX(DriversGams!$A$5:$BA$26,MATCH(Drivers!$A59,DriversGams!$A$5:$A$26,0),MATCH(Drivers!Z$3,DriversGams!$A$5:$BA$5,0))</f>
        <v>61.405701217225612</v>
      </c>
      <c r="AA59" s="6">
        <f>INDEX(DriversGams!$A$5:$BA$26,MATCH(Drivers!$A59,DriversGams!$A$5:$A$26,0),MATCH(Drivers!AA$3,DriversGams!$A$5:$BA$5,0))</f>
        <v>63.828227162708892</v>
      </c>
      <c r="AB59" s="6">
        <f>INDEX(DriversGams!$A$5:$BA$26,MATCH(Drivers!$A59,DriversGams!$A$5:$A$26,0),MATCH(Drivers!AB$3,DriversGams!$A$5:$BA$5,0))</f>
        <v>66.368164649362356</v>
      </c>
      <c r="AC59" s="6">
        <f>INDEX(DriversGams!$A$5:$BA$26,MATCH(Drivers!$A59,DriversGams!$A$5:$A$26,0),MATCH(Drivers!AC$3,DriversGams!$A$5:$BA$5,0))</f>
        <v>69.059533587639251</v>
      </c>
      <c r="AD59" s="6">
        <f>INDEX(DriversGams!$A$5:$BA$26,MATCH(Drivers!$A59,DriversGams!$A$5:$A$26,0),MATCH(Drivers!AD$3,DriversGams!$A$5:$BA$5,0))</f>
        <v>71.791233352676201</v>
      </c>
      <c r="AE59" s="6">
        <f>INDEX(DriversGams!$A$5:$BA$26,MATCH(Drivers!$A59,DriversGams!$A$5:$A$26,0),MATCH(Drivers!AE$3,DriversGams!$A$5:$BA$5,0))</f>
        <v>74.534277192766851</v>
      </c>
      <c r="AF59" s="6">
        <f>INDEX(DriversGams!$A$5:$BA$26,MATCH(Drivers!$A59,DriversGams!$A$5:$A$26,0),MATCH(Drivers!AF$3,DriversGams!$A$5:$BA$5,0))</f>
        <v>89.262670839055104</v>
      </c>
      <c r="AG59" s="6">
        <f>INDEX(DriversGams!$A$5:$BA$26,MATCH(Drivers!$A59,DriversGams!$A$5:$A$26,0),MATCH(Drivers!AG$3,DriversGams!$A$5:$BA$5,0))</f>
        <v>106.96984936865135</v>
      </c>
      <c r="AH59" s="6">
        <f>INDEX(DriversGams!$A$5:$BA$26,MATCH(Drivers!$A59,DriversGams!$A$5:$A$26,0),MATCH(Drivers!AH$3,DriversGams!$A$5:$BA$5,0))</f>
        <v>125.3976606992544</v>
      </c>
      <c r="AI59" s="6">
        <f t="shared" si="120"/>
        <v>140.41787254203911</v>
      </c>
      <c r="AJ59" s="6">
        <f t="shared" si="121"/>
        <v>150.23016047860466</v>
      </c>
      <c r="AK59" s="6">
        <f t="shared" si="122"/>
        <v>153.55918873604446</v>
      </c>
      <c r="AL59" s="107"/>
      <c r="AM59" s="107"/>
      <c r="AN59" s="6">
        <v>125.3976606992544</v>
      </c>
      <c r="AO59" s="6">
        <v>140.41787254203911</v>
      </c>
      <c r="AP59" s="6">
        <v>150.23016047860466</v>
      </c>
      <c r="AQ59" s="6">
        <v>153.55918873604446</v>
      </c>
    </row>
    <row r="60" spans="1:43">
      <c r="A60" s="115" t="s">
        <v>507</v>
      </c>
      <c r="B60">
        <f t="shared" si="123"/>
        <v>14</v>
      </c>
      <c r="C60" s="265">
        <v>21.771602125906632</v>
      </c>
      <c r="D60" s="265">
        <v>22.321967288291042</v>
      </c>
      <c r="E60" s="265">
        <v>22.799481809844082</v>
      </c>
      <c r="F60" s="265">
        <v>23.061502598593702</v>
      </c>
      <c r="G60" s="265">
        <v>23.492490064200549</v>
      </c>
      <c r="H60" s="265">
        <v>23.649212778966675</v>
      </c>
      <c r="I60" s="265">
        <v>24.045917150718431</v>
      </c>
      <c r="J60" s="6">
        <f>INDEX(DriversGams!$A$5:$BA$26,MATCH(Drivers!$A60,DriversGams!$A$5:$A$26,0),MATCH(Drivers!J$3,DriversGams!$A$5:$BA$5,0))</f>
        <v>24.03</v>
      </c>
      <c r="K60" s="6">
        <f>INDEX(DriversGams!$A$5:$BA$26,MATCH(Drivers!$A60,DriversGams!$A$5:$A$26,0),MATCH(Drivers!K$3,DriversGams!$A$5:$BA$5,0))</f>
        <v>22.95</v>
      </c>
      <c r="L60" s="6">
        <f>INDEX(DriversGams!$A$5:$BA$26,MATCH(Drivers!$A60,DriversGams!$A$5:$A$26,0),MATCH(Drivers!L$3,DriversGams!$A$5:$BA$5,0))</f>
        <v>23.202650515448983</v>
      </c>
      <c r="M60" s="6">
        <f>INDEX(DriversGams!$A$5:$BA$26,MATCH(Drivers!$A60,DriversGams!$A$5:$A$26,0),MATCH(Drivers!M$3,DriversGams!$A$5:$BA$5,0))</f>
        <v>23.692402208239926</v>
      </c>
      <c r="N60" s="6">
        <f>INDEX(DriversGams!$A$5:$BA$26,MATCH(Drivers!$A60,DriversGams!$A$5:$A$26,0),MATCH(Drivers!N$3,DriversGams!$A$5:$BA$5,0))</f>
        <v>23.733813109883421</v>
      </c>
      <c r="O60" s="6">
        <f>INDEX(DriversGams!$A$5:$BA$26,MATCH(Drivers!$A60,DriversGams!$A$5:$A$26,0),MATCH(Drivers!O$3,DriversGams!$A$5:$BA$5,0))</f>
        <v>23.976073390696605</v>
      </c>
      <c r="P60" s="6">
        <f>INDEX(DriversGams!$A$5:$BA$26,MATCH(Drivers!$A60,DriversGams!$A$5:$A$26,0),MATCH(Drivers!P$3,DriversGams!$A$5:$BA$5,0))</f>
        <v>24.234536662506997</v>
      </c>
      <c r="Q60" s="6">
        <f>INDEX(DriversGams!$A$5:$BA$26,MATCH(Drivers!$A60,DriversGams!$A$5:$A$26,0),MATCH(Drivers!Q$3,DriversGams!$A$5:$BA$5,0))</f>
        <v>24.616549106440015</v>
      </c>
      <c r="R60" s="6">
        <f>INDEX(DriversGams!$A$5:$BA$26,MATCH(Drivers!$A60,DriversGams!$A$5:$A$26,0),MATCH(Drivers!R$3,DriversGams!$A$5:$BA$5,0))</f>
        <v>25.048422642696039</v>
      </c>
      <c r="S60" s="6">
        <f>INDEX(DriversGams!$A$5:$BA$26,MATCH(Drivers!$A60,DriversGams!$A$5:$A$26,0),MATCH(Drivers!S$3,DriversGams!$A$5:$BA$5,0))</f>
        <v>25.521346030439972</v>
      </c>
      <c r="T60" s="6">
        <f>INDEX(DriversGams!$A$5:$BA$26,MATCH(Drivers!$A60,DriversGams!$A$5:$A$26,0),MATCH(Drivers!T$3,DriversGams!$A$5:$BA$5,0))</f>
        <v>26.117256774885117</v>
      </c>
      <c r="U60" s="6">
        <f>INDEX(DriversGams!$A$5:$BA$26,MATCH(Drivers!$A60,DriversGams!$A$5:$A$26,0),MATCH(Drivers!U$3,DriversGams!$A$5:$BA$5,0))</f>
        <v>26.842420965167289</v>
      </c>
      <c r="V60" s="6">
        <f>INDEX(DriversGams!$A$5:$BA$26,MATCH(Drivers!$A60,DriversGams!$A$5:$A$26,0),MATCH(Drivers!V$3,DriversGams!$A$5:$BA$5,0))</f>
        <v>27.700970561797934</v>
      </c>
      <c r="W60" s="6">
        <f>INDEX(DriversGams!$A$5:$BA$26,MATCH(Drivers!$A60,DriversGams!$A$5:$A$26,0),MATCH(Drivers!W$3,DriversGams!$A$5:$BA$5,0))</f>
        <v>28.598061421705903</v>
      </c>
      <c r="X60" s="6">
        <f>INDEX(DriversGams!$A$5:$BA$26,MATCH(Drivers!$A60,DriversGams!$A$5:$A$26,0),MATCH(Drivers!X$3,DriversGams!$A$5:$BA$5,0))</f>
        <v>29.574052355942065</v>
      </c>
      <c r="Y60" s="6">
        <f>INDEX(DriversGams!$A$5:$BA$26,MATCH(Drivers!$A60,DriversGams!$A$5:$A$26,0),MATCH(Drivers!Y$3,DriversGams!$A$5:$BA$5,0))</f>
        <v>30.667984233743397</v>
      </c>
      <c r="Z60" s="6">
        <f>INDEX(DriversGams!$A$5:$BA$26,MATCH(Drivers!$A60,DriversGams!$A$5:$A$26,0),MATCH(Drivers!Z$3,DriversGams!$A$5:$BA$5,0))</f>
        <v>31.856196033029612</v>
      </c>
      <c r="AA60" s="6">
        <f>INDEX(DriversGams!$A$5:$BA$26,MATCH(Drivers!$A60,DriversGams!$A$5:$A$26,0),MATCH(Drivers!AA$3,DriversGams!$A$5:$BA$5,0))</f>
        <v>33.112959816923464</v>
      </c>
      <c r="AB60" s="6">
        <f>INDEX(DriversGams!$A$5:$BA$26,MATCH(Drivers!$A60,DriversGams!$A$5:$A$26,0),MATCH(Drivers!AB$3,DriversGams!$A$5:$BA$5,0))</f>
        <v>34.430634639986565</v>
      </c>
      <c r="AC60" s="6">
        <f>INDEX(DriversGams!$A$5:$BA$26,MATCH(Drivers!$A60,DriversGams!$A$5:$A$26,0),MATCH(Drivers!AC$3,DriversGams!$A$5:$BA$5,0))</f>
        <v>35.826869432447566</v>
      </c>
      <c r="AD60" s="6">
        <f>INDEX(DriversGams!$A$5:$BA$26,MATCH(Drivers!$A60,DriversGams!$A$5:$A$26,0),MATCH(Drivers!AD$3,DriversGams!$A$5:$BA$5,0))</f>
        <v>37.244027147340439</v>
      </c>
      <c r="AE60" s="6">
        <f>INDEX(DriversGams!$A$5:$BA$26,MATCH(Drivers!$A60,DriversGams!$A$5:$A$26,0),MATCH(Drivers!AE$3,DriversGams!$A$5:$BA$5,0))</f>
        <v>38.667069968527365</v>
      </c>
      <c r="AF60" s="6">
        <f>INDEX(DriversGams!$A$5:$BA$26,MATCH(Drivers!$A60,DriversGams!$A$5:$A$26,0),MATCH(Drivers!AF$3,DriversGams!$A$5:$BA$5,0))</f>
        <v>46.307901128292194</v>
      </c>
      <c r="AG60" s="6">
        <f>INDEX(DriversGams!$A$5:$BA$26,MATCH(Drivers!$A60,DriversGams!$A$5:$A$26,0),MATCH(Drivers!AG$3,DriversGams!$A$5:$BA$5,0))</f>
        <v>55.49407340951408</v>
      </c>
      <c r="AH60" s="6">
        <f>INDEX(DriversGams!$A$5:$BA$26,MATCH(Drivers!$A60,DriversGams!$A$5:$A$26,0),MATCH(Drivers!AH$3,DriversGams!$A$5:$BA$5,0))</f>
        <v>65.054097292812685</v>
      </c>
      <c r="AI60" s="6">
        <f t="shared" si="120"/>
        <v>72.846318592081175</v>
      </c>
      <c r="AJ60" s="6">
        <f t="shared" si="121"/>
        <v>77.936760714612916</v>
      </c>
      <c r="AK60" s="6">
        <f t="shared" si="122"/>
        <v>79.663801928479032</v>
      </c>
      <c r="AL60" s="107"/>
      <c r="AM60" s="107"/>
      <c r="AN60" s="6">
        <v>65.054097292812685</v>
      </c>
      <c r="AO60" s="6">
        <v>72.846318592081175</v>
      </c>
      <c r="AP60" s="6">
        <v>77.936760714612916</v>
      </c>
      <c r="AQ60" s="6">
        <v>79.663801928479032</v>
      </c>
    </row>
    <row r="61" spans="1:43">
      <c r="A61" s="115" t="s">
        <v>577</v>
      </c>
      <c r="B61">
        <f t="shared" si="123"/>
        <v>15</v>
      </c>
      <c r="C61" s="265">
        <v>234.64829421512601</v>
      </c>
      <c r="D61" s="265">
        <v>241.75157173268613</v>
      </c>
      <c r="E61" s="265">
        <v>247.49716491255998</v>
      </c>
      <c r="F61" s="265">
        <v>250.49509082227485</v>
      </c>
      <c r="G61" s="265">
        <v>252.5592931181983</v>
      </c>
      <c r="H61" s="265">
        <v>256.25966914032193</v>
      </c>
      <c r="I61" s="265">
        <v>259.56135726080817</v>
      </c>
      <c r="J61" s="6">
        <f>INDEX(DriversGams!$A$5:$BA$26,MATCH(Drivers!$A61,DriversGams!$A$5:$A$26,0),MATCH(Drivers!J$3,DriversGams!$A$5:$BA$5,0))</f>
        <v>260.25</v>
      </c>
      <c r="K61" s="6">
        <f>INDEX(DriversGams!$A$5:$BA$26,MATCH(Drivers!$A61,DriversGams!$A$5:$A$26,0),MATCH(Drivers!K$3,DriversGams!$A$5:$BA$5,0))</f>
        <v>248.16</v>
      </c>
      <c r="L61" s="6">
        <f>INDEX(DriversGams!$A$5:$BA$26,MATCH(Drivers!$A61,DriversGams!$A$5:$A$26,0),MATCH(Drivers!L$3,DriversGams!$A$5:$BA$5,0))</f>
        <v>251.28962949003738</v>
      </c>
      <c r="M61" s="6">
        <f>INDEX(DriversGams!$A$5:$BA$26,MATCH(Drivers!$A61,DriversGams!$A$5:$A$26,0),MATCH(Drivers!M$3,DriversGams!$A$5:$BA$5,0))</f>
        <v>256.59374426527012</v>
      </c>
      <c r="N61" s="6">
        <f>INDEX(DriversGams!$A$5:$BA$26,MATCH(Drivers!$A61,DriversGams!$A$5:$A$26,0),MATCH(Drivers!N$3,DriversGams!$A$5:$BA$5,0))</f>
        <v>257.04223311889973</v>
      </c>
      <c r="O61" s="6">
        <f>INDEX(DriversGams!$A$5:$BA$26,MATCH(Drivers!$A61,DriversGams!$A$5:$A$26,0),MATCH(Drivers!O$3,DriversGams!$A$5:$BA$5,0))</f>
        <v>259.66596337614612</v>
      </c>
      <c r="P61" s="6">
        <f>INDEX(DriversGams!$A$5:$BA$26,MATCH(Drivers!$A61,DriversGams!$A$5:$A$26,0),MATCH(Drivers!P$3,DriversGams!$A$5:$BA$5,0))</f>
        <v>262.46517546472933</v>
      </c>
      <c r="Q61" s="6">
        <f>INDEX(DriversGams!$A$5:$BA$26,MATCH(Drivers!$A61,DriversGams!$A$5:$A$26,0),MATCH(Drivers!Q$3,DriversGams!$A$5:$BA$5,0))</f>
        <v>266.60245130882288</v>
      </c>
      <c r="R61" s="6">
        <f>INDEX(DriversGams!$A$5:$BA$26,MATCH(Drivers!$A61,DriversGams!$A$5:$A$26,0),MATCH(Drivers!R$3,DriversGams!$A$5:$BA$5,0))</f>
        <v>271.2797333650289</v>
      </c>
      <c r="S61" s="6">
        <f>INDEX(DriversGams!$A$5:$BA$26,MATCH(Drivers!$A61,DriversGams!$A$5:$A$26,0),MATCH(Drivers!S$3,DriversGams!$A$5:$BA$5,0))</f>
        <v>276.40159402505213</v>
      </c>
      <c r="T61" s="6">
        <f>INDEX(DriversGams!$A$5:$BA$26,MATCH(Drivers!$A61,DriversGams!$A$5:$A$26,0),MATCH(Drivers!T$3,DriversGams!$A$5:$BA$5,0))</f>
        <v>282.85543386033504</v>
      </c>
      <c r="U61" s="6">
        <f>INDEX(DriversGams!$A$5:$BA$26,MATCH(Drivers!$A61,DriversGams!$A$5:$A$26,0),MATCH(Drivers!U$3,DriversGams!$A$5:$BA$5,0))</f>
        <v>290.70911594610016</v>
      </c>
      <c r="V61" s="6">
        <f>INDEX(DriversGams!$A$5:$BA$26,MATCH(Drivers!$A61,DriversGams!$A$5:$A$26,0),MATCH(Drivers!V$3,DriversGams!$A$5:$BA$5,0))</f>
        <v>300.00739029163185</v>
      </c>
      <c r="W61" s="6">
        <f>INDEX(DriversGams!$A$5:$BA$26,MATCH(Drivers!$A61,DriversGams!$A$5:$A$26,0),MATCH(Drivers!W$3,DriversGams!$A$5:$BA$5,0))</f>
        <v>309.72307469825057</v>
      </c>
      <c r="X61" s="6">
        <f>INDEX(DriversGams!$A$5:$BA$26,MATCH(Drivers!$A61,DriversGams!$A$5:$A$26,0),MATCH(Drivers!X$3,DriversGams!$A$5:$BA$5,0))</f>
        <v>320.29326365517778</v>
      </c>
      <c r="Y61" s="6">
        <f>INDEX(DriversGams!$A$5:$BA$26,MATCH(Drivers!$A61,DriversGams!$A$5:$A$26,0),MATCH(Drivers!Y$3,DriversGams!$A$5:$BA$5,0))</f>
        <v>332.14077806207735</v>
      </c>
      <c r="Z61" s="6">
        <f>INDEX(DriversGams!$A$5:$BA$26,MATCH(Drivers!$A61,DriversGams!$A$5:$A$26,0),MATCH(Drivers!Z$3,DriversGams!$A$5:$BA$5,0))</f>
        <v>345.00936402812971</v>
      </c>
      <c r="AA61" s="6">
        <f>INDEX(DriversGams!$A$5:$BA$26,MATCH(Drivers!$A61,DriversGams!$A$5:$A$26,0),MATCH(Drivers!AA$3,DriversGams!$A$5:$BA$5,0))</f>
        <v>358.62038253659307</v>
      </c>
      <c r="AB61" s="6">
        <f>INDEX(DriversGams!$A$5:$BA$26,MATCH(Drivers!$A61,DriversGams!$A$5:$A$26,0),MATCH(Drivers!AB$3,DriversGams!$A$5:$BA$5,0))</f>
        <v>372.89108052669593</v>
      </c>
      <c r="AC61" s="6">
        <f>INDEX(DriversGams!$A$5:$BA$26,MATCH(Drivers!$A61,DriversGams!$A$5:$A$26,0),MATCH(Drivers!AC$3,DriversGams!$A$5:$BA$5,0))</f>
        <v>388.01259965853018</v>
      </c>
      <c r="AD61" s="6">
        <f>INDEX(DriversGams!$A$5:$BA$26,MATCH(Drivers!$A61,DriversGams!$A$5:$A$26,0),MATCH(Drivers!AD$3,DriversGams!$A$5:$BA$5,0))</f>
        <v>403.36071848087181</v>
      </c>
      <c r="AE61" s="6">
        <f>INDEX(DriversGams!$A$5:$BA$26,MATCH(Drivers!$A61,DriversGams!$A$5:$A$26,0),MATCH(Drivers!AE$3,DriversGams!$A$5:$BA$5,0))</f>
        <v>418.7725742534019</v>
      </c>
      <c r="AF61" s="6">
        <f>INDEX(DriversGams!$A$5:$BA$26,MATCH(Drivers!$A61,DriversGams!$A$5:$A$26,0),MATCH(Drivers!AF$3,DriversGams!$A$5:$BA$5,0))</f>
        <v>501.52439736321446</v>
      </c>
      <c r="AG61" s="6">
        <f>INDEX(DriversGams!$A$5:$BA$26,MATCH(Drivers!$A61,DriversGams!$A$5:$A$26,0),MATCH(Drivers!AG$3,DriversGams!$A$5:$BA$5,0))</f>
        <v>601.01259279342662</v>
      </c>
      <c r="AH61" s="6">
        <f>INDEX(DriversGams!$A$5:$BA$26,MATCH(Drivers!$A61,DriversGams!$A$5:$A$26,0),MATCH(Drivers!AH$3,DriversGams!$A$5:$BA$5,0))</f>
        <v>704.5496804184146</v>
      </c>
      <c r="AI61" s="6">
        <f t="shared" si="120"/>
        <v>788.94109086929359</v>
      </c>
      <c r="AJ61" s="6">
        <f t="shared" si="121"/>
        <v>844.07165942480287</v>
      </c>
      <c r="AK61" s="6">
        <f t="shared" si="122"/>
        <v>862.77588230905803</v>
      </c>
      <c r="AL61" s="107"/>
      <c r="AM61" s="107"/>
      <c r="AN61" s="6">
        <v>704.5496804184146</v>
      </c>
      <c r="AO61" s="6">
        <v>788.94109086929359</v>
      </c>
      <c r="AP61" s="6">
        <v>844.07165942480287</v>
      </c>
      <c r="AQ61" s="6">
        <v>862.77588230905815</v>
      </c>
    </row>
    <row r="62" spans="1:43">
      <c r="A62" s="115" t="s">
        <v>576</v>
      </c>
      <c r="B62">
        <f t="shared" si="123"/>
        <v>16</v>
      </c>
      <c r="C62" s="265">
        <v>40.911909200944407</v>
      </c>
      <c r="D62" s="265">
        <v>43.472466890059046</v>
      </c>
      <c r="E62" s="265">
        <v>46.683336524652951</v>
      </c>
      <c r="F62" s="265">
        <v>48.977367480453168</v>
      </c>
      <c r="G62" s="265">
        <v>50.507366203925315</v>
      </c>
      <c r="H62" s="265">
        <v>54.114758895803412</v>
      </c>
      <c r="I62" s="265">
        <v>58.020027445348646</v>
      </c>
      <c r="J62" s="6">
        <f>INDEX(DriversGams!$A$5:$BA$26,MATCH(Drivers!$A62,DriversGams!$A$5:$A$26,0),MATCH(Drivers!J$3,DriversGams!$A$5:$BA$5,0))</f>
        <v>60.61</v>
      </c>
      <c r="K62" s="6">
        <f>INDEX(DriversGams!$A$5:$BA$26,MATCH(Drivers!$A62,DriversGams!$A$5:$A$26,0),MATCH(Drivers!K$3,DriversGams!$A$5:$BA$5,0))</f>
        <v>58.58</v>
      </c>
      <c r="L62" s="6">
        <f>INDEX(DriversGams!$A$5:$BA$26,MATCH(Drivers!$A62,DriversGams!$A$5:$A$26,0),MATCH(Drivers!L$3,DriversGams!$A$5:$BA$5,0))</f>
        <v>58.523206314663462</v>
      </c>
      <c r="M62" s="6">
        <f>INDEX(DriversGams!$A$5:$BA$26,MATCH(Drivers!$A62,DriversGams!$A$5:$A$26,0),MATCH(Drivers!M$3,DriversGams!$A$5:$BA$5,0))</f>
        <v>59.75848929843621</v>
      </c>
      <c r="N62" s="6">
        <f>INDEX(DriversGams!$A$5:$BA$26,MATCH(Drivers!$A62,DriversGams!$A$5:$A$26,0),MATCH(Drivers!N$3,DriversGams!$A$5:$BA$5,0))</f>
        <v>59.862938518103803</v>
      </c>
      <c r="O62" s="6">
        <f>INDEX(DriversGams!$A$5:$BA$26,MATCH(Drivers!$A62,DriversGams!$A$5:$A$26,0),MATCH(Drivers!O$3,DriversGams!$A$5:$BA$5,0))</f>
        <v>60.473982863509001</v>
      </c>
      <c r="P62" s="6">
        <f>INDEX(DriversGams!$A$5:$BA$26,MATCH(Drivers!$A62,DriversGams!$A$5:$A$26,0),MATCH(Drivers!P$3,DriversGams!$A$5:$BA$5,0))</f>
        <v>61.125895427155598</v>
      </c>
      <c r="Q62" s="6">
        <f>INDEX(DriversGams!$A$5:$BA$26,MATCH(Drivers!$A62,DriversGams!$A$5:$A$26,0),MATCH(Drivers!Q$3,DriversGams!$A$5:$BA$5,0))</f>
        <v>62.089431599722403</v>
      </c>
      <c r="R62" s="6">
        <f>INDEX(DriversGams!$A$5:$BA$26,MATCH(Drivers!$A62,DriversGams!$A$5:$A$26,0),MATCH(Drivers!R$3,DriversGams!$A$5:$BA$5,0))</f>
        <v>63.178730602322389</v>
      </c>
      <c r="S62" s="6">
        <f>INDEX(DriversGams!$A$5:$BA$26,MATCH(Drivers!$A62,DriversGams!$A$5:$A$26,0),MATCH(Drivers!S$3,DriversGams!$A$5:$BA$5,0))</f>
        <v>64.371568160839232</v>
      </c>
      <c r="T62" s="6">
        <f>INDEX(DriversGams!$A$5:$BA$26,MATCH(Drivers!$A62,DriversGams!$A$5:$A$26,0),MATCH(Drivers!T$3,DriversGams!$A$5:$BA$5,0))</f>
        <v>65.874612281555841</v>
      </c>
      <c r="U62" s="6">
        <f>INDEX(DriversGams!$A$5:$BA$26,MATCH(Drivers!$A62,DriversGams!$A$5:$A$26,0),MATCH(Drivers!U$3,DriversGams!$A$5:$BA$5,0))</f>
        <v>67.703667694498108</v>
      </c>
      <c r="V62" s="6">
        <f>INDEX(DriversGams!$A$5:$BA$26,MATCH(Drivers!$A62,DriversGams!$A$5:$A$26,0),MATCH(Drivers!V$3,DriversGams!$A$5:$BA$5,0))</f>
        <v>69.869156294239403</v>
      </c>
      <c r="W62" s="6">
        <f>INDEX(DriversGams!$A$5:$BA$26,MATCH(Drivers!$A62,DriversGams!$A$5:$A$26,0),MATCH(Drivers!W$3,DriversGams!$A$5:$BA$5,0))</f>
        <v>72.131856128572394</v>
      </c>
      <c r="X62" s="6">
        <f>INDEX(DriversGams!$A$5:$BA$26,MATCH(Drivers!$A62,DriversGams!$A$5:$A$26,0),MATCH(Drivers!X$3,DriversGams!$A$5:$BA$5,0))</f>
        <v>74.593562767109802</v>
      </c>
      <c r="Y62" s="6">
        <f>INDEX(DriversGams!$A$5:$BA$26,MATCH(Drivers!$A62,DriversGams!$A$5:$A$26,0),MATCH(Drivers!Y$3,DriversGams!$A$5:$BA$5,0))</f>
        <v>77.352747582488021</v>
      </c>
      <c r="Z62" s="6">
        <f>INDEX(DriversGams!$A$5:$BA$26,MATCH(Drivers!$A62,DriversGams!$A$5:$A$26,0),MATCH(Drivers!Z$3,DriversGams!$A$5:$BA$5,0))</f>
        <v>80.349731234370566</v>
      </c>
      <c r="AA62" s="6">
        <f>INDEX(DriversGams!$A$5:$BA$26,MATCH(Drivers!$A62,DriversGams!$A$5:$A$26,0),MATCH(Drivers!AA$3,DriversGams!$A$5:$BA$5,0))</f>
        <v>83.519621077974662</v>
      </c>
      <c r="AB62" s="6">
        <f>INDEX(DriversGams!$A$5:$BA$26,MATCH(Drivers!$A62,DriversGams!$A$5:$A$26,0),MATCH(Drivers!AB$3,DriversGams!$A$5:$BA$5,0))</f>
        <v>86.843144632941559</v>
      </c>
      <c r="AC62" s="6">
        <f>INDEX(DriversGams!$A$5:$BA$26,MATCH(Drivers!$A62,DriversGams!$A$5:$A$26,0),MATCH(Drivers!AC$3,DriversGams!$A$5:$BA$5,0))</f>
        <v>90.364817157746444</v>
      </c>
      <c r="AD62" s="6">
        <f>INDEX(DriversGams!$A$5:$BA$26,MATCH(Drivers!$A62,DriversGams!$A$5:$A$26,0),MATCH(Drivers!AD$3,DriversGams!$A$5:$BA$5,0))</f>
        <v>93.939262813162884</v>
      </c>
      <c r="AE62" s="6">
        <f>INDEX(DriversGams!$A$5:$BA$26,MATCH(Drivers!$A62,DriversGams!$A$5:$A$26,0),MATCH(Drivers!AE$3,DriversGams!$A$5:$BA$5,0))</f>
        <v>97.528552259360964</v>
      </c>
      <c r="AF62" s="6">
        <f>INDEX(DriversGams!$A$5:$BA$26,MATCH(Drivers!$A62,DriversGams!$A$5:$A$26,0),MATCH(Drivers!AF$3,DriversGams!$A$5:$BA$5,0))</f>
        <v>116.80074437726967</v>
      </c>
      <c r="AG62" s="6">
        <f>INDEX(DriversGams!$A$5:$BA$26,MATCH(Drivers!$A62,DriversGams!$A$5:$A$26,0),MATCH(Drivers!AG$3,DriversGams!$A$5:$BA$5,0))</f>
        <v>139.97069452145854</v>
      </c>
      <c r="AH62" s="6">
        <f>INDEX(DriversGams!$A$5:$BA$26,MATCH(Drivers!$A62,DriversGams!$A$5:$A$26,0),MATCH(Drivers!AH$3,DriversGams!$A$5:$BA$5,0))</f>
        <v>164.08359704192165</v>
      </c>
      <c r="AI62" s="6">
        <f t="shared" si="120"/>
        <v>183.73763503395921</v>
      </c>
      <c r="AJ62" s="6">
        <f t="shared" si="121"/>
        <v>196.57707311330375</v>
      </c>
      <c r="AK62" s="6">
        <f t="shared" si="122"/>
        <v>200.93312671182329</v>
      </c>
      <c r="AL62" s="107"/>
      <c r="AM62" s="107"/>
      <c r="AN62" s="6">
        <v>164.08359704192165</v>
      </c>
      <c r="AO62" s="6">
        <v>183.73763503395921</v>
      </c>
      <c r="AP62" s="6">
        <v>196.57707311330375</v>
      </c>
      <c r="AQ62" s="6">
        <v>200.93312671182329</v>
      </c>
    </row>
    <row r="63" spans="1:43">
      <c r="A63" s="115" t="s">
        <v>801</v>
      </c>
      <c r="B63">
        <f t="shared" si="123"/>
        <v>17</v>
      </c>
      <c r="C63" s="265">
        <v>6.4158612357306808</v>
      </c>
      <c r="D63" s="265">
        <v>6.604363287904599</v>
      </c>
      <c r="E63" s="265">
        <v>6.7999637989778527</v>
      </c>
      <c r="F63" s="265">
        <v>6.9251895229982949</v>
      </c>
      <c r="G63" s="265">
        <v>6.9893547700170355</v>
      </c>
      <c r="H63" s="265">
        <v>7.0969867972742753</v>
      </c>
      <c r="I63" s="265">
        <v>7.234631601362862</v>
      </c>
      <c r="J63" s="6">
        <f>INDEX(DriversGams!$A$5:$BA$26,MATCH(Drivers!$A63,DriversGams!$A$5:$A$26,0),MATCH(Drivers!J$3,DriversGams!$A$5:$BA$5,0))</f>
        <v>7.29</v>
      </c>
      <c r="K63" s="6">
        <f>INDEX(DriversGams!$A$5:$BA$26,MATCH(Drivers!$A63,DriversGams!$A$5:$A$26,0),MATCH(Drivers!K$3,DriversGams!$A$5:$BA$5,0))</f>
        <v>6.9</v>
      </c>
      <c r="L63" s="6">
        <f>INDEX(DriversGams!$A$5:$BA$26,MATCH(Drivers!$A63,DriversGams!$A$5:$A$26,0),MATCH(Drivers!L$3,DriversGams!$A$5:$BA$5,0))</f>
        <v>7.0390063361474446</v>
      </c>
      <c r="M63" s="6">
        <f>INDEX(DriversGams!$A$5:$BA$26,MATCH(Drivers!$A63,DriversGams!$A$5:$A$26,0),MATCH(Drivers!M$3,DriversGams!$A$5:$BA$5,0))</f>
        <v>7.1875826923873936</v>
      </c>
      <c r="N63" s="6">
        <f>INDEX(DriversGams!$A$5:$BA$26,MATCH(Drivers!$A63,DriversGams!$A$5:$A$26,0),MATCH(Drivers!N$3,DriversGams!$A$5:$BA$5,0))</f>
        <v>7.2001455501893528</v>
      </c>
      <c r="O63" s="6">
        <f>INDEX(DriversGams!$A$5:$BA$26,MATCH(Drivers!$A63,DriversGams!$A$5:$A$26,0),MATCH(Drivers!O$3,DriversGams!$A$5:$BA$5,0))</f>
        <v>7.2736402421214414</v>
      </c>
      <c r="P63" s="6">
        <f>INDEX(DriversGams!$A$5:$BA$26,MATCH(Drivers!$A63,DriversGams!$A$5:$A$26,0),MATCH(Drivers!P$3,DriversGams!$A$5:$BA$5,0))</f>
        <v>7.3520504481762794</v>
      </c>
      <c r="Q63" s="6">
        <f>INDEX(DriversGams!$A$5:$BA$26,MATCH(Drivers!$A63,DriversGams!$A$5:$A$26,0),MATCH(Drivers!Q$3,DriversGams!$A$5:$BA$5,0))</f>
        <v>7.4679418637514647</v>
      </c>
      <c r="R63" s="6">
        <f>INDEX(DriversGams!$A$5:$BA$26,MATCH(Drivers!$A63,DriversGams!$A$5:$A$26,0),MATCH(Drivers!R$3,DriversGams!$A$5:$BA$5,0))</f>
        <v>7.59895967812127</v>
      </c>
      <c r="S63" s="6">
        <f>INDEX(DriversGams!$A$5:$BA$26,MATCH(Drivers!$A63,DriversGams!$A$5:$A$26,0),MATCH(Drivers!S$3,DriversGams!$A$5:$BA$5,0))</f>
        <v>7.7424308182233617</v>
      </c>
      <c r="T63" s="6">
        <f>INDEX(DriversGams!$A$5:$BA$26,MATCH(Drivers!$A63,DriversGams!$A$5:$A$26,0),MATCH(Drivers!T$3,DriversGams!$A$5:$BA$5,0))</f>
        <v>7.9232127294595296</v>
      </c>
      <c r="U63" s="6">
        <f>INDEX(DriversGams!$A$5:$BA$26,MATCH(Drivers!$A63,DriversGams!$A$5:$A$26,0),MATCH(Drivers!U$3,DriversGams!$A$5:$BA$5,0))</f>
        <v>8.1432063602192901</v>
      </c>
      <c r="V63" s="6">
        <f>INDEX(DriversGams!$A$5:$BA$26,MATCH(Drivers!$A63,DriversGams!$A$5:$A$26,0),MATCH(Drivers!V$3,DriversGams!$A$5:$BA$5,0))</f>
        <v>8.4036652266128566</v>
      </c>
      <c r="W63" s="6">
        <f>INDEX(DriversGams!$A$5:$BA$26,MATCH(Drivers!$A63,DriversGams!$A$5:$A$26,0),MATCH(Drivers!W$3,DriversGams!$A$5:$BA$5,0))</f>
        <v>8.6758163863602178</v>
      </c>
      <c r="X63" s="6">
        <f>INDEX(DriversGams!$A$5:$BA$26,MATCH(Drivers!$A63,DriversGams!$A$5:$A$26,0),MATCH(Drivers!X$3,DriversGams!$A$5:$BA$5,0))</f>
        <v>8.9719035237127613</v>
      </c>
      <c r="Y63" s="6">
        <f>INDEX(DriversGams!$A$5:$BA$26,MATCH(Drivers!$A63,DriversGams!$A$5:$A$26,0),MATCH(Drivers!Y$3,DriversGams!$A$5:$BA$5,0))</f>
        <v>9.3037704978772098</v>
      </c>
      <c r="Z63" s="6">
        <f>INDEX(DriversGams!$A$5:$BA$26,MATCH(Drivers!$A63,DriversGams!$A$5:$A$26,0),MATCH(Drivers!Z$3,DriversGams!$A$5:$BA$5,0))</f>
        <v>9.6642392459752742</v>
      </c>
      <c r="AA63" s="6">
        <f>INDEX(DriversGams!$A$5:$BA$26,MATCH(Drivers!$A63,DriversGams!$A$5:$A$26,0),MATCH(Drivers!AA$3,DriversGams!$A$5:$BA$5,0))</f>
        <v>10.045504663561051</v>
      </c>
      <c r="AB63" s="6">
        <f>INDEX(DriversGams!$A$5:$BA$26,MATCH(Drivers!$A63,DriversGams!$A$5:$A$26,0),MATCH(Drivers!AB$3,DriversGams!$A$5:$BA$5,0))</f>
        <v>10.445248711007158</v>
      </c>
      <c r="AC63" s="6">
        <f>INDEX(DriversGams!$A$5:$BA$26,MATCH(Drivers!$A63,DriversGams!$A$5:$A$26,0),MATCH(Drivers!AC$3,DriversGams!$A$5:$BA$5,0))</f>
        <v>10.86882555815825</v>
      </c>
      <c r="AD63" s="6">
        <f>INDEX(DriversGams!$A$5:$BA$26,MATCH(Drivers!$A63,DriversGams!$A$5:$A$26,0),MATCH(Drivers!AD$3,DriversGams!$A$5:$BA$5,0))</f>
        <v>11.298749808743729</v>
      </c>
      <c r="AE63" s="6">
        <f>INDEX(DriversGams!$A$5:$BA$26,MATCH(Drivers!$A63,DriversGams!$A$5:$A$26,0),MATCH(Drivers!AE$3,DriversGams!$A$5:$BA$5,0))</f>
        <v>11.730459428654369</v>
      </c>
      <c r="AF63" s="6">
        <f>INDEX(DriversGams!$A$5:$BA$26,MATCH(Drivers!$A63,DriversGams!$A$5:$A$26,0),MATCH(Drivers!AF$3,DriversGams!$A$5:$BA$5,0))</f>
        <v>14.048464387234709</v>
      </c>
      <c r="AG63" s="6">
        <f>INDEX(DriversGams!$A$5:$BA$26,MATCH(Drivers!$A63,DriversGams!$A$5:$A$26,0),MATCH(Drivers!AG$3,DriversGams!$A$5:$BA$5,0))</f>
        <v>16.835280697268317</v>
      </c>
      <c r="AH63" s="6">
        <f>INDEX(DriversGams!$A$5:$BA$26,MATCH(Drivers!$A63,DriversGams!$A$5:$A$26,0),MATCH(Drivers!AH$3,DriversGams!$A$5:$BA$5,0))</f>
        <v>19.735512661864522</v>
      </c>
      <c r="AI63" s="6">
        <f t="shared" si="120"/>
        <v>22.099444966136986</v>
      </c>
      <c r="AJ63" s="6">
        <f t="shared" si="121"/>
        <v>23.643736396567963</v>
      </c>
      <c r="AK63" s="6">
        <f t="shared" si="122"/>
        <v>24.16767024796555</v>
      </c>
      <c r="AL63" s="107"/>
      <c r="AM63" s="107"/>
      <c r="AN63" s="6">
        <v>19.735512661864522</v>
      </c>
      <c r="AO63" s="6">
        <v>22.099444966136986</v>
      </c>
      <c r="AP63" s="6">
        <v>23.643736396567963</v>
      </c>
      <c r="AQ63" s="6">
        <v>24.167670247965546</v>
      </c>
    </row>
    <row r="64" spans="1:43">
      <c r="A64" s="115" t="s">
        <v>581</v>
      </c>
      <c r="B64">
        <f t="shared" si="123"/>
        <v>18</v>
      </c>
      <c r="C64" s="265">
        <v>125.48003402211921</v>
      </c>
      <c r="D64" s="265">
        <v>127.1852732099033</v>
      </c>
      <c r="E64" s="265">
        <v>121.33259319855085</v>
      </c>
      <c r="F64" s="265">
        <v>115.48558072755804</v>
      </c>
      <c r="G64" s="265">
        <v>115.29855189569106</v>
      </c>
      <c r="H64" s="265">
        <v>115.15875256682079</v>
      </c>
      <c r="I64" s="265">
        <v>113.64929765104591</v>
      </c>
      <c r="J64" s="6">
        <f>INDEX(DriversGams!$A$5:$BA$26,MATCH(Drivers!$A64,DriversGams!$A$5:$A$26,0),MATCH(Drivers!J$3,DriversGams!$A$5:$BA$5,0))</f>
        <v>113.16</v>
      </c>
      <c r="K64" s="6">
        <f>INDEX(DriversGams!$A$5:$BA$26,MATCH(Drivers!$A64,DriversGams!$A$5:$A$26,0),MATCH(Drivers!K$3,DriversGams!$A$5:$BA$5,0))</f>
        <v>108.36</v>
      </c>
      <c r="L64" s="6">
        <f>INDEX(DriversGams!$A$5:$BA$26,MATCH(Drivers!$A64,DriversGams!$A$5:$A$26,0),MATCH(Drivers!L$3,DriversGams!$A$5:$BA$5,0))</f>
        <v>107.78666666482698</v>
      </c>
      <c r="M64" s="6">
        <f>INDEX(DriversGams!$A$5:$BA$26,MATCH(Drivers!$A64,DriversGams!$A$5:$A$26,0),MATCH(Drivers!M$3,DriversGams!$A$5:$BA$5,0))</f>
        <v>107.34279569525077</v>
      </c>
      <c r="N64" s="6">
        <f>INDEX(DriversGams!$A$5:$BA$26,MATCH(Drivers!$A64,DriversGams!$A$5:$A$26,0),MATCH(Drivers!N$3,DriversGams!$A$5:$BA$5,0))</f>
        <v>107.87913977939523</v>
      </c>
      <c r="O64" s="6">
        <f>INDEX(DriversGams!$A$5:$BA$26,MATCH(Drivers!$A64,DriversGams!$A$5:$A$26,0),MATCH(Drivers!O$3,DriversGams!$A$5:$BA$5,0))</f>
        <v>108.69290321835018</v>
      </c>
      <c r="P64" s="6">
        <f>INDEX(DriversGams!$A$5:$BA$26,MATCH(Drivers!$A64,DriversGams!$A$5:$A$26,0),MATCH(Drivers!P$3,DriversGams!$A$5:$BA$5,0))</f>
        <v>110.17247310884716</v>
      </c>
      <c r="Q64" s="6">
        <f>INDEX(DriversGams!$A$5:$BA$26,MATCH(Drivers!$A64,DriversGams!$A$5:$A$26,0),MATCH(Drivers!Q$3,DriversGams!$A$5:$BA$5,0))</f>
        <v>109.41419353718287</v>
      </c>
      <c r="R64" s="6">
        <f>INDEX(DriversGams!$A$5:$BA$26,MATCH(Drivers!$A64,DriversGams!$A$5:$A$26,0),MATCH(Drivers!R$3,DriversGams!$A$5:$BA$5,0))</f>
        <v>109.1182795568741</v>
      </c>
      <c r="S64" s="6">
        <f>INDEX(DriversGams!$A$5:$BA$26,MATCH(Drivers!$A64,DriversGams!$A$5:$A$26,0),MATCH(Drivers!S$3,DriversGams!$A$5:$BA$5,0))</f>
        <v>109.89505374846721</v>
      </c>
      <c r="T64" s="6">
        <f>INDEX(DriversGams!$A$5:$BA$26,MATCH(Drivers!$A64,DriversGams!$A$5:$A$26,0),MATCH(Drivers!T$3,DriversGams!$A$5:$BA$5,0))</f>
        <v>110.50537632716949</v>
      </c>
      <c r="U64" s="6">
        <f>INDEX(DriversGams!$A$5:$BA$26,MATCH(Drivers!$A64,DriversGams!$A$5:$A$26,0),MATCH(Drivers!U$3,DriversGams!$A$5:$BA$5,0))</f>
        <v>111.2266666477782</v>
      </c>
      <c r="V64" s="6">
        <f>INDEX(DriversGams!$A$5:$BA$26,MATCH(Drivers!$A64,DriversGams!$A$5:$A$26,0),MATCH(Drivers!V$3,DriversGams!$A$5:$BA$5,0))</f>
        <v>110.72731180731216</v>
      </c>
      <c r="W64" s="6">
        <f>INDEX(DriversGams!$A$5:$BA$26,MATCH(Drivers!$A64,DriversGams!$A$5:$A$26,0),MATCH(Drivers!W$3,DriversGams!$A$5:$BA$5,0))</f>
        <v>110.61634406354978</v>
      </c>
      <c r="X64" s="6">
        <f>INDEX(DriversGams!$A$5:$BA$26,MATCH(Drivers!$A64,DriversGams!$A$5:$A$26,0),MATCH(Drivers!X$3,DriversGams!$A$5:$BA$5,0))</f>
        <v>109.19225804050805</v>
      </c>
      <c r="Y64" s="6">
        <f>INDEX(DriversGams!$A$5:$BA$26,MATCH(Drivers!$A64,DriversGams!$A$5:$A$26,0),MATCH(Drivers!Y$3,DriversGams!$A$5:$BA$5,0))</f>
        <v>108.76688169467332</v>
      </c>
      <c r="Z64" s="6">
        <f>INDEX(DriversGams!$A$5:$BA$26,MATCH(Drivers!$A64,DriversGams!$A$5:$A$26,0),MATCH(Drivers!Z$3,DriversGams!$A$5:$BA$5,0))</f>
        <v>106.7509677148409</v>
      </c>
      <c r="AA64" s="6">
        <f>INDEX(DriversGams!$A$5:$BA$26,MATCH(Drivers!$A64,DriversGams!$A$5:$A$26,0),MATCH(Drivers!AA$3,DriversGams!$A$5:$BA$5,0))</f>
        <v>104.7535483586943</v>
      </c>
      <c r="AB64" s="6">
        <f>INDEX(DriversGams!$A$5:$BA$26,MATCH(Drivers!$A64,DriversGams!$A$5:$A$26,0),MATCH(Drivers!AB$3,DriversGams!$A$5:$BA$5,0))</f>
        <v>103.66236556146104</v>
      </c>
      <c r="AC64" s="6">
        <f>INDEX(DriversGams!$A$5:$BA$26,MATCH(Drivers!$A64,DriversGams!$A$5:$A$26,0),MATCH(Drivers!AC$3,DriversGams!$A$5:$BA$5,0))</f>
        <v>101.60946233443462</v>
      </c>
      <c r="AD64" s="6">
        <f>INDEX(DriversGams!$A$5:$BA$26,MATCH(Drivers!$A64,DriversGams!$A$5:$A$26,0),MATCH(Drivers!AD$3,DriversGams!$A$5:$BA$5,0))</f>
        <v>99.556559107445565</v>
      </c>
      <c r="AE64" s="6">
        <f>INDEX(DriversGams!$A$5:$BA$26,MATCH(Drivers!$A64,DriversGams!$A$5:$A$26,0),MATCH(Drivers!AE$3,DriversGams!$A$5:$BA$5,0))</f>
        <v>97.46666663319553</v>
      </c>
      <c r="AF64" s="6">
        <f>INDEX(DriversGams!$A$5:$BA$26,MATCH(Drivers!$A64,DriversGams!$A$5:$A$26,0),MATCH(Drivers!AF$3,DriversGams!$A$5:$BA$5,0))</f>
        <v>92.103225765883934</v>
      </c>
      <c r="AG64" s="6">
        <f>INDEX(DriversGams!$A$5:$BA$26,MATCH(Drivers!$A64,DriversGams!$A$5:$A$26,0),MATCH(Drivers!AG$3,DriversGams!$A$5:$BA$5,0))</f>
        <v>86.813763393698707</v>
      </c>
      <c r="AH64" s="6">
        <f>INDEX(DriversGams!$A$5:$BA$26,MATCH(Drivers!$A64,DriversGams!$A$5:$A$26,0),MATCH(Drivers!AH$3,DriversGams!$A$5:$BA$5,0))</f>
        <v>81.728458246781216</v>
      </c>
      <c r="AI64" s="6">
        <f t="shared" si="120"/>
        <v>76.941035917361077</v>
      </c>
      <c r="AJ64" s="6">
        <f t="shared" si="121"/>
        <v>72.434047271040967</v>
      </c>
      <c r="AK64" s="6">
        <f t="shared" si="122"/>
        <v>68.19106529445007</v>
      </c>
      <c r="AL64" s="107"/>
      <c r="AM64" s="107"/>
      <c r="AN64" s="6">
        <v>81.728458246781216</v>
      </c>
      <c r="AO64" s="6">
        <v>76.941035917361077</v>
      </c>
      <c r="AP64" s="6">
        <v>72.434047271040967</v>
      </c>
      <c r="AQ64" s="6">
        <v>68.19106529445007</v>
      </c>
    </row>
    <row r="65" spans="1:43">
      <c r="A65" s="115" t="s">
        <v>511</v>
      </c>
      <c r="B65">
        <f t="shared" si="123"/>
        <v>19</v>
      </c>
      <c r="C65" s="265">
        <v>154.18842101590053</v>
      </c>
      <c r="D65" s="265">
        <v>151.87047226763119</v>
      </c>
      <c r="E65" s="265">
        <v>148.71168942836181</v>
      </c>
      <c r="F65" s="265">
        <v>145.49800306349678</v>
      </c>
      <c r="G65" s="265">
        <v>142.32274916654868</v>
      </c>
      <c r="H65" s="265">
        <v>141.64560568420242</v>
      </c>
      <c r="I65" s="265">
        <v>143.22499710383713</v>
      </c>
      <c r="J65" s="6">
        <f>INDEX(DriversGams!$A$5:$BA$26,MATCH(Drivers!$A65,DriversGams!$A$5:$A$26,0),MATCH(Drivers!J$3,DriversGams!$A$5:$BA$5,0))</f>
        <v>142.18</v>
      </c>
      <c r="K65" s="6">
        <f>INDEX(DriversGams!$A$5:$BA$26,MATCH(Drivers!$A65,DriversGams!$A$5:$A$26,0),MATCH(Drivers!K$3,DriversGams!$A$5:$BA$5,0))</f>
        <v>135.41</v>
      </c>
      <c r="L65" s="6">
        <f>INDEX(DriversGams!$A$5:$BA$26,MATCH(Drivers!$A65,DriversGams!$A$5:$A$26,0),MATCH(Drivers!L$3,DriversGams!$A$5:$BA$5,0))</f>
        <v>137.2847628084285</v>
      </c>
      <c r="M65" s="6">
        <f>INDEX(DriversGams!$A$5:$BA$26,MATCH(Drivers!$A65,DriversGams!$A$5:$A$26,0),MATCH(Drivers!M$3,DriversGams!$A$5:$BA$5,0))</f>
        <v>140.18251127621943</v>
      </c>
      <c r="N65" s="6">
        <f>INDEX(DriversGams!$A$5:$BA$26,MATCH(Drivers!$A65,DriversGams!$A$5:$A$26,0),MATCH(Drivers!N$3,DriversGams!$A$5:$BA$5,0))</f>
        <v>140.42753008586038</v>
      </c>
      <c r="O65" s="6">
        <f>INDEX(DriversGams!$A$5:$BA$26,MATCH(Drivers!$A65,DriversGams!$A$5:$A$26,0),MATCH(Drivers!O$3,DriversGams!$A$5:$BA$5,0))</f>
        <v>141.86092861794606</v>
      </c>
      <c r="P65" s="6">
        <f>INDEX(DriversGams!$A$5:$BA$26,MATCH(Drivers!$A65,DriversGams!$A$5:$A$26,0),MATCH(Drivers!P$3,DriversGams!$A$5:$BA$5,0))</f>
        <v>143.39019653246962</v>
      </c>
      <c r="Q65" s="6">
        <f>INDEX(DriversGams!$A$5:$BA$26,MATCH(Drivers!$A65,DriversGams!$A$5:$A$26,0),MATCH(Drivers!Q$3,DriversGams!$A$5:$BA$5,0))</f>
        <v>145.65047656902379</v>
      </c>
      <c r="R65" s="6">
        <f>INDEX(DriversGams!$A$5:$BA$26,MATCH(Drivers!$A65,DriversGams!$A$5:$A$26,0),MATCH(Drivers!R$3,DriversGams!$A$5:$BA$5,0))</f>
        <v>148.20577325586862</v>
      </c>
      <c r="S65" s="6">
        <f>INDEX(DriversGams!$A$5:$BA$26,MATCH(Drivers!$A65,DriversGams!$A$5:$A$26,0),MATCH(Drivers!S$3,DriversGams!$A$5:$BA$5,0))</f>
        <v>151.00395250137143</v>
      </c>
      <c r="T65" s="6">
        <f>INDEX(DriversGams!$A$5:$BA$26,MATCH(Drivers!$A65,DriversGams!$A$5:$A$26,0),MATCH(Drivers!T$3,DriversGams!$A$5:$BA$5,0))</f>
        <v>154.52981973587873</v>
      </c>
      <c r="U65" s="6">
        <f>INDEX(DriversGams!$A$5:$BA$26,MATCH(Drivers!$A65,DriversGams!$A$5:$A$26,0),MATCH(Drivers!U$3,DriversGams!$A$5:$BA$5,0))</f>
        <v>158.82044997201353</v>
      </c>
      <c r="V65" s="6">
        <f>INDEX(DriversGams!$A$5:$BA$26,MATCH(Drivers!$A65,DriversGams!$A$5:$A$26,0),MATCH(Drivers!V$3,DriversGams!$A$5:$BA$5,0))</f>
        <v>163.90029107267711</v>
      </c>
      <c r="W65" s="6">
        <f>INDEX(DriversGams!$A$5:$BA$26,MATCH(Drivers!$A65,DriversGams!$A$5:$A$26,0),MATCH(Drivers!W$3,DriversGams!$A$5:$BA$5,0))</f>
        <v>169.2081719907676</v>
      </c>
      <c r="X65" s="6">
        <f>INDEX(DriversGams!$A$5:$BA$26,MATCH(Drivers!$A65,DriversGams!$A$5:$A$26,0),MATCH(Drivers!X$3,DriversGams!$A$5:$BA$5,0))</f>
        <v>174.98288655713037</v>
      </c>
      <c r="Y65" s="6">
        <f>INDEX(DriversGams!$A$5:$BA$26,MATCH(Drivers!$A65,DriversGams!$A$5:$A$26,0),MATCH(Drivers!Y$3,DriversGams!$A$5:$BA$5,0))</f>
        <v>181.45543064309763</v>
      </c>
      <c r="Z65" s="6">
        <f>INDEX(DriversGams!$A$5:$BA$26,MATCH(Drivers!$A65,DriversGams!$A$5:$A$26,0),MATCH(Drivers!Z$3,DriversGams!$A$5:$BA$5,0))</f>
        <v>188.48580740641492</v>
      </c>
      <c r="AA65" s="6">
        <f>INDEX(DriversGams!$A$5:$BA$26,MATCH(Drivers!$A65,DriversGams!$A$5:$A$26,0),MATCH(Drivers!AA$3,DriversGams!$A$5:$BA$5,0))</f>
        <v>195.92179054391087</v>
      </c>
      <c r="AB65" s="6">
        <f>INDEX(DriversGams!$A$5:$BA$26,MATCH(Drivers!$A65,DriversGams!$A$5:$A$26,0),MATCH(Drivers!AB$3,DriversGams!$A$5:$BA$5,0))</f>
        <v>203.71817033347023</v>
      </c>
      <c r="AC65" s="6">
        <f>INDEX(DriversGams!$A$5:$BA$26,MATCH(Drivers!$A65,DriversGams!$A$5:$A$26,0),MATCH(Drivers!AC$3,DriversGams!$A$5:$BA$5,0))</f>
        <v>211.9793714484143</v>
      </c>
      <c r="AD65" s="6">
        <f>INDEX(DriversGams!$A$5:$BA$26,MATCH(Drivers!$A65,DriversGams!$A$5:$A$26,0),MATCH(Drivers!AD$3,DriversGams!$A$5:$BA$5,0))</f>
        <v>220.36436869783037</v>
      </c>
      <c r="AE65" s="6">
        <f>INDEX(DriversGams!$A$5:$BA$26,MATCH(Drivers!$A65,DriversGams!$A$5:$A$26,0),MATCH(Drivers!AE$3,DriversGams!$A$5:$BA$5,0))</f>
        <v>228.78418677175287</v>
      </c>
      <c r="AF65" s="6">
        <f>INDEX(DriversGams!$A$5:$BA$26,MATCH(Drivers!$A65,DriversGams!$A$5:$A$26,0),MATCH(Drivers!AF$3,DriversGams!$A$5:$BA$5,0))</f>
        <v>273.9932327266161</v>
      </c>
      <c r="AG65" s="6">
        <f>INDEX(DriversGams!$A$5:$BA$26,MATCH(Drivers!$A65,DriversGams!$A$5:$A$26,0),MATCH(Drivers!AG$3,DriversGams!$A$5:$BA$5,0))</f>
        <v>328.34570775550196</v>
      </c>
      <c r="AH65" s="6">
        <f>INDEX(DriversGams!$A$5:$BA$26,MATCH(Drivers!$A65,DriversGams!$A$5:$A$26,0),MATCH(Drivers!AH$3,DriversGams!$A$5:$BA$5,0))</f>
        <v>384.91017699093248</v>
      </c>
      <c r="AI65" s="6">
        <f t="shared" si="120"/>
        <v>431.01496368797757</v>
      </c>
      <c r="AJ65" s="6">
        <f t="shared" si="121"/>
        <v>461.13394250535436</v>
      </c>
      <c r="AK65" s="6">
        <f t="shared" si="122"/>
        <v>471.35244936292759</v>
      </c>
      <c r="AL65" s="107"/>
      <c r="AM65" s="107"/>
      <c r="AN65" s="6">
        <v>384.91017699093248</v>
      </c>
      <c r="AO65" s="6">
        <v>431.01496368797757</v>
      </c>
      <c r="AP65" s="6">
        <v>461.13394250535436</v>
      </c>
      <c r="AQ65" s="6">
        <v>471.35244936292753</v>
      </c>
    </row>
    <row r="66" spans="1:43">
      <c r="A66" s="2" t="s">
        <v>5</v>
      </c>
      <c r="B66">
        <f t="shared" si="123"/>
        <v>20</v>
      </c>
      <c r="C66" s="290">
        <f>SUM(C45:C65)</f>
        <v>4032.0433682922144</v>
      </c>
      <c r="D66" s="290">
        <f t="shared" ref="D66:I66" si="124">SUM(D45:D65)</f>
        <v>4135.6011269326036</v>
      </c>
      <c r="E66" s="290">
        <f t="shared" si="124"/>
        <v>4214.5620530894539</v>
      </c>
      <c r="F66" s="290">
        <f t="shared" si="124"/>
        <v>4269.9104508291794</v>
      </c>
      <c r="G66" s="290">
        <f t="shared" si="124"/>
        <v>4306.3530098044157</v>
      </c>
      <c r="H66" s="290">
        <f t="shared" si="124"/>
        <v>4369.2882721535752</v>
      </c>
      <c r="I66" s="290">
        <f t="shared" si="124"/>
        <v>4424.2547121291227</v>
      </c>
      <c r="J66" s="108">
        <f t="shared" ref="J66:AK66" si="125">SUM(J45:J65)</f>
        <v>4454.71</v>
      </c>
      <c r="K66" s="108">
        <f t="shared" si="125"/>
        <v>4168.5599999999995</v>
      </c>
      <c r="L66" s="108">
        <f t="shared" si="125"/>
        <v>4364.6099639706999</v>
      </c>
      <c r="M66" s="108">
        <f t="shared" si="125"/>
        <v>4447.9917419918056</v>
      </c>
      <c r="N66" s="108">
        <f t="shared" si="125"/>
        <v>4456.887725475789</v>
      </c>
      <c r="O66" s="108">
        <f t="shared" si="125"/>
        <v>4501.4566027305473</v>
      </c>
      <c r="P66" s="108">
        <f t="shared" si="125"/>
        <v>4550.9726253605832</v>
      </c>
      <c r="Q66" s="108">
        <f t="shared" si="125"/>
        <v>4614.6862421156311</v>
      </c>
      <c r="R66" s="108">
        <f t="shared" si="125"/>
        <v>4688.5212219894811</v>
      </c>
      <c r="S66" s="108">
        <f t="shared" si="125"/>
        <v>4772.9146039852931</v>
      </c>
      <c r="T66" s="108">
        <f t="shared" si="125"/>
        <v>4878.0701326139297</v>
      </c>
      <c r="U66" s="108">
        <f t="shared" si="125"/>
        <v>5005.9651047671505</v>
      </c>
      <c r="V66" s="108">
        <f t="shared" si="125"/>
        <v>5153.0324316926462</v>
      </c>
      <c r="W66" s="108">
        <f t="shared" si="125"/>
        <v>5308.0229668226275</v>
      </c>
      <c r="X66" s="108">
        <f t="shared" si="125"/>
        <v>5472.4533377769021</v>
      </c>
      <c r="Y66" s="108">
        <f t="shared" si="125"/>
        <v>5660.5192636897464</v>
      </c>
      <c r="Z66" s="108">
        <f t="shared" si="125"/>
        <v>5859.7961117765817</v>
      </c>
      <c r="AA66" s="108">
        <f t="shared" si="125"/>
        <v>6071.0034498502264</v>
      </c>
      <c r="AB66" s="108">
        <f t="shared" si="125"/>
        <v>6295.6731854549653</v>
      </c>
      <c r="AC66" s="108">
        <f t="shared" si="125"/>
        <v>6530.8539953309019</v>
      </c>
      <c r="AD66" s="108">
        <f t="shared" si="125"/>
        <v>6769.6579855924483</v>
      </c>
      <c r="AE66" s="108">
        <f t="shared" si="125"/>
        <v>7009.3621264260146</v>
      </c>
      <c r="AF66" s="108">
        <f t="shared" si="125"/>
        <v>8315.2600771548514</v>
      </c>
      <c r="AG66" s="62">
        <f t="shared" si="125"/>
        <v>9888.9995639134086</v>
      </c>
      <c r="AH66" s="62">
        <f t="shared" si="125"/>
        <v>11528.13477236027</v>
      </c>
      <c r="AI66" s="62">
        <f t="shared" si="125"/>
        <v>12862.10118730256</v>
      </c>
      <c r="AJ66" s="62">
        <f t="shared" si="125"/>
        <v>13729.107842808744</v>
      </c>
      <c r="AK66" s="62">
        <f t="shared" si="125"/>
        <v>14014.530203526238</v>
      </c>
      <c r="AL66" s="108"/>
      <c r="AM66" s="108"/>
      <c r="AN66" s="62">
        <v>11528.13477236027</v>
      </c>
      <c r="AO66" s="62">
        <v>12862.10118730256</v>
      </c>
      <c r="AP66" s="62">
        <v>13729.107842808744</v>
      </c>
      <c r="AQ66" s="62">
        <v>14014.530203526238</v>
      </c>
    </row>
    <row r="67" spans="1:43" s="24" customFormat="1">
      <c r="A67" s="211" t="s">
        <v>263</v>
      </c>
      <c r="B67">
        <f t="shared" si="123"/>
        <v>21</v>
      </c>
      <c r="C67" s="267"/>
      <c r="D67" s="212">
        <v>2.6436281887547874E-2</v>
      </c>
      <c r="E67" s="212">
        <v>2.0165921894981231E-2</v>
      </c>
      <c r="F67" s="212">
        <v>1.407744097509589E-2</v>
      </c>
      <c r="G67" s="212">
        <v>8.9337784405372211E-3</v>
      </c>
      <c r="H67" s="212">
        <v>1.4827464040109817E-2</v>
      </c>
      <c r="I67" s="212">
        <v>1.2732896737821964E-2</v>
      </c>
      <c r="J67" s="212">
        <v>7.2531087632679014E-3</v>
      </c>
      <c r="K67" s="212">
        <v>-7.2462496857853442E-2</v>
      </c>
      <c r="L67" s="212">
        <f t="shared" ref="L67" si="126">L66/K66-1</f>
        <v>4.7030620638949694E-2</v>
      </c>
      <c r="M67" s="212">
        <f t="shared" ref="M67" si="127">M66/L66-1</f>
        <v>1.9104061693808072E-2</v>
      </c>
      <c r="N67" s="212">
        <f t="shared" ref="N67" si="128">N66/M66-1</f>
        <v>2.0000000000000018E-3</v>
      </c>
      <c r="O67" s="212">
        <f t="shared" ref="O67" si="129">O66/N66-1</f>
        <v>1.0000000000000009E-2</v>
      </c>
      <c r="P67" s="212">
        <f t="shared" ref="P67" si="130">P66/O66-1</f>
        <v>1.0999999999999899E-2</v>
      </c>
      <c r="Q67" s="212">
        <f t="shared" ref="Q67" si="131">Q66/P66-1</f>
        <v>1.4000000000000012E-2</v>
      </c>
      <c r="R67" s="212">
        <f t="shared" ref="R67" si="132">R66/Q66-1</f>
        <v>1.6000000000000014E-2</v>
      </c>
      <c r="S67" s="212">
        <f t="shared" ref="S67" si="133">S66/R66-1</f>
        <v>1.8000000000000238E-2</v>
      </c>
      <c r="T67" s="212">
        <f t="shared" ref="T67" si="134">T66/S66-1</f>
        <v>2.2031722197760173E-2</v>
      </c>
      <c r="U67" s="212">
        <f t="shared" ref="U67" si="135">U66/T66-1</f>
        <v>2.6218354528799726E-2</v>
      </c>
      <c r="V67" s="212">
        <f t="shared" ref="V67" si="136">V66/U66-1</f>
        <v>2.9378416318852185E-2</v>
      </c>
      <c r="W67" s="212">
        <f t="shared" ref="W67" si="137">W66/V66-1</f>
        <v>3.0077539232383765E-2</v>
      </c>
      <c r="X67" s="212">
        <f t="shared" ref="X67" si="138">X66/W66-1</f>
        <v>3.0977705255239796E-2</v>
      </c>
      <c r="Y67" s="212">
        <f t="shared" ref="Y67" si="139">Y66/X66-1</f>
        <v>3.4365925902849925E-2</v>
      </c>
      <c r="Z67" s="212">
        <f t="shared" ref="Z67" si="140">Z66/Y66-1</f>
        <v>3.5204693916532914E-2</v>
      </c>
      <c r="AA67" s="212">
        <f t="shared" ref="AA67" si="141">AA66/Z66-1</f>
        <v>3.6043461930215681E-2</v>
      </c>
      <c r="AB67" s="212">
        <f t="shared" ref="AB67" si="142">AB66/AA66-1</f>
        <v>3.7007018273112813E-2</v>
      </c>
      <c r="AC67" s="212">
        <f t="shared" ref="AC67" si="143">AC66/AB66-1</f>
        <v>3.7355943192743934E-2</v>
      </c>
      <c r="AD67" s="212">
        <f t="shared" ref="AD67" si="144">AD66/AC66-1</f>
        <v>3.656550742556397E-2</v>
      </c>
      <c r="AE67" s="212">
        <f t="shared" ref="AE67" si="145">AE66/AD66-1</f>
        <v>3.5408604296364388E-2</v>
      </c>
      <c r="AF67" s="212">
        <f>(AF66/AE66)^(1/5)-1</f>
        <v>3.4759608710357215E-2</v>
      </c>
      <c r="AG67" s="212">
        <f>(AG66/AF66)^(1/5)-1</f>
        <v>3.5273992558261025E-2</v>
      </c>
      <c r="AH67" s="212">
        <f t="shared" ref="AH67:AK67" si="146">(AH66/AG66)^(1/5)-1</f>
        <v>3.1148792311749718E-2</v>
      </c>
      <c r="AI67" s="212">
        <f t="shared" si="146"/>
        <v>2.2140450115355259E-2</v>
      </c>
      <c r="AJ67" s="212">
        <f t="shared" si="146"/>
        <v>1.3132107425591899E-2</v>
      </c>
      <c r="AK67" s="212">
        <f t="shared" si="146"/>
        <v>4.1237642291809262E-3</v>
      </c>
      <c r="AL67" s="211"/>
      <c r="AM67" s="211"/>
      <c r="AN67" s="212">
        <v>3.1148792311749718E-2</v>
      </c>
      <c r="AO67" s="212">
        <v>2.2140450115355259E-2</v>
      </c>
      <c r="AP67" s="212">
        <v>1.3132107425591899E-2</v>
      </c>
      <c r="AQ67" s="212">
        <v>4.1237642291809262E-3</v>
      </c>
    </row>
    <row r="68" spans="1:43">
      <c r="A68" t="s">
        <v>592</v>
      </c>
      <c r="B68">
        <f t="shared" si="123"/>
        <v>22</v>
      </c>
      <c r="C68" s="266">
        <v>52.325432882070082</v>
      </c>
      <c r="D68" s="265">
        <v>53.104386458423342</v>
      </c>
      <c r="E68" s="265">
        <v>53.912365691429272</v>
      </c>
      <c r="F68" s="265">
        <v>54.750491457321111</v>
      </c>
      <c r="G68" s="265">
        <v>55.619940469824826</v>
      </c>
      <c r="H68" s="265">
        <v>56.521948041648095</v>
      </c>
      <c r="I68" s="265">
        <v>57.436000617299655</v>
      </c>
      <c r="J68" s="107">
        <f>INDEX(DriversGams!$A$44:$AN$44,1,MATCH(Drivers!J$3,DriversGams!$A$43:$AN$43,0))/1000</f>
        <v>58.364834921819444</v>
      </c>
      <c r="K68" s="107">
        <f>INDEX(DriversGams!$A$44:$AN$44,1,MATCH(Drivers!K$3,DriversGams!$A$43:$AN$43,0))/1000</f>
        <v>58.801927000000006</v>
      </c>
      <c r="L68" s="107">
        <f>INDEX(DriversGams!$A$44:$AN$44,1,MATCH(Drivers!L$3,DriversGams!$A$43:$AN$43,0))/1000</f>
        <v>59.392254999999999</v>
      </c>
      <c r="M68" s="107">
        <f>INDEX(DriversGams!$A$44:$AN$44,1,MATCH(Drivers!M$3,DriversGams!$A$43:$AN$43,0))/1000</f>
        <v>59.893885000000004</v>
      </c>
      <c r="N68" s="107">
        <f>INDEX(DriversGams!$A$44:$AN$44,1,MATCH(Drivers!N$3,DriversGams!$A$43:$AN$43,0))/1000</f>
        <v>60.414495000000002</v>
      </c>
      <c r="O68" s="107">
        <f>INDEX(DriversGams!$A$44:$AN$44,1,MATCH(Drivers!O$3,DriversGams!$A$43:$AN$43,0))/1000</f>
        <v>61.020220999999999</v>
      </c>
      <c r="P68" s="107">
        <f>INDEX(DriversGams!$A$44:$AN$44,1,MATCH(Drivers!P$3,DriversGams!$A$43:$AN$43,0))/1000</f>
        <v>61.673080999999996</v>
      </c>
      <c r="Q68" s="107">
        <f>INDEX(DriversGams!$A$44:$AN$44,1,MATCH(Drivers!Q$3,DriversGams!$A$43:$AN$43,0))/1000</f>
        <v>62.305038999999994</v>
      </c>
      <c r="R68" s="107">
        <f>INDEX(DriversGams!$A$44:$AN$44,1,MATCH(Drivers!R$3,DriversGams!$A$43:$AN$43,0))/1000</f>
        <v>62.918915999999996</v>
      </c>
      <c r="S68" s="107">
        <f>INDEX(DriversGams!$A$44:$AN$44,1,MATCH(Drivers!S$3,DriversGams!$A$43:$AN$43,0))/1000</f>
        <v>63.514502</v>
      </c>
      <c r="T68" s="107">
        <f>INDEX(DriversGams!$A$44:$AN$44,1,MATCH(Drivers!T$3,DriversGams!$A$43:$AN$43,0))/1000</f>
        <v>64.093732000000003</v>
      </c>
      <c r="U68" s="107">
        <f>INDEX(DriversGams!$A$44:$AN$44,1,MATCH(Drivers!U$3,DriversGams!$A$43:$AN$43,0))/1000</f>
        <v>64.659278</v>
      </c>
      <c r="V68" s="107">
        <f>INDEX(DriversGams!$A$44:$AN$44,1,MATCH(Drivers!V$3,DriversGams!$A$43:$AN$43,0))/1000</f>
        <v>65.211525999999992</v>
      </c>
      <c r="W68" s="107">
        <f>INDEX(DriversGams!$A$44:$AN$44,1,MATCH(Drivers!W$3,DriversGams!$A$43:$AN$43,0))/1000</f>
        <v>65.752923999999993</v>
      </c>
      <c r="X68" s="107">
        <f>INDEX(DriversGams!$A$44:$AN$44,1,MATCH(Drivers!X$3,DriversGams!$A$43:$AN$43,0))/1000</f>
        <v>66.284188999999998</v>
      </c>
      <c r="Y68" s="107">
        <f>INDEX(DriversGams!$A$44:$AN$44,1,MATCH(Drivers!Y$3,DriversGams!$A$43:$AN$43,0))/1000</f>
        <v>66.804167000000007</v>
      </c>
      <c r="Z68" s="107">
        <f>INDEX(DriversGams!$A$44:$AN$44,1,MATCH(Drivers!Z$3,DriversGams!$A$43:$AN$43,0))/1000</f>
        <v>67.314132999999998</v>
      </c>
      <c r="AA68" s="107">
        <f>INDEX(DriversGams!$A$44:$AN$44,1,MATCH(Drivers!AA$3,DriversGams!$A$43:$AN$43,0))/1000</f>
        <v>67.815933000000001</v>
      </c>
      <c r="AB68" s="107">
        <f>INDEX(DriversGams!$A$44:$AN$44,1,MATCH(Drivers!AB$3,DriversGams!$A$43:$AN$43,0))/1000</f>
        <v>68.308245999999997</v>
      </c>
      <c r="AC68" s="107">
        <f>INDEX(DriversGams!$A$44:$AN$44,1,MATCH(Drivers!AC$3,DriversGams!$A$43:$AN$43,0))/1000</f>
        <v>68.788494999999998</v>
      </c>
      <c r="AD68" s="107">
        <f>INDEX(DriversGams!$A$44:$AN$44,1,MATCH(Drivers!AD$3,DriversGams!$A$43:$AN$43,0))/1000</f>
        <v>69.256822999999997</v>
      </c>
      <c r="AE68" s="107">
        <f>INDEX(DriversGams!$A$44:$AN$44,1,MATCH(Drivers!AE$3,DriversGams!$A$43:$AN$43,0))/1000</f>
        <v>69.713937000000001</v>
      </c>
      <c r="AF68" s="107">
        <f>INDEX(DriversGams!$A$44:$AN$44,1,MATCH(Drivers!AF$3,DriversGams!$A$43:$AN$43,0))/1000</f>
        <v>71.816201000000007</v>
      </c>
      <c r="AG68" s="107">
        <f>INDEX(DriversGams!$A$44:$AN$44,1,MATCH(Drivers!AG$3,DriversGams!$A$43:$AN$43,0))/1000</f>
        <v>73.529752999999999</v>
      </c>
      <c r="AH68" s="107">
        <f>INDEX(DriversGams!$A$44:$AN$44,1,MATCH(Drivers!AH$3,DriversGams!$A$43:$AN$43,0))/1000</f>
        <v>74.799050000000008</v>
      </c>
      <c r="AI68" s="6">
        <f t="shared" ref="AI68" si="147">AO68/AN68*AH68</f>
        <v>75.663198000000008</v>
      </c>
      <c r="AJ68" s="6">
        <f t="shared" ref="AJ68" si="148">AP68/AO68*AI68</f>
        <v>76.208045000000013</v>
      </c>
      <c r="AK68" s="6">
        <f t="shared" ref="AK68" si="149">AQ68/AP68*AJ68</f>
        <v>76.50215500000003</v>
      </c>
      <c r="AL68" s="107"/>
      <c r="AM68" s="107"/>
      <c r="AN68" s="107">
        <v>74.799050000000008</v>
      </c>
      <c r="AO68" s="107">
        <v>75.663198000000008</v>
      </c>
      <c r="AP68" s="107">
        <v>76.208044999999998</v>
      </c>
      <c r="AQ68" s="107">
        <v>76.502155000000002</v>
      </c>
    </row>
    <row r="69" spans="1:43">
      <c r="A69" t="s">
        <v>380</v>
      </c>
      <c r="B69">
        <f t="shared" si="123"/>
        <v>23</v>
      </c>
      <c r="C69" s="268">
        <v>0.5</v>
      </c>
      <c r="D69" s="268">
        <v>0.5</v>
      </c>
      <c r="E69" s="268">
        <v>0.5</v>
      </c>
      <c r="F69" s="268">
        <v>0.5</v>
      </c>
      <c r="G69" s="268">
        <v>0.5</v>
      </c>
      <c r="H69" s="268">
        <v>0.5</v>
      </c>
      <c r="I69" s="268">
        <v>0.5</v>
      </c>
      <c r="J69" s="17">
        <f>INDEX(DriversGams!$B62:$AN62,1,MATCH(Drivers!J$3,DriversGams!$B$61:$AN$61,0))</f>
        <v>0.44456066945606693</v>
      </c>
      <c r="K69" s="17">
        <f>INDEX(DriversGams!$B62:$AN62,1,MATCH(Drivers!K$3,DriversGams!$B$61:$AN$61,0))</f>
        <v>0.45521601685985247</v>
      </c>
      <c r="L69" s="17">
        <f>INDEX(DriversGams!$B62:$AN62,1,MATCH(Drivers!L$3,DriversGams!$B$61:$AN$61,0))</f>
        <v>0.46227119237511022</v>
      </c>
      <c r="M69" s="17">
        <f>INDEX(DriversGams!$B62:$AN62,1,MATCH(Drivers!M$3,DriversGams!$B$61:$AN$61,0))</f>
        <v>0.45384023967034137</v>
      </c>
      <c r="N69" s="17">
        <f>INDEX(DriversGams!$B62:$AN62,1,MATCH(Drivers!N$3,DriversGams!$B$61:$AN$61,0))</f>
        <v>0.4530506193635141</v>
      </c>
      <c r="O69" s="17">
        <f>INDEX(DriversGams!$B62:$AN62,1,MATCH(Drivers!O$3,DriversGams!$B$61:$AN$61,0))</f>
        <v>0.4492123756297739</v>
      </c>
      <c r="P69" s="17">
        <f>INDEX(DriversGams!$B62:$AN62,1,MATCH(Drivers!P$3,DriversGams!$B$61:$AN$61,0))</f>
        <v>0.44506077484649087</v>
      </c>
      <c r="Q69" s="17">
        <f>INDEX(DriversGams!$B62:$AN62,1,MATCH(Drivers!Q$3,DriversGams!$B$61:$AN$61,0))</f>
        <v>0.44048019500661473</v>
      </c>
      <c r="R69" s="17">
        <f>INDEX(DriversGams!$B62:$AN62,1,MATCH(Drivers!R$3,DriversGams!$B$61:$AN$61,0))</f>
        <v>0.43534996792463587</v>
      </c>
      <c r="S69" s="17">
        <f>INDEX(DriversGams!$B62:$AN62,1,MATCH(Drivers!S$3,DriversGams!$B$61:$AN$61,0))</f>
        <v>0.42993618539113665</v>
      </c>
      <c r="T69" s="17">
        <f>INDEX(DriversGams!$B62:$AN62,1,MATCH(Drivers!T$3,DriversGams!$B$61:$AN$61,0))</f>
        <v>0.42371952259311868</v>
      </c>
      <c r="U69" s="17">
        <f>INDEX(DriversGams!$B62:$AN62,1,MATCH(Drivers!U$3,DriversGams!$B$61:$AN$61,0))</f>
        <v>0.41657241965867214</v>
      </c>
      <c r="V69" s="17">
        <f>INDEX(DriversGams!$B62:$AN62,1,MATCH(Drivers!V$3,DriversGams!$B$61:$AN$61,0))</f>
        <v>0.40909885956028302</v>
      </c>
      <c r="W69" s="17">
        <f>INDEX(DriversGams!$B62:$AN62,1,MATCH(Drivers!W$3,DriversGams!$B$61:$AN$61,0))</f>
        <v>0.40185565007277846</v>
      </c>
      <c r="X69" s="17">
        <f>INDEX(DriversGams!$B62:$AN62,1,MATCH(Drivers!X$3,DriversGams!$B$61:$AN$61,0))</f>
        <v>0.39482416004663062</v>
      </c>
      <c r="Y69" s="17">
        <f>INDEX(DriversGams!$B62:$AN62,1,MATCH(Drivers!Y$3,DriversGams!$B$61:$AN$61,0))</f>
        <v>0.38744915622957621</v>
      </c>
      <c r="Z69" s="17">
        <f>INDEX(DriversGams!$B62:$AN62,1,MATCH(Drivers!Z$3,DriversGams!$B$61:$AN$61,0))</f>
        <v>0.3800592435396562</v>
      </c>
      <c r="AA69" s="17">
        <f>INDEX(DriversGams!$B62:$AN62,1,MATCH(Drivers!AA$3,DriversGams!$B$61:$AN$61,0))</f>
        <v>0.37316446554873905</v>
      </c>
      <c r="AB69" s="17">
        <f>INDEX(DriversGams!$B62:$AN62,1,MATCH(Drivers!AB$3,DriversGams!$B$61:$AN$61,0))</f>
        <v>0.36622575390923512</v>
      </c>
      <c r="AC69" s="17">
        <f>INDEX(DriversGams!$B62:$AN62,1,MATCH(Drivers!AC$3,DriversGams!$B$61:$AN$61,0))</f>
        <v>0.35954615135165829</v>
      </c>
      <c r="AD69" s="17">
        <f>INDEX(DriversGams!$B62:$AN62,1,MATCH(Drivers!AD$3,DriversGams!$B$61:$AN$61,0))</f>
        <v>0.35352413753940537</v>
      </c>
      <c r="AE69" s="17">
        <f>INDEX(DriversGams!$B62:$AN62,1,MATCH(Drivers!AE$3,DriversGams!$B$61:$AN$61,0))</f>
        <v>0.34790997115201444</v>
      </c>
      <c r="AF69" s="17">
        <f>INDEX(DriversGams!$B62:$AN62,1,MATCH(Drivers!AF$3,DriversGams!$B$61:$AN$61,0))</f>
        <v>0.31298090329354977</v>
      </c>
      <c r="AG69" s="17">
        <f>INDEX(DriversGams!$B62:$AN62,1,MATCH(Drivers!AG$3,DriversGams!$B$61:$AN$61,0))</f>
        <v>0.27905600345837911</v>
      </c>
      <c r="AH69" s="17">
        <f>INDEX(DriversGams!$B62:$AN62,1,MATCH(Drivers!AH$3,DriversGams!$B$61:$AN$61,0))</f>
        <v>0.24552291570350171</v>
      </c>
      <c r="AI69" s="17">
        <f t="shared" ref="AI69:AI70" si="150">AO69/AN69*AH69</f>
        <v>0.21188609489452759</v>
      </c>
      <c r="AJ69" s="17">
        <f t="shared" ref="AJ69:AJ70" si="151">AP69/AO69*AI69</f>
        <v>0.17819185187839537</v>
      </c>
      <c r="AK69" s="17">
        <f t="shared" ref="AK69:AK70" si="152">AQ69/AP69*AJ69</f>
        <v>0.14450330331373529</v>
      </c>
      <c r="AL69" s="107"/>
      <c r="AM69" s="107"/>
      <c r="AN69" s="17">
        <v>0.24552291570350171</v>
      </c>
      <c r="AO69" s="17">
        <v>0.21188609489452759</v>
      </c>
      <c r="AP69" s="17">
        <v>0.17819185187839537</v>
      </c>
      <c r="AQ69" s="17">
        <v>0.14450330331373529</v>
      </c>
    </row>
    <row r="70" spans="1:43">
      <c r="A70" t="s">
        <v>381</v>
      </c>
      <c r="B70">
        <f t="shared" si="123"/>
        <v>24</v>
      </c>
      <c r="C70" s="268">
        <v>0.3</v>
      </c>
      <c r="D70" s="268">
        <v>0.3</v>
      </c>
      <c r="E70" s="268">
        <v>0.3</v>
      </c>
      <c r="F70" s="268">
        <v>0.3</v>
      </c>
      <c r="G70" s="268">
        <v>0.3</v>
      </c>
      <c r="H70" s="268">
        <v>0.3</v>
      </c>
      <c r="I70" s="268">
        <v>0.3</v>
      </c>
      <c r="J70" s="17">
        <f>INDEX(DriversGams!$B63:$AN63,1,MATCH(Drivers!J$3,DriversGams!$B$61:$AN$61,0))</f>
        <v>0.31485355648535562</v>
      </c>
      <c r="K70" s="17">
        <f>INDEX(DriversGams!$B63:$AN63,1,MATCH(Drivers!K$3,DriversGams!$B$61:$AN$61,0))</f>
        <v>0.32560590094836672</v>
      </c>
      <c r="L70" s="17">
        <f>INDEX(DriversGams!$B63:$AN63,1,MATCH(Drivers!L$3,DriversGams!$B$61:$AN$61,0))</f>
        <v>0.30936026689417673</v>
      </c>
      <c r="M70" s="17">
        <f>INDEX(DriversGams!$B63:$AN63,1,MATCH(Drivers!M$3,DriversGams!$B$61:$AN$61,0))</f>
        <v>0.31355024567841444</v>
      </c>
      <c r="N70" s="17">
        <f>INDEX(DriversGams!$B63:$AN63,1,MATCH(Drivers!N$3,DriversGams!$B$61:$AN$61,0))</f>
        <v>0.31388781690524703</v>
      </c>
      <c r="O70" s="17">
        <f>INDEX(DriversGams!$B63:$AN63,1,MATCH(Drivers!O$3,DriversGams!$B$61:$AN$61,0))</f>
        <v>0.31543894410094331</v>
      </c>
      <c r="P70" s="17">
        <f>INDEX(DriversGams!$B63:$AN63,1,MATCH(Drivers!P$3,DriversGams!$B$61:$AN$61,0))</f>
        <v>0.31721983743486931</v>
      </c>
      <c r="Q70" s="17">
        <f>INDEX(DriversGams!$B63:$AN63,1,MATCH(Drivers!Q$3,DriversGams!$B$61:$AN$61,0))</f>
        <v>0.31883263902169873</v>
      </c>
      <c r="R70" s="17">
        <f>INDEX(DriversGams!$B63:$AN63,1,MATCH(Drivers!R$3,DriversGams!$B$61:$AN$61,0))</f>
        <v>0.32078866718521404</v>
      </c>
      <c r="S70" s="17">
        <f>INDEX(DriversGams!$B63:$AN63,1,MATCH(Drivers!S$3,DriversGams!$B$61:$AN$61,0))</f>
        <v>0.32280939346620441</v>
      </c>
      <c r="T70" s="17">
        <f>INDEX(DriversGams!$B63:$AN63,1,MATCH(Drivers!T$3,DriversGams!$B$61:$AN$61,0))</f>
        <v>0.32497598023764895</v>
      </c>
      <c r="U70" s="17">
        <f>INDEX(DriversGams!$B63:$AN63,1,MATCH(Drivers!U$3,DriversGams!$B$61:$AN$61,0))</f>
        <v>0.32775482993460558</v>
      </c>
      <c r="V70" s="17">
        <f>INDEX(DriversGams!$B63:$AN63,1,MATCH(Drivers!V$3,DriversGams!$B$61:$AN$61,0))</f>
        <v>0.33022222974356419</v>
      </c>
      <c r="W70" s="17">
        <f>INDEX(DriversGams!$B63:$AN63,1,MATCH(Drivers!W$3,DriversGams!$B$61:$AN$61,0))</f>
        <v>0.332708026046104</v>
      </c>
      <c r="X70" s="17">
        <f>INDEX(DriversGams!$B63:$AN63,1,MATCH(Drivers!X$3,DriversGams!$B$61:$AN$61,0))</f>
        <v>0.33507942725265366</v>
      </c>
      <c r="Y70" s="17">
        <f>INDEX(DriversGams!$B63:$AN63,1,MATCH(Drivers!Y$3,DriversGams!$B$61:$AN$61,0))</f>
        <v>0.33755833542625679</v>
      </c>
      <c r="Z70" s="17">
        <f>INDEX(DriversGams!$B63:$AN63,1,MATCH(Drivers!Z$3,DriversGams!$B$61:$AN$61,0))</f>
        <v>0.34023069208670387</v>
      </c>
      <c r="AA70" s="17">
        <f>INDEX(DriversGams!$B63:$AN63,1,MATCH(Drivers!AA$3,DriversGams!$B$61:$AN$61,0))</f>
        <v>0.34209365651908852</v>
      </c>
      <c r="AB70" s="17">
        <f>INDEX(DriversGams!$B63:$AN63,1,MATCH(Drivers!AB$3,DriversGams!$B$61:$AN$61,0))</f>
        <v>0.34372879918296723</v>
      </c>
      <c r="AC70" s="17">
        <f>INDEX(DriversGams!$B63:$AN63,1,MATCH(Drivers!AC$3,DriversGams!$B$61:$AN$61,0))</f>
        <v>0.34562071119418153</v>
      </c>
      <c r="AD70" s="17">
        <f>INDEX(DriversGams!$B63:$AN63,1,MATCH(Drivers!AD$3,DriversGams!$B$61:$AN$61,0))</f>
        <v>0.34714667279971562</v>
      </c>
      <c r="AE70" s="17">
        <f>INDEX(DriversGams!$B63:$AN63,1,MATCH(Drivers!AE$3,DriversGams!$B$61:$AN$61,0))</f>
        <v>0.34858040550949743</v>
      </c>
      <c r="AF70" s="17">
        <f>INDEX(DriversGams!$B63:$AN63,1,MATCH(Drivers!AF$3,DriversGams!$B$61:$AN$61,0))</f>
        <v>0.36410706909886797</v>
      </c>
      <c r="AG70" s="17">
        <f>INDEX(DriversGams!$B63:$AN63,1,MATCH(Drivers!AG$3,DriversGams!$B$61:$AN$61,0))</f>
        <v>0.38027781250126996</v>
      </c>
      <c r="AH70" s="17">
        <f>INDEX(DriversGams!$B63:$AN63,1,MATCH(Drivers!AH$3,DriversGams!$B$61:$AN$61,0))</f>
        <v>0.39561454073212232</v>
      </c>
      <c r="AI70" s="17">
        <f t="shared" si="150"/>
        <v>0.41121086368233944</v>
      </c>
      <c r="AJ70" s="17">
        <f t="shared" si="151"/>
        <v>0.42692863962271316</v>
      </c>
      <c r="AK70" s="17">
        <f t="shared" si="152"/>
        <v>0.44263272457796082</v>
      </c>
      <c r="AL70" s="107"/>
      <c r="AM70" s="107"/>
      <c r="AN70" s="17">
        <v>0.39561454073212232</v>
      </c>
      <c r="AO70" s="17">
        <v>0.4112108636823395</v>
      </c>
      <c r="AP70" s="17">
        <v>0.42692863962271321</v>
      </c>
      <c r="AQ70" s="17">
        <v>0.44263272457796088</v>
      </c>
    </row>
    <row r="71" spans="1:43">
      <c r="A71" t="s">
        <v>382</v>
      </c>
      <c r="B71">
        <f t="shared" si="123"/>
        <v>25</v>
      </c>
      <c r="C71" s="268">
        <v>0.19999999999999996</v>
      </c>
      <c r="D71" s="268">
        <v>0.19999999999999996</v>
      </c>
      <c r="E71" s="268">
        <v>0.19999999999999996</v>
      </c>
      <c r="F71" s="268">
        <v>0.19999999999999996</v>
      </c>
      <c r="G71" s="268">
        <v>0.19999999999999996</v>
      </c>
      <c r="H71" s="268">
        <v>0.19999999999999996</v>
      </c>
      <c r="I71" s="268">
        <v>0.19999999999999996</v>
      </c>
      <c r="J71" s="17">
        <f>INDEX(DriversGams!$B64:$AN64,1,MATCH(Drivers!J$3,DriversGams!$B$61:$AN$61,0))</f>
        <v>0.24058577405857742</v>
      </c>
      <c r="K71" s="17">
        <f>INDEX(DriversGams!$B64:$AN64,1,MATCH(Drivers!K$3,DriversGams!$B$61:$AN$61,0))</f>
        <v>0.21917808219178081</v>
      </c>
      <c r="L71" s="17">
        <f>INDEX(DriversGams!$B64:$AN64,1,MATCH(Drivers!L$3,DriversGams!$B$61:$AN$61,0))</f>
        <v>0.22836854073071305</v>
      </c>
      <c r="M71" s="17">
        <f>INDEX(DriversGams!$B64:$AN64,1,MATCH(Drivers!M$3,DriversGams!$B$61:$AN$61,0))</f>
        <v>0.23260951465124413</v>
      </c>
      <c r="N71" s="17">
        <f>INDEX(DriversGams!$B64:$AN64,1,MATCH(Drivers!N$3,DriversGams!$B$61:$AN$61,0))</f>
        <v>0.23306156373123887</v>
      </c>
      <c r="O71" s="17">
        <f>INDEX(DriversGams!$B64:$AN64,1,MATCH(Drivers!O$3,DriversGams!$B$61:$AN$61,0))</f>
        <v>0.23534868026928282</v>
      </c>
      <c r="P71" s="17">
        <f>INDEX(DriversGams!$B64:$AN64,1,MATCH(Drivers!P$3,DriversGams!$B$61:$AN$61,0))</f>
        <v>0.23771938771863979</v>
      </c>
      <c r="Q71" s="17">
        <f>INDEX(DriversGams!$B64:$AN64,1,MATCH(Drivers!Q$3,DriversGams!$B$61:$AN$61,0))</f>
        <v>0.2406871659716866</v>
      </c>
      <c r="R71" s="17">
        <f>INDEX(DriversGams!$B64:$AN64,1,MATCH(Drivers!R$3,DriversGams!$B$61:$AN$61,0))</f>
        <v>0.24386136489015012</v>
      </c>
      <c r="S71" s="17">
        <f>INDEX(DriversGams!$B64:$AN64,1,MATCH(Drivers!S$3,DriversGams!$B$61:$AN$61,0))</f>
        <v>0.24725442114265897</v>
      </c>
      <c r="T71" s="17">
        <f>INDEX(DriversGams!$B64:$AN64,1,MATCH(Drivers!T$3,DriversGams!$B$61:$AN$61,0))</f>
        <v>0.25130449716923237</v>
      </c>
      <c r="U71" s="17">
        <f>INDEX(DriversGams!$B64:$AN64,1,MATCH(Drivers!U$3,DriversGams!$B$61:$AN$61,0))</f>
        <v>0.25567275040672227</v>
      </c>
      <c r="V71" s="17">
        <f>INDEX(DriversGams!$B64:$AN64,1,MATCH(Drivers!V$3,DriversGams!$B$61:$AN$61,0))</f>
        <v>0.26067891069615279</v>
      </c>
      <c r="W71" s="17">
        <f>INDEX(DriversGams!$B64:$AN64,1,MATCH(Drivers!W$3,DriversGams!$B$61:$AN$61,0))</f>
        <v>0.2654363238811176</v>
      </c>
      <c r="X71" s="17">
        <f>INDEX(DriversGams!$B64:$AN64,1,MATCH(Drivers!X$3,DriversGams!$B$61:$AN$61,0))</f>
        <v>0.27009641270071577</v>
      </c>
      <c r="Y71" s="17">
        <f>INDEX(DriversGams!$B64:$AN64,1,MATCH(Drivers!Y$3,DriversGams!$B$61:$AN$61,0))</f>
        <v>0.274992508344167</v>
      </c>
      <c r="Z71" s="17">
        <f>INDEX(DriversGams!$B64:$AN64,1,MATCH(Drivers!Z$3,DriversGams!$B$61:$AN$61,0))</f>
        <v>0.27971006437363993</v>
      </c>
      <c r="AA71" s="17">
        <f>INDEX(DriversGams!$B64:$AN64,1,MATCH(Drivers!AA$3,DriversGams!$B$61:$AN$61,0))</f>
        <v>0.28474187793217243</v>
      </c>
      <c r="AB71" s="17">
        <f>INDEX(DriversGams!$B64:$AN64,1,MATCH(Drivers!AB$3,DriversGams!$B$61:$AN$61,0))</f>
        <v>0.29004544690779771</v>
      </c>
      <c r="AC71" s="17">
        <f>INDEX(DriversGams!$B64:$AN64,1,MATCH(Drivers!AC$3,DriversGams!$B$61:$AN$61,0))</f>
        <v>0.29483313745416012</v>
      </c>
      <c r="AD71" s="17">
        <f>INDEX(DriversGams!$B64:$AN64,1,MATCH(Drivers!AD$3,DriversGams!$B$61:$AN$61,0))</f>
        <v>0.29932918966087896</v>
      </c>
      <c r="AE71" s="17">
        <f>INDEX(DriversGams!$B64:$AN64,1,MATCH(Drivers!AE$3,DriversGams!$B$61:$AN$61,0))</f>
        <v>0.30350962333848813</v>
      </c>
      <c r="AF71" s="17">
        <f>INDEX(DriversGams!$B64:$AN64,1,MATCH(Drivers!AF$3,DriversGams!$B$61:$AN$61,0))</f>
        <v>0.32291202760758225</v>
      </c>
      <c r="AG71" s="17">
        <f>INDEX(DriversGams!$B64:$AN64,1,MATCH(Drivers!AG$3,DriversGams!$B$61:$AN$61,0))</f>
        <v>0.34066618404035093</v>
      </c>
      <c r="AH71" s="17">
        <f>INDEX(DriversGams!$B64:$AN64,1,MATCH(Drivers!AH$3,DriversGams!$B$61:$AN$61,0))</f>
        <v>0.35886254356437597</v>
      </c>
      <c r="AI71" s="17">
        <f>1-AI70-AI69</f>
        <v>0.37690304142313291</v>
      </c>
      <c r="AJ71" s="17">
        <f t="shared" ref="AJ71:AK71" si="153">1-AJ70-AJ69</f>
        <v>0.39487950849889142</v>
      </c>
      <c r="AK71" s="17">
        <f t="shared" si="153"/>
        <v>0.41286397210830383</v>
      </c>
      <c r="AL71" s="107"/>
      <c r="AM71" s="107"/>
      <c r="AN71" s="17">
        <v>0.35886254356437597</v>
      </c>
      <c r="AO71" s="17">
        <v>0.37690304142313291</v>
      </c>
      <c r="AP71" s="17">
        <v>0.39487950849889142</v>
      </c>
      <c r="AQ71" s="17">
        <v>0.41286397210830383</v>
      </c>
    </row>
    <row r="72" spans="1:43">
      <c r="A72" t="s">
        <v>383</v>
      </c>
      <c r="B72">
        <f t="shared" si="123"/>
        <v>26</v>
      </c>
      <c r="C72" s="265">
        <f>C69*C$68</f>
        <v>26.162716441035041</v>
      </c>
      <c r="D72" s="265">
        <f t="shared" ref="D72:I72" si="154">D69*D$68</f>
        <v>26.552193229211671</v>
      </c>
      <c r="E72" s="265">
        <f t="shared" si="154"/>
        <v>26.956182845714636</v>
      </c>
      <c r="F72" s="265">
        <f t="shared" si="154"/>
        <v>27.375245728660555</v>
      </c>
      <c r="G72" s="265">
        <f t="shared" si="154"/>
        <v>27.809970234912413</v>
      </c>
      <c r="H72" s="265">
        <f t="shared" si="154"/>
        <v>28.260974020824047</v>
      </c>
      <c r="I72" s="265">
        <f t="shared" si="154"/>
        <v>28.718000308649827</v>
      </c>
      <c r="J72" s="6">
        <f t="shared" ref="J72:K72" si="155">J69*J$30</f>
        <v>25.946710085536886</v>
      </c>
      <c r="K72" s="6">
        <f t="shared" si="155"/>
        <v>26.998265626975765</v>
      </c>
      <c r="L72" s="6">
        <f t="shared" ref="L72:L74" si="156">L69*L$30</f>
        <v>27.455328536696602</v>
      </c>
      <c r="M72" s="6">
        <f t="shared" ref="M72:AG72" si="157">M69*M$30</f>
        <v>27.182255123187865</v>
      </c>
      <c r="N72" s="6">
        <f t="shared" si="157"/>
        <v>27.370824378283928</v>
      </c>
      <c r="O72" s="6">
        <f t="shared" si="157"/>
        <v>27.411038436863816</v>
      </c>
      <c r="P72" s="6">
        <f t="shared" si="157"/>
        <v>27.448269217030393</v>
      </c>
      <c r="Q72" s="6">
        <f t="shared" si="157"/>
        <v>27.444135728614732</v>
      </c>
      <c r="R72" s="6">
        <f t="shared" si="157"/>
        <v>27.391748062452859</v>
      </c>
      <c r="S72" s="6">
        <f t="shared" si="157"/>
        <v>27.30718270689772</v>
      </c>
      <c r="T72" s="6">
        <f t="shared" si="157"/>
        <v>27.157765524251296</v>
      </c>
      <c r="U72" s="6">
        <f t="shared" si="157"/>
        <v>26.935271889842749</v>
      </c>
      <c r="V72" s="6">
        <f t="shared" si="157"/>
        <v>26.677960916785743</v>
      </c>
      <c r="W72" s="6">
        <f t="shared" si="157"/>
        <v>26.423184018205994</v>
      </c>
      <c r="X72" s="6">
        <f t="shared" si="157"/>
        <v>26.170599246297112</v>
      </c>
      <c r="Y72" s="6">
        <f t="shared" si="157"/>
        <v>25.883218136769703</v>
      </c>
      <c r="Z72" s="6">
        <f t="shared" si="157"/>
        <v>25.583358467507807</v>
      </c>
      <c r="AA72" s="6">
        <f t="shared" si="157"/>
        <v>25.306496393634095</v>
      </c>
      <c r="AB72" s="6">
        <f t="shared" si="157"/>
        <v>25.016238889567493</v>
      </c>
      <c r="AC72" s="6">
        <f t="shared" si="157"/>
        <v>24.73263863452279</v>
      </c>
      <c r="AD72" s="6">
        <f t="shared" si="157"/>
        <v>24.483958619794251</v>
      </c>
      <c r="AE72" s="6">
        <f t="shared" si="157"/>
        <v>24.254173810563351</v>
      </c>
      <c r="AF72" s="6">
        <f t="shared" si="157"/>
        <v>22.477099460091136</v>
      </c>
      <c r="AG72" s="6">
        <f t="shared" si="157"/>
        <v>20.518919007461761</v>
      </c>
      <c r="AH72" s="6">
        <f t="shared" ref="AH72:AK72" si="158">AH69*AH$30</f>
        <v>18.36488084785201</v>
      </c>
      <c r="AI72" s="6">
        <f t="shared" si="158"/>
        <v>16.031979551451432</v>
      </c>
      <c r="AJ72" s="6">
        <f t="shared" si="158"/>
        <v>13.579652666582088</v>
      </c>
      <c r="AK72" s="6">
        <f t="shared" si="158"/>
        <v>11.054814108119391</v>
      </c>
      <c r="AL72" s="6"/>
      <c r="AM72" s="6"/>
      <c r="AN72" s="6">
        <v>18.36488084785201</v>
      </c>
      <c r="AO72" s="6">
        <v>16.031979551451432</v>
      </c>
      <c r="AP72" s="6">
        <v>13.579652666582088</v>
      </c>
      <c r="AQ72" s="6">
        <v>11.054814108119391</v>
      </c>
    </row>
    <row r="73" spans="1:43">
      <c r="A73" t="s">
        <v>384</v>
      </c>
      <c r="B73">
        <f t="shared" si="123"/>
        <v>27</v>
      </c>
      <c r="C73" s="265">
        <f t="shared" ref="C73:I74" si="159">C70*C$68</f>
        <v>15.697629864621025</v>
      </c>
      <c r="D73" s="265">
        <f t="shared" si="159"/>
        <v>15.931315937527001</v>
      </c>
      <c r="E73" s="265">
        <f t="shared" si="159"/>
        <v>16.173709707428781</v>
      </c>
      <c r="F73" s="265">
        <f t="shared" si="159"/>
        <v>16.425147437196333</v>
      </c>
      <c r="G73" s="265">
        <f t="shared" si="159"/>
        <v>16.685982140947448</v>
      </c>
      <c r="H73" s="265">
        <f t="shared" si="159"/>
        <v>16.956584412494429</v>
      </c>
      <c r="I73" s="265">
        <f t="shared" si="159"/>
        <v>17.230800185189896</v>
      </c>
      <c r="J73" s="6">
        <f t="shared" ref="J73:K73" si="160">J70*J$30</f>
        <v>18.376375848815535</v>
      </c>
      <c r="K73" s="6">
        <f t="shared" si="160"/>
        <v>19.311259441517389</v>
      </c>
      <c r="L73" s="6">
        <f t="shared" si="156"/>
        <v>18.373603858247002</v>
      </c>
      <c r="M73" s="6">
        <f t="shared" ref="M73:AG73" si="161">M70*M$30</f>
        <v>18.779742356384702</v>
      </c>
      <c r="N73" s="6">
        <f t="shared" si="161"/>
        <v>18.963373944982962</v>
      </c>
      <c r="O73" s="6">
        <f t="shared" si="161"/>
        <v>19.248154081046206</v>
      </c>
      <c r="P73" s="6">
        <f t="shared" si="161"/>
        <v>19.563924728927525</v>
      </c>
      <c r="Q73" s="6">
        <f t="shared" si="161"/>
        <v>19.864880008719858</v>
      </c>
      <c r="R73" s="6">
        <f t="shared" si="161"/>
        <v>20.183675204378439</v>
      </c>
      <c r="S73" s="6">
        <f t="shared" si="161"/>
        <v>20.503077866928027</v>
      </c>
      <c r="T73" s="6">
        <f t="shared" si="161"/>
        <v>20.828923383789171</v>
      </c>
      <c r="U73" s="6">
        <f t="shared" si="161"/>
        <v>21.192390664584384</v>
      </c>
      <c r="V73" s="6">
        <f t="shared" si="161"/>
        <v>21.534295520700407</v>
      </c>
      <c r="W73" s="6">
        <f t="shared" si="161"/>
        <v>21.876525550799496</v>
      </c>
      <c r="X73" s="6">
        <f t="shared" si="161"/>
        <v>22.210468086026644</v>
      </c>
      <c r="Y73" s="6">
        <f t="shared" si="161"/>
        <v>22.550303412057676</v>
      </c>
      <c r="Z73" s="6">
        <f t="shared" si="161"/>
        <v>22.902334057806431</v>
      </c>
      <c r="AA73" s="6">
        <f t="shared" si="161"/>
        <v>23.199400490223521</v>
      </c>
      <c r="AB73" s="6">
        <f t="shared" si="161"/>
        <v>23.479511371874722</v>
      </c>
      <c r="AC73" s="6">
        <f t="shared" si="161"/>
        <v>23.7747285638774</v>
      </c>
      <c r="AD73" s="6">
        <f t="shared" si="161"/>
        <v>24.042275673128817</v>
      </c>
      <c r="AE73" s="6">
        <f t="shared" si="161"/>
        <v>24.300912429123557</v>
      </c>
      <c r="AF73" s="6">
        <f t="shared" si="161"/>
        <v>26.148786459925194</v>
      </c>
      <c r="AG73" s="6">
        <f t="shared" si="161"/>
        <v>27.961733624598693</v>
      </c>
      <c r="AH73" s="6">
        <f t="shared" ref="AH73:AK73" si="162">AH70*AH$30</f>
        <v>29.591591812949058</v>
      </c>
      <c r="AI73" s="6">
        <f t="shared" si="162"/>
        <v>31.113528998547864</v>
      </c>
      <c r="AJ73" s="6">
        <f t="shared" si="162"/>
        <v>32.535396980156506</v>
      </c>
      <c r="AK73" s="6">
        <f t="shared" si="162"/>
        <v>33.862357303735472</v>
      </c>
      <c r="AL73" s="6"/>
      <c r="AM73" s="6"/>
      <c r="AN73" s="6">
        <v>29.591591812949058</v>
      </c>
      <c r="AO73" s="6">
        <v>31.113528998547867</v>
      </c>
      <c r="AP73" s="6">
        <v>32.535396980156513</v>
      </c>
      <c r="AQ73" s="6">
        <v>33.862357303735472</v>
      </c>
    </row>
    <row r="74" spans="1:43">
      <c r="A74" t="s">
        <v>385</v>
      </c>
      <c r="B74">
        <f t="shared" si="123"/>
        <v>28</v>
      </c>
      <c r="C74" s="265">
        <f t="shared" si="159"/>
        <v>10.465086576414015</v>
      </c>
      <c r="D74" s="265">
        <f t="shared" si="159"/>
        <v>10.620877291684666</v>
      </c>
      <c r="E74" s="265">
        <f t="shared" si="159"/>
        <v>10.782473138285852</v>
      </c>
      <c r="F74" s="265">
        <f t="shared" si="159"/>
        <v>10.95009829146422</v>
      </c>
      <c r="G74" s="265">
        <f t="shared" si="159"/>
        <v>11.123988093964963</v>
      </c>
      <c r="H74" s="265">
        <f t="shared" si="159"/>
        <v>11.304389608329616</v>
      </c>
      <c r="I74" s="265">
        <f t="shared" si="159"/>
        <v>11.487200123459928</v>
      </c>
      <c r="J74" s="6">
        <f t="shared" ref="J74:K74" si="163">J71*J$30</f>
        <v>14.041748987467022</v>
      </c>
      <c r="K74" s="6">
        <f t="shared" si="163"/>
        <v>12.999164931506851</v>
      </c>
      <c r="L74" s="6">
        <f t="shared" si="156"/>
        <v>13.563322605056396</v>
      </c>
      <c r="M74" s="6">
        <f t="shared" ref="M74:AG74" si="164">M71*M$30</f>
        <v>13.931887520427432</v>
      </c>
      <c r="N74" s="6">
        <f t="shared" si="164"/>
        <v>14.080296676733113</v>
      </c>
      <c r="O74" s="6">
        <f t="shared" si="164"/>
        <v>14.361028482089978</v>
      </c>
      <c r="P74" s="6">
        <f t="shared" si="164"/>
        <v>14.660887054042076</v>
      </c>
      <c r="Q74" s="6">
        <f t="shared" si="164"/>
        <v>14.996023262665405</v>
      </c>
      <c r="R74" s="6">
        <f t="shared" si="164"/>
        <v>15.343492733168704</v>
      </c>
      <c r="S74" s="6">
        <f t="shared" si="164"/>
        <v>15.704241426174255</v>
      </c>
      <c r="T74" s="6">
        <f t="shared" si="164"/>
        <v>16.10704309195954</v>
      </c>
      <c r="U74" s="6">
        <f t="shared" si="164"/>
        <v>16.531615445572868</v>
      </c>
      <c r="V74" s="6">
        <f t="shared" si="164"/>
        <v>16.999269562513845</v>
      </c>
      <c r="W74" s="6">
        <f t="shared" si="164"/>
        <v>17.45321443099451</v>
      </c>
      <c r="X74" s="6">
        <f t="shared" si="164"/>
        <v>17.903121667676245</v>
      </c>
      <c r="Y74" s="6">
        <f t="shared" si="164"/>
        <v>18.370645451172628</v>
      </c>
      <c r="Z74" s="6">
        <f t="shared" si="164"/>
        <v>18.82844047468576</v>
      </c>
      <c r="AA74" s="6">
        <f t="shared" si="164"/>
        <v>19.310036116142385</v>
      </c>
      <c r="AB74" s="6">
        <f t="shared" si="164"/>
        <v>19.812495738557786</v>
      </c>
      <c r="AC74" s="6">
        <f t="shared" si="164"/>
        <v>20.281127801599805</v>
      </c>
      <c r="AD74" s="6">
        <f t="shared" si="164"/>
        <v>20.730588707076922</v>
      </c>
      <c r="AE74" s="6">
        <f t="shared" si="164"/>
        <v>21.158850760313094</v>
      </c>
      <c r="AF74" s="6">
        <f t="shared" si="164"/>
        <v>23.190315079983677</v>
      </c>
      <c r="AG74" s="6">
        <f t="shared" si="164"/>
        <v>25.049100367939545</v>
      </c>
      <c r="AH74" s="6">
        <f t="shared" ref="AH74:AK74" si="165">AH71*AH$30</f>
        <v>26.84257733919894</v>
      </c>
      <c r="AI74" s="6">
        <f t="shared" si="165"/>
        <v>28.517689450000709</v>
      </c>
      <c r="AJ74" s="6">
        <f t="shared" si="165"/>
        <v>30.092995353261401</v>
      </c>
      <c r="AK74" s="6">
        <f t="shared" si="165"/>
        <v>31.584983588145139</v>
      </c>
      <c r="AL74" s="6"/>
      <c r="AM74" s="6"/>
      <c r="AN74" s="6">
        <v>26.84257733919894</v>
      </c>
      <c r="AO74" s="6">
        <v>28.517689450000709</v>
      </c>
      <c r="AP74" s="6">
        <v>30.092995353261401</v>
      </c>
      <c r="AQ74" s="6">
        <v>31.584983588145139</v>
      </c>
    </row>
    <row r="75" spans="1:43">
      <c r="A75" t="s">
        <v>386</v>
      </c>
      <c r="B75">
        <f t="shared" si="123"/>
        <v>29</v>
      </c>
      <c r="C75" s="269">
        <v>0.33936777226430637</v>
      </c>
      <c r="D75" s="268">
        <v>0.34922378908645002</v>
      </c>
      <c r="E75" s="268">
        <v>0.35473666462293074</v>
      </c>
      <c r="F75" s="268">
        <v>0.35856192519926422</v>
      </c>
      <c r="G75" s="268">
        <v>0.35979950950337214</v>
      </c>
      <c r="H75" s="268">
        <v>0.36519987737584303</v>
      </c>
      <c r="I75" s="268">
        <v>0.36857510729613735</v>
      </c>
      <c r="J75">
        <f>INDEX(DriversGams!$A72:$AN72,1,MATCH(Drivers!J$3,DriversGams!$A$71:$AN$71,0))</f>
        <v>0.32619999999999999</v>
      </c>
      <c r="K75">
        <f>INDEX(DriversGams!$A72:$AN72,1,MATCH(Drivers!K$3,DriversGams!$A$71:$AN$71,0))</f>
        <v>0.2994</v>
      </c>
      <c r="L75" s="182">
        <f>(K75+M75)/2</f>
        <v>0.31118848300622265</v>
      </c>
      <c r="M75">
        <f>INDEX(DriversGams!$A72:$AN72,1,MATCH(Drivers!M$3,DriversGams!$A$71:$AN$71,0))</f>
        <v>0.3229769660124453</v>
      </c>
      <c r="N75">
        <f>INDEX(DriversGams!$A72:$AN72,1,MATCH(Drivers!N$3,DriversGams!$A$71:$AN$71,0))</f>
        <v>0.32341725558949985</v>
      </c>
      <c r="O75">
        <f>INDEX(DriversGams!$A72:$AN72,1,MATCH(Drivers!O$3,DriversGams!$A$71:$AN$71,0))</f>
        <v>0.32583348645578519</v>
      </c>
      <c r="P75" s="182">
        <f>(O75+Q75)/2</f>
        <v>0.32906755481056071</v>
      </c>
      <c r="Q75">
        <f>INDEX(DriversGams!$A72:$AN72,1,MATCH(Drivers!Q$3,DriversGams!$A$71:$AN$71,0))</f>
        <v>0.33230162316533624</v>
      </c>
      <c r="R75">
        <f>INDEX(DriversGams!$A72:$AN72,1,MATCH(Drivers!R$3,DriversGams!$A$71:$AN$71,0))</f>
        <v>0.33651148349830801</v>
      </c>
      <c r="S75">
        <f>INDEX(DriversGams!$A72:$AN72,1,MATCH(Drivers!S$3,DriversGams!$A$71:$AN$71,0))</f>
        <v>0.34119089406864367</v>
      </c>
      <c r="T75">
        <f>INDEX(DriversGams!$A72:$AN72,1,MATCH(Drivers!T$3,DriversGams!$A$71:$AN$71,0))</f>
        <v>0.36221879577366001</v>
      </c>
      <c r="U75">
        <f>INDEX(DriversGams!$A72:$AN72,1,MATCH(Drivers!U$3,DriversGams!$A$71:$AN$71,0))</f>
        <v>0.37004385784560301</v>
      </c>
      <c r="V75">
        <f>INDEX(DriversGams!$A72:$AN72,1,MATCH(Drivers!V$3,DriversGams!$A$71:$AN$71,0))</f>
        <v>0.37852012939101487</v>
      </c>
      <c r="W75">
        <f>INDEX(DriversGams!$A72:$AN72,1,MATCH(Drivers!W$3,DriversGams!$A$71:$AN$71,0))</f>
        <v>0.3878734723924257</v>
      </c>
      <c r="X75">
        <f>INDEX(DriversGams!$A72:$AN72,1,MATCH(Drivers!X$3,DriversGams!$A$71:$AN$71,0))</f>
        <v>0.39741278536009639</v>
      </c>
      <c r="Y75">
        <f>INDEX(DriversGams!$A72:$AN72,1,MATCH(Drivers!Y$3,DriversGams!$A$71:$AN$71,0))</f>
        <v>0.40816256077414653</v>
      </c>
      <c r="Z75">
        <f>INDEX(DriversGams!$A72:$AN72,1,MATCH(Drivers!Z$3,DriversGams!$A$71:$AN$71,0))</f>
        <v>0.41948785970919228</v>
      </c>
      <c r="AA75">
        <f>INDEX(DriversGams!$A72:$AN72,1,MATCH(Drivers!AA$3,DriversGams!$A$71:$AN$71,0))</f>
        <v>0.43088849431928106</v>
      </c>
      <c r="AB75">
        <f>INDEX(DriversGams!$A72:$AN72,1,MATCH(Drivers!AB$3,DriversGams!$A$71:$AN$71,0))</f>
        <v>0.44353505886754657</v>
      </c>
      <c r="AC75">
        <f>INDEX(DriversGams!$A72:$AN72,1,MATCH(Drivers!AC$3,DriversGams!$A$71:$AN$71,0))</f>
        <v>0.45796945182824422</v>
      </c>
      <c r="AD75">
        <f>INDEX(DriversGams!$A72:$AN72,1,MATCH(Drivers!AD$3,DriversGams!$A$71:$AN$71,0))</f>
        <v>0.49299530640753597</v>
      </c>
      <c r="AE75">
        <f>INDEX(DriversGams!$A72:$AN72,1,MATCH(Drivers!AE$3,DriversGams!$A$71:$AN$71,0))</f>
        <v>0.50697126094253331</v>
      </c>
      <c r="AF75">
        <f>INDEX(DriversGams!$A72:$AN72,1,MATCH(Drivers!AF$3,DriversGams!$A$71:$AN$71,0))</f>
        <v>0.58080477896828098</v>
      </c>
      <c r="AG75">
        <f>INDEX(DriversGams!$A72:$AN72,1,MATCH(Drivers!AG$3,DriversGams!$A$71:$AN$71,0))</f>
        <v>0.66610516650076956</v>
      </c>
      <c r="AH75">
        <f>INDEX(DriversGams!$A72:$AN72,1,MATCH(Drivers!AH$3,DriversGams!$A$71:$AN$71,0))</f>
        <v>0.75273856178520915</v>
      </c>
      <c r="AI75" s="17">
        <f t="shared" ref="AI75" si="166">AO75/AN75*AH75</f>
        <v>0.82133769911310128</v>
      </c>
      <c r="AJ75" s="17">
        <f t="shared" ref="AJ75" si="167">AP75/AO75*AI75</f>
        <v>0.86510354931807643</v>
      </c>
      <c r="AK75" s="17">
        <f t="shared" ref="AK75" si="168">AQ75/AP75*AJ75</f>
        <v>0.87937509313274786</v>
      </c>
      <c r="AL75" s="107"/>
      <c r="AM75" s="107"/>
      <c r="AN75">
        <v>0.75273856178520915</v>
      </c>
      <c r="AO75">
        <v>0.82133769911310128</v>
      </c>
      <c r="AP75">
        <v>0.86510354931807654</v>
      </c>
      <c r="AQ75">
        <v>0.87937509313274809</v>
      </c>
    </row>
    <row r="76" spans="1:43">
      <c r="A76" t="s">
        <v>263</v>
      </c>
      <c r="C76" s="92"/>
      <c r="D76" s="274">
        <f>(D75/C75)^(1/(D$5-C$5))-1</f>
        <v>2.9042288713459818E-2</v>
      </c>
      <c r="E76" s="274">
        <f t="shared" ref="E76" si="169">(E75/D75)^(1/(E$5-D$5))-1</f>
        <v>1.5786082474226859E-2</v>
      </c>
      <c r="F76" s="274">
        <f t="shared" ref="F76" si="170">(F75/E75)^(1/(F$5-E$5))-1</f>
        <v>1.0783380907072537E-2</v>
      </c>
      <c r="G76" s="274">
        <f t="shared" ref="G76" si="171">(G75/F75)^(1/(G$5-F$5))-1</f>
        <v>3.4515218073423171E-3</v>
      </c>
      <c r="H76" s="274">
        <f t="shared" ref="H76" si="172">(H75/G75)^(1/(H$5-G$5))-1</f>
        <v>1.5009380863039379E-2</v>
      </c>
      <c r="I76" s="274">
        <f t="shared" ref="I76" si="173">(I75/H75)^(1/(I$5-H$5))-1</f>
        <v>9.2421441774492852E-3</v>
      </c>
      <c r="J76" s="92">
        <f t="shared" ref="J76" si="174">(J75/I75)^(1/(J$5-I$5))-1</f>
        <v>-0.11497007382565971</v>
      </c>
      <c r="K76" s="92">
        <f t="shared" ref="K76" si="175">(K75/J75)^(1/(K$5-J$5))-1</f>
        <v>-8.2158185162476971E-2</v>
      </c>
      <c r="L76" s="92">
        <f t="shared" ref="L76" si="176">(L75/K75)^(1/(L$5-K$5))-1</f>
        <v>3.937369073554664E-2</v>
      </c>
      <c r="M76" s="92">
        <f t="shared" ref="M76" si="177">(M75/L75)^(1/(M$5-L$5))-1</f>
        <v>3.7882131409043618E-2</v>
      </c>
      <c r="N76" s="92">
        <f t="shared" ref="N76" si="178">(N75/M75)^(1/(N$5-M$5))-1</f>
        <v>1.363222840595979E-3</v>
      </c>
      <c r="O76" s="92">
        <f t="shared" ref="O76" si="179">(O75/N75)^(1/(O$5-N$5))-1</f>
        <v>7.4709398602781363E-3</v>
      </c>
      <c r="P76" s="92">
        <f t="shared" ref="P76" si="180">(P75/O75)^(1/(P$5-O$5))-1</f>
        <v>9.9255248131606688E-3</v>
      </c>
      <c r="Q76" s="92">
        <f t="shared" ref="Q76" si="181">(Q75/P75)^(1/(Q$5-P$5))-1</f>
        <v>9.827976983745268E-3</v>
      </c>
      <c r="R76" s="92">
        <f t="shared" ref="R76" si="182">(R75/Q75)^(1/(R$5-Q$5))-1</f>
        <v>1.2668792565232678E-2</v>
      </c>
      <c r="S76" s="92">
        <f t="shared" ref="S76" si="183">(S75/R75)^(1/(S$5-R$5))-1</f>
        <v>1.39056489891205E-2</v>
      </c>
      <c r="T76" s="92">
        <f t="shared" ref="T76" si="184">(T75/S75)^(1/(T$5-S$5))-1</f>
        <v>6.1630899506907033E-2</v>
      </c>
      <c r="U76" s="92">
        <f t="shared" ref="U76" si="185">(U75/T75)^(1/(U$5-T$5))-1</f>
        <v>2.1603136455769834E-2</v>
      </c>
      <c r="V76" s="92">
        <f t="shared" ref="V76" si="186">(V75/U75)^(1/(V$5-U$5))-1</f>
        <v>2.2906126843344365E-2</v>
      </c>
      <c r="W76" s="92">
        <f t="shared" ref="W76" si="187">(W75/V75)^(1/(W$5-V$5))-1</f>
        <v>2.4710292201524542E-2</v>
      </c>
      <c r="X76" s="92">
        <f t="shared" ref="X76" si="188">(X75/W75)^(1/(X$5-W$5))-1</f>
        <v>2.4593878278995618E-2</v>
      </c>
      <c r="Y76" s="92">
        <f t="shared" ref="Y76" si="189">(Y75/X75)^(1/(Y$5-X$5))-1</f>
        <v>2.7049395012064714E-2</v>
      </c>
      <c r="Z76" s="92">
        <f t="shared" ref="Z76" si="190">(Z75/Y75)^(1/(Z$5-Y$5))-1</f>
        <v>2.7747030285103724E-2</v>
      </c>
      <c r="AA76" s="92">
        <f t="shared" ref="AA76" si="191">(AA75/Z75)^(1/(AA$5-Z$5))-1</f>
        <v>2.7177507873510809E-2</v>
      </c>
      <c r="AB76" s="92">
        <f t="shared" ref="AB76" si="192">(AB75/AA75)^(1/(AB$5-AA$5))-1</f>
        <v>2.9349970386757684E-2</v>
      </c>
      <c r="AC76" s="92">
        <f t="shared" ref="AC76" si="193">(AC75/AB75)^(1/(AC$5-AB$5))-1</f>
        <v>3.2543972955716649E-2</v>
      </c>
      <c r="AD76" s="92">
        <f t="shared" ref="AD76" si="194">(AD75/AC75)^(1/(AD$5-AC$5))-1</f>
        <v>7.6480766215882401E-2</v>
      </c>
      <c r="AE76" s="92">
        <f t="shared" ref="AE76" si="195">(AE75/AD75)^(1/(AE$5-AD$5))-1</f>
        <v>2.83490620566762E-2</v>
      </c>
      <c r="AF76" s="92">
        <f t="shared" ref="AF76" si="196">(AF75/AE75)^(1/(AF$5-AE$5))-1</f>
        <v>2.7565153237630202E-2</v>
      </c>
      <c r="AG76" s="92">
        <f t="shared" ref="AG76" si="197">(AG75/AF75)^(1/(AG$5-AF$5))-1</f>
        <v>2.7785589548525946E-2</v>
      </c>
      <c r="AH76" s="291">
        <f t="shared" ref="AH76" si="198">(AH75/AG75)^(1/(AH$5-AG$5))-1</f>
        <v>2.4755534538967172E-2</v>
      </c>
      <c r="AI76" s="291">
        <f>(AI75/AH75)^(1/(AI$5-AH$5))-1</f>
        <v>1.7596298267333221E-2</v>
      </c>
      <c r="AJ76" s="291">
        <f t="shared" ref="AJ76" si="199">(AJ75/AI75)^(1/(AJ$5-AI$5))-1</f>
        <v>1.0437061796241043E-2</v>
      </c>
      <c r="AK76" s="291">
        <f t="shared" ref="AK76" si="200">(AK75/AJ75)^(1/(AK$5-AJ$5))-1</f>
        <v>3.2778251214204968E-3</v>
      </c>
      <c r="AL76" s="92"/>
      <c r="AM76" s="92"/>
      <c r="AN76" s="291">
        <v>2.4755534538967172E-2</v>
      </c>
      <c r="AO76" s="291">
        <v>1.7596298267333221E-2</v>
      </c>
      <c r="AP76" s="291">
        <v>1.0437061796241043E-2</v>
      </c>
      <c r="AQ76" s="291">
        <v>3.2778251214204968E-3</v>
      </c>
    </row>
    <row r="78" spans="1:43">
      <c r="A78" t="s">
        <v>636</v>
      </c>
      <c r="L78">
        <f>L69/K69</f>
        <v>1.0154985221388417</v>
      </c>
      <c r="M78">
        <f t="shared" ref="M78:AG80" si="201">M69/L69</f>
        <v>0.98176189032794514</v>
      </c>
      <c r="N78">
        <f t="shared" si="201"/>
        <v>0.99826013597339702</v>
      </c>
      <c r="O78">
        <f t="shared" si="201"/>
        <v>0.99152800245779926</v>
      </c>
      <c r="P78">
        <f t="shared" si="201"/>
        <v>0.99075804450520166</v>
      </c>
      <c r="Q78">
        <f t="shared" si="201"/>
        <v>0.98970796776809622</v>
      </c>
      <c r="R78">
        <f t="shared" si="201"/>
        <v>0.98835310386224784</v>
      </c>
      <c r="S78">
        <f t="shared" si="201"/>
        <v>0.98756452754709656</v>
      </c>
      <c r="T78">
        <f t="shared" si="201"/>
        <v>0.98554049877806327</v>
      </c>
      <c r="U78">
        <f t="shared" si="201"/>
        <v>0.98313246722570857</v>
      </c>
      <c r="V78">
        <f t="shared" si="201"/>
        <v>0.9820593977284604</v>
      </c>
      <c r="W78">
        <f t="shared" si="201"/>
        <v>0.98229472090122694</v>
      </c>
      <c r="X78">
        <f t="shared" si="201"/>
        <v>0.98250244826749511</v>
      </c>
      <c r="Y78">
        <f t="shared" si="201"/>
        <v>0.98132078894011099</v>
      </c>
      <c r="Z78">
        <f t="shared" si="201"/>
        <v>0.98092675497906812</v>
      </c>
      <c r="AA78">
        <f t="shared" si="201"/>
        <v>0.98185867569828567</v>
      </c>
      <c r="AB78">
        <f t="shared" si="201"/>
        <v>0.98140575462001578</v>
      </c>
      <c r="AC78">
        <f t="shared" si="201"/>
        <v>0.98176096987643235</v>
      </c>
      <c r="AD78">
        <f t="shared" si="201"/>
        <v>0.98325106863301392</v>
      </c>
      <c r="AE78">
        <f t="shared" si="201"/>
        <v>0.98411942554625387</v>
      </c>
      <c r="AF78">
        <f t="shared" si="201"/>
        <v>0.89960314232211847</v>
      </c>
      <c r="AG78">
        <f t="shared" si="201"/>
        <v>0.89160712529686847</v>
      </c>
      <c r="AH78">
        <f t="shared" ref="AH78:AH80" si="202">AH69/AG69</f>
        <v>0.87983384217039851</v>
      </c>
      <c r="AI78">
        <f t="shared" ref="AI78:AI80" si="203">AI69/AH69</f>
        <v>0.86299926134147653</v>
      </c>
      <c r="AJ78">
        <f t="shared" ref="AJ78:AJ80" si="204">AJ69/AI69</f>
        <v>0.84097945156380127</v>
      </c>
      <c r="AK78">
        <f t="shared" ref="AK78:AK80" si="205">AK69/AJ69</f>
        <v>0.8109422613349887</v>
      </c>
      <c r="AN78">
        <v>0.87983384217039851</v>
      </c>
      <c r="AO78">
        <v>0.86299926134147653</v>
      </c>
      <c r="AP78">
        <v>0.84097945156380127</v>
      </c>
      <c r="AQ78">
        <v>0.8109422613349887</v>
      </c>
    </row>
    <row r="79" spans="1:43">
      <c r="A79" t="s">
        <v>637</v>
      </c>
      <c r="L79">
        <f t="shared" ref="L79:AA80" si="206">L70/K70</f>
        <v>0.95010645075266564</v>
      </c>
      <c r="M79">
        <f t="shared" si="206"/>
        <v>1.0135440107622837</v>
      </c>
      <c r="N79">
        <f t="shared" si="206"/>
        <v>1.0010766096709707</v>
      </c>
      <c r="O79">
        <f t="shared" si="206"/>
        <v>1.0049416610398885</v>
      </c>
      <c r="P79">
        <f t="shared" si="206"/>
        <v>1.0056457624121267</v>
      </c>
      <c r="Q79">
        <f t="shared" si="206"/>
        <v>1.0050841763234954</v>
      </c>
      <c r="R79">
        <f t="shared" si="206"/>
        <v>1.0061349683944441</v>
      </c>
      <c r="S79">
        <f t="shared" si="206"/>
        <v>1.0062992446046222</v>
      </c>
      <c r="T79">
        <f t="shared" si="206"/>
        <v>1.0067116596211174</v>
      </c>
      <c r="U79">
        <f t="shared" si="206"/>
        <v>1.0085509387337628</v>
      </c>
      <c r="V79">
        <f t="shared" si="206"/>
        <v>1.0075281874852948</v>
      </c>
      <c r="W79">
        <f t="shared" si="206"/>
        <v>1.0075276467743257</v>
      </c>
      <c r="X79">
        <f t="shared" si="206"/>
        <v>1.0071275743922723</v>
      </c>
      <c r="Y79">
        <f t="shared" si="206"/>
        <v>1.0073979718597705</v>
      </c>
      <c r="Z79">
        <f t="shared" si="206"/>
        <v>1.0079167254367234</v>
      </c>
      <c r="AA79">
        <f t="shared" si="206"/>
        <v>1.0054755919313414</v>
      </c>
      <c r="AB79">
        <f t="shared" si="201"/>
        <v>1.0047798099518033</v>
      </c>
      <c r="AC79">
        <f t="shared" si="201"/>
        <v>1.0055040834975462</v>
      </c>
      <c r="AD79">
        <f t="shared" si="201"/>
        <v>1.0044151335730478</v>
      </c>
      <c r="AE79">
        <f t="shared" si="201"/>
        <v>1.0041300488298472</v>
      </c>
      <c r="AF79">
        <f t="shared" si="201"/>
        <v>1.0445425598913864</v>
      </c>
      <c r="AG79">
        <f t="shared" si="201"/>
        <v>1.0444120556143639</v>
      </c>
      <c r="AH79">
        <f t="shared" si="202"/>
        <v>1.0403303262159191</v>
      </c>
      <c r="AI79">
        <f t="shared" si="203"/>
        <v>1.0394230275797109</v>
      </c>
      <c r="AJ79">
        <f t="shared" si="204"/>
        <v>1.0382231534440094</v>
      </c>
      <c r="AK79">
        <f t="shared" si="205"/>
        <v>1.0367838638539821</v>
      </c>
      <c r="AN79">
        <v>1.0403303262159191</v>
      </c>
      <c r="AO79">
        <v>1.0394230275797109</v>
      </c>
      <c r="AP79">
        <v>1.0382231534440094</v>
      </c>
      <c r="AQ79">
        <v>1.0367838638539821</v>
      </c>
    </row>
    <row r="80" spans="1:43">
      <c r="A80" t="s">
        <v>638</v>
      </c>
      <c r="L80">
        <f t="shared" si="206"/>
        <v>1.0419314670838784</v>
      </c>
      <c r="M80">
        <f t="shared" si="201"/>
        <v>1.0185707449325603</v>
      </c>
      <c r="N80">
        <f t="shared" si="201"/>
        <v>1.0019433817256895</v>
      </c>
      <c r="O80">
        <f t="shared" si="201"/>
        <v>1.0098133579017834</v>
      </c>
      <c r="P80">
        <f t="shared" si="201"/>
        <v>1.0100731707806665</v>
      </c>
      <c r="Q80">
        <f t="shared" si="201"/>
        <v>1.0124843761441933</v>
      </c>
      <c r="R80">
        <f t="shared" si="201"/>
        <v>1.0131880688596289</v>
      </c>
      <c r="S80">
        <f t="shared" si="201"/>
        <v>1.0139138737865971</v>
      </c>
      <c r="T80">
        <f t="shared" si="201"/>
        <v>1.0163801965920627</v>
      </c>
      <c r="U80">
        <f t="shared" si="201"/>
        <v>1.0173823122415047</v>
      </c>
      <c r="V80">
        <f t="shared" si="201"/>
        <v>1.0195803435503656</v>
      </c>
      <c r="W80">
        <f t="shared" si="201"/>
        <v>1.018250088479578</v>
      </c>
      <c r="X80">
        <f t="shared" si="201"/>
        <v>1.0175563342328584</v>
      </c>
      <c r="Y80">
        <f t="shared" si="201"/>
        <v>1.0181272146286386</v>
      </c>
      <c r="Z80">
        <f t="shared" si="201"/>
        <v>1.0171552165470947</v>
      </c>
      <c r="AA80">
        <f t="shared" si="201"/>
        <v>1.0179893904418502</v>
      </c>
      <c r="AB80">
        <f t="shared" si="201"/>
        <v>1.0186258832530726</v>
      </c>
      <c r="AC80">
        <f t="shared" si="201"/>
        <v>1.016506690925179</v>
      </c>
      <c r="AD80">
        <f t="shared" si="201"/>
        <v>1.015249480589399</v>
      </c>
      <c r="AE80">
        <f t="shared" si="201"/>
        <v>1.0139660073992294</v>
      </c>
      <c r="AF80">
        <f t="shared" si="201"/>
        <v>1.0639268173960192</v>
      </c>
      <c r="AG80">
        <f t="shared" si="201"/>
        <v>1.0549814033385723</v>
      </c>
      <c r="AH80">
        <f t="shared" si="202"/>
        <v>1.0534140468778366</v>
      </c>
      <c r="AI80">
        <f t="shared" si="203"/>
        <v>1.0502713314116625</v>
      </c>
      <c r="AJ80">
        <f t="shared" si="204"/>
        <v>1.0476952030099886</v>
      </c>
      <c r="AK80">
        <f t="shared" si="205"/>
        <v>1.0455441804964232</v>
      </c>
      <c r="AN80">
        <v>1.0534140468778366</v>
      </c>
      <c r="AO80">
        <v>1.0502713314116625</v>
      </c>
      <c r="AP80">
        <v>1.0476952030099886</v>
      </c>
      <c r="AQ80">
        <v>1.0455441804964232</v>
      </c>
    </row>
    <row r="81" spans="1:43">
      <c r="A81" t="s">
        <v>380</v>
      </c>
      <c r="K81" s="17">
        <f>K69</f>
        <v>0.45521601685985247</v>
      </c>
      <c r="L81">
        <f>K81*L78</f>
        <v>0.46227119237511022</v>
      </c>
      <c r="M81">
        <f t="shared" ref="M81:AG83" si="207">L81*M78</f>
        <v>0.45384023967034137</v>
      </c>
      <c r="N81">
        <f t="shared" si="207"/>
        <v>0.4530506193635141</v>
      </c>
      <c r="O81">
        <f t="shared" si="207"/>
        <v>0.4492123756297739</v>
      </c>
      <c r="P81">
        <f t="shared" si="207"/>
        <v>0.44506077484649087</v>
      </c>
      <c r="Q81">
        <f t="shared" si="207"/>
        <v>0.44048019500661473</v>
      </c>
      <c r="R81">
        <f t="shared" si="207"/>
        <v>0.43534996792463587</v>
      </c>
      <c r="S81">
        <f t="shared" si="207"/>
        <v>0.42993618539113665</v>
      </c>
      <c r="T81">
        <f t="shared" si="207"/>
        <v>0.42371952259311868</v>
      </c>
      <c r="U81">
        <f t="shared" si="207"/>
        <v>0.41657241965867214</v>
      </c>
      <c r="V81">
        <f t="shared" si="207"/>
        <v>0.40909885956028302</v>
      </c>
      <c r="W81">
        <f t="shared" si="207"/>
        <v>0.40185565007277846</v>
      </c>
      <c r="X81">
        <f t="shared" si="207"/>
        <v>0.39482416004663062</v>
      </c>
      <c r="Y81">
        <f t="shared" si="207"/>
        <v>0.38744915622957621</v>
      </c>
      <c r="Z81">
        <f t="shared" si="207"/>
        <v>0.3800592435396562</v>
      </c>
      <c r="AA81">
        <f t="shared" si="207"/>
        <v>0.37316446554873905</v>
      </c>
      <c r="AB81">
        <f t="shared" si="207"/>
        <v>0.36622575390923512</v>
      </c>
      <c r="AC81">
        <f t="shared" si="207"/>
        <v>0.35954615135165829</v>
      </c>
      <c r="AD81">
        <f t="shared" si="207"/>
        <v>0.35352413753940537</v>
      </c>
      <c r="AE81">
        <f t="shared" si="207"/>
        <v>0.34790997115201444</v>
      </c>
      <c r="AF81">
        <f t="shared" si="207"/>
        <v>0.31298090329354977</v>
      </c>
      <c r="AG81">
        <f t="shared" si="207"/>
        <v>0.27905600345837911</v>
      </c>
      <c r="AH81">
        <f t="shared" ref="AH81:AH83" si="208">AG81*AH78</f>
        <v>0.24552291570350171</v>
      </c>
      <c r="AI81">
        <f t="shared" ref="AI81:AI83" si="209">AH81*AI78</f>
        <v>0.21188609489452759</v>
      </c>
      <c r="AJ81">
        <f t="shared" ref="AJ81:AJ83" si="210">AI81*AJ78</f>
        <v>0.17819185187839537</v>
      </c>
      <c r="AK81">
        <f t="shared" ref="AK81:AK83" si="211">AJ81*AK78</f>
        <v>0.14450330331373529</v>
      </c>
      <c r="AN81">
        <v>0.24552291570350171</v>
      </c>
      <c r="AO81">
        <v>0.21188609489452759</v>
      </c>
      <c r="AP81">
        <v>0.17819185187839537</v>
      </c>
      <c r="AQ81">
        <v>0.14450330331373529</v>
      </c>
    </row>
    <row r="82" spans="1:43">
      <c r="A82" t="s">
        <v>381</v>
      </c>
      <c r="K82" s="17">
        <f t="shared" ref="K82:K83" si="212">K70</f>
        <v>0.32560590094836672</v>
      </c>
      <c r="L82">
        <f t="shared" ref="L82:AA83" si="213">K82*L79</f>
        <v>0.30936026689417673</v>
      </c>
      <c r="M82">
        <f t="shared" si="213"/>
        <v>0.31355024567841444</v>
      </c>
      <c r="N82">
        <f t="shared" si="213"/>
        <v>0.31388781690524703</v>
      </c>
      <c r="O82">
        <f t="shared" si="213"/>
        <v>0.31543894410094331</v>
      </c>
      <c r="P82">
        <f t="shared" si="213"/>
        <v>0.31721983743486931</v>
      </c>
      <c r="Q82">
        <f t="shared" si="213"/>
        <v>0.31883263902169873</v>
      </c>
      <c r="R82">
        <f t="shared" si="213"/>
        <v>0.32078866718521404</v>
      </c>
      <c r="S82">
        <f t="shared" si="213"/>
        <v>0.32280939346620441</v>
      </c>
      <c r="T82">
        <f t="shared" si="213"/>
        <v>0.32497598023764895</v>
      </c>
      <c r="U82">
        <f t="shared" si="213"/>
        <v>0.32775482993460558</v>
      </c>
      <c r="V82">
        <f t="shared" si="213"/>
        <v>0.33022222974356419</v>
      </c>
      <c r="W82">
        <f t="shared" si="213"/>
        <v>0.332708026046104</v>
      </c>
      <c r="X82">
        <f t="shared" si="213"/>
        <v>0.33507942725265366</v>
      </c>
      <c r="Y82">
        <f t="shared" si="213"/>
        <v>0.33755833542625679</v>
      </c>
      <c r="Z82">
        <f t="shared" si="213"/>
        <v>0.34023069208670387</v>
      </c>
      <c r="AA82">
        <f t="shared" si="213"/>
        <v>0.34209365651908852</v>
      </c>
      <c r="AB82">
        <f t="shared" si="207"/>
        <v>0.34372879918296723</v>
      </c>
      <c r="AC82">
        <f t="shared" si="207"/>
        <v>0.34562071119418153</v>
      </c>
      <c r="AD82">
        <f t="shared" si="207"/>
        <v>0.34714667279971562</v>
      </c>
      <c r="AE82">
        <f t="shared" si="207"/>
        <v>0.34858040550949743</v>
      </c>
      <c r="AF82">
        <f t="shared" si="207"/>
        <v>0.36410706909886797</v>
      </c>
      <c r="AG82">
        <f t="shared" si="207"/>
        <v>0.38027781250126996</v>
      </c>
      <c r="AH82">
        <f t="shared" si="208"/>
        <v>0.39561454073212232</v>
      </c>
      <c r="AI82">
        <f t="shared" si="209"/>
        <v>0.41121086368233944</v>
      </c>
      <c r="AJ82">
        <f t="shared" si="210"/>
        <v>0.42692863962271316</v>
      </c>
      <c r="AK82">
        <f t="shared" si="211"/>
        <v>0.44263272457796082</v>
      </c>
      <c r="AN82">
        <v>0.39561454073212232</v>
      </c>
      <c r="AO82">
        <v>0.41121086368233944</v>
      </c>
      <c r="AP82">
        <v>0.42692863962271316</v>
      </c>
      <c r="AQ82">
        <v>0.44263272457796082</v>
      </c>
    </row>
    <row r="83" spans="1:43">
      <c r="A83" t="s">
        <v>382</v>
      </c>
      <c r="K83" s="17">
        <f t="shared" si="212"/>
        <v>0.21917808219178081</v>
      </c>
      <c r="L83">
        <f t="shared" si="213"/>
        <v>0.22836854073071305</v>
      </c>
      <c r="M83">
        <f t="shared" si="207"/>
        <v>0.23260951465124413</v>
      </c>
      <c r="N83">
        <f t="shared" si="207"/>
        <v>0.23306156373123887</v>
      </c>
      <c r="O83">
        <f t="shared" si="207"/>
        <v>0.23534868026928282</v>
      </c>
      <c r="P83">
        <f t="shared" si="207"/>
        <v>0.23771938771863979</v>
      </c>
      <c r="Q83">
        <f t="shared" si="207"/>
        <v>0.2406871659716866</v>
      </c>
      <c r="R83">
        <f t="shared" si="207"/>
        <v>0.24386136489015012</v>
      </c>
      <c r="S83">
        <f t="shared" si="207"/>
        <v>0.24725442114265897</v>
      </c>
      <c r="T83">
        <f t="shared" si="207"/>
        <v>0.25130449716923237</v>
      </c>
      <c r="U83">
        <f t="shared" si="207"/>
        <v>0.25567275040672227</v>
      </c>
      <c r="V83">
        <f t="shared" si="207"/>
        <v>0.26067891069615279</v>
      </c>
      <c r="W83">
        <f t="shared" si="207"/>
        <v>0.2654363238811176</v>
      </c>
      <c r="X83">
        <f t="shared" si="207"/>
        <v>0.27009641270071577</v>
      </c>
      <c r="Y83">
        <f t="shared" si="207"/>
        <v>0.274992508344167</v>
      </c>
      <c r="Z83">
        <f t="shared" si="207"/>
        <v>0.27971006437363993</v>
      </c>
      <c r="AA83">
        <f t="shared" si="207"/>
        <v>0.28474187793217243</v>
      </c>
      <c r="AB83">
        <f t="shared" si="207"/>
        <v>0.29004544690779771</v>
      </c>
      <c r="AC83">
        <f t="shared" si="207"/>
        <v>0.29483313745416012</v>
      </c>
      <c r="AD83">
        <f t="shared" si="207"/>
        <v>0.29932918966087896</v>
      </c>
      <c r="AE83">
        <f t="shared" si="207"/>
        <v>0.30350962333848813</v>
      </c>
      <c r="AF83">
        <f t="shared" si="207"/>
        <v>0.32291202760758225</v>
      </c>
      <c r="AG83">
        <f t="shared" si="207"/>
        <v>0.34066618404035093</v>
      </c>
      <c r="AH83">
        <f t="shared" si="208"/>
        <v>0.35886254356437591</v>
      </c>
      <c r="AI83">
        <f t="shared" si="209"/>
        <v>0.37690304142313286</v>
      </c>
      <c r="AJ83">
        <f t="shared" si="210"/>
        <v>0.39487950849889136</v>
      </c>
      <c r="AK83">
        <f t="shared" si="211"/>
        <v>0.41286397210830372</v>
      </c>
      <c r="AN83">
        <v>0.35886254356437591</v>
      </c>
      <c r="AO83">
        <v>0.37690304142313286</v>
      </c>
      <c r="AP83">
        <v>0.39487950849889136</v>
      </c>
      <c r="AQ83">
        <v>0.41286397210830372</v>
      </c>
    </row>
    <row r="86" spans="1:43">
      <c r="A86" t="s">
        <v>694</v>
      </c>
    </row>
    <row r="87" spans="1:43">
      <c r="C87">
        <f>C5</f>
        <v>2012</v>
      </c>
      <c r="D87">
        <f>D5</f>
        <v>2013</v>
      </c>
      <c r="E87">
        <f t="shared" ref="E87:AG87" si="214">E5</f>
        <v>2014</v>
      </c>
      <c r="F87">
        <f t="shared" si="214"/>
        <v>2015</v>
      </c>
      <c r="G87">
        <f t="shared" si="214"/>
        <v>2016</v>
      </c>
      <c r="H87">
        <f t="shared" si="214"/>
        <v>2017</v>
      </c>
      <c r="I87">
        <f t="shared" si="214"/>
        <v>2018</v>
      </c>
      <c r="J87">
        <f t="shared" si="214"/>
        <v>2019</v>
      </c>
      <c r="K87">
        <f t="shared" si="214"/>
        <v>2020</v>
      </c>
      <c r="L87">
        <f t="shared" si="214"/>
        <v>2021</v>
      </c>
      <c r="M87">
        <f t="shared" si="214"/>
        <v>2022</v>
      </c>
      <c r="N87">
        <f t="shared" si="214"/>
        <v>2023</v>
      </c>
      <c r="O87">
        <f t="shared" si="214"/>
        <v>2024</v>
      </c>
      <c r="P87">
        <f t="shared" si="214"/>
        <v>2025</v>
      </c>
      <c r="Q87">
        <f t="shared" si="214"/>
        <v>2026</v>
      </c>
      <c r="R87">
        <f t="shared" si="214"/>
        <v>2027</v>
      </c>
      <c r="S87">
        <f t="shared" si="214"/>
        <v>2028</v>
      </c>
      <c r="T87">
        <f t="shared" si="214"/>
        <v>2029</v>
      </c>
      <c r="U87">
        <f t="shared" si="214"/>
        <v>2030</v>
      </c>
      <c r="V87">
        <f t="shared" si="214"/>
        <v>2031</v>
      </c>
      <c r="W87">
        <f t="shared" si="214"/>
        <v>2032</v>
      </c>
      <c r="X87">
        <f t="shared" si="214"/>
        <v>2033</v>
      </c>
      <c r="Y87">
        <f t="shared" si="214"/>
        <v>2034</v>
      </c>
      <c r="Z87">
        <f t="shared" si="214"/>
        <v>2035</v>
      </c>
      <c r="AA87">
        <f t="shared" si="214"/>
        <v>2036</v>
      </c>
      <c r="AB87">
        <f t="shared" si="214"/>
        <v>2037</v>
      </c>
      <c r="AC87">
        <f t="shared" si="214"/>
        <v>2038</v>
      </c>
      <c r="AD87">
        <f t="shared" si="214"/>
        <v>2039</v>
      </c>
      <c r="AE87">
        <f t="shared" si="214"/>
        <v>2040</v>
      </c>
      <c r="AF87">
        <f t="shared" si="214"/>
        <v>2045</v>
      </c>
      <c r="AG87">
        <f t="shared" si="214"/>
        <v>2050</v>
      </c>
      <c r="AH87">
        <f t="shared" ref="AH87:AK87" si="215">AH5</f>
        <v>2055</v>
      </c>
      <c r="AI87">
        <f t="shared" si="215"/>
        <v>2060</v>
      </c>
      <c r="AJ87">
        <f t="shared" si="215"/>
        <v>2065</v>
      </c>
      <c r="AK87">
        <f t="shared" si="215"/>
        <v>2070</v>
      </c>
      <c r="AN87">
        <v>2055</v>
      </c>
      <c r="AO87">
        <v>2060</v>
      </c>
      <c r="AP87">
        <v>2065</v>
      </c>
      <c r="AQ87">
        <v>2070</v>
      </c>
    </row>
    <row r="88" spans="1:43">
      <c r="A88" t="s">
        <v>372</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v>
      </c>
      <c r="K88" s="3">
        <f>INDEX(DriversGams!$A$130:$AN$140,MATCH(Drivers!$A88,DriversGams!$A$130:$A$140,0),MATCH(Drivers!K$3,DriversGams!$A$130:$AN$130,0))</f>
        <v>107.464</v>
      </c>
      <c r="L88" s="3">
        <f>INDEX(DriversGams!$A$130:$AN$140,MATCH(Drivers!$A88,DriversGams!$A$130:$A$140,0),MATCH(Drivers!L$3,DriversGams!$A$130:$AN$130,0))</f>
        <v>109.577</v>
      </c>
      <c r="M88" s="3">
        <f>INDEX(DriversGams!$A$130:$AN$140,MATCH(Drivers!$A88,DriversGams!$A$130:$A$140,0),MATCH(Drivers!M$3,DriversGams!$A$130:$AN$130,0))</f>
        <v>110.503</v>
      </c>
      <c r="N88" s="3">
        <f>INDEX(DriversGams!$A$130:$AN$140,MATCH(Drivers!$A88,DriversGams!$A$130:$A$140,0),MATCH(Drivers!N$3,DriversGams!$A$130:$AN$130,0))</f>
        <v>112.52</v>
      </c>
      <c r="O88" s="3">
        <f>INDEX(DriversGams!$A$130:$AN$140,MATCH(Drivers!$A88,DriversGams!$A$130:$A$140,0),MATCH(Drivers!O$3,DriversGams!$A$130:$AN$130,0))</f>
        <v>115.176</v>
      </c>
      <c r="P88" s="3">
        <f>INDEX(DriversGams!$A$130:$AN$140,MATCH(Drivers!$A88,DriversGams!$A$130:$A$140,0),MATCH(Drivers!P$3,DriversGams!$A$130:$AN$130,0))</f>
        <v>118.041</v>
      </c>
      <c r="Q88" s="3">
        <f>INDEX(DriversGams!$A$130:$AN$140,MATCH(Drivers!$A88,DriversGams!$A$130:$A$140,0),MATCH(Drivers!Q$3,DriversGams!$A$130:$AN$130,0))</f>
        <v>121.706</v>
      </c>
      <c r="R88" s="3">
        <f>INDEX(DriversGams!$A$130:$AN$140,MATCH(Drivers!$A88,DriversGams!$A$130:$A$140,0),MATCH(Drivers!R$3,DriversGams!$A$130:$AN$130,0))</f>
        <v>124.937</v>
      </c>
      <c r="S88" s="3">
        <f>INDEX(DriversGams!$A$130:$AN$140,MATCH(Drivers!$A88,DriversGams!$A$130:$A$140,0),MATCH(Drivers!S$3,DriversGams!$A$130:$AN$130,0))</f>
        <v>131.876</v>
      </c>
      <c r="T88" s="3">
        <f>INDEX(DriversGams!$A$130:$AN$140,MATCH(Drivers!$A88,DriversGams!$A$130:$A$140,0),MATCH(Drivers!T$3,DriversGams!$A$130:$AN$130,0))</f>
        <v>137.161</v>
      </c>
      <c r="U88" s="3">
        <f>INDEX(DriversGams!$A$130:$AN$140,MATCH(Drivers!$A88,DriversGams!$A$130:$A$140,0),MATCH(Drivers!U$3,DriversGams!$A$130:$AN$130,0))</f>
        <v>140.69499999999999</v>
      </c>
      <c r="V88" s="3">
        <f>INDEX(DriversGams!$A$130:$AN$140,MATCH(Drivers!$A88,DriversGams!$A$130:$A$140,0),MATCH(Drivers!V$3,DriversGams!$A$130:$AN$130,0))</f>
        <v>143.66999999999999</v>
      </c>
      <c r="W88" s="3">
        <f>INDEX(DriversGams!$A$130:$AN$140,MATCH(Drivers!$A88,DriversGams!$A$130:$A$140,0),MATCH(Drivers!W$3,DriversGams!$A$130:$AN$130,0))</f>
        <v>146.92400000000001</v>
      </c>
      <c r="X88" s="3">
        <f>INDEX(DriversGams!$A$130:$AN$140,MATCH(Drivers!$A88,DriversGams!$A$130:$A$140,0),MATCH(Drivers!X$3,DriversGams!$A$130:$AN$130,0))</f>
        <v>151</v>
      </c>
      <c r="Y88" s="3">
        <f>INDEX(DriversGams!$A$130:$AN$140,MATCH(Drivers!$A88,DriversGams!$A$130:$A$140,0),MATCH(Drivers!Y$3,DriversGams!$A$130:$AN$130,0))</f>
        <v>155.93299999999999</v>
      </c>
      <c r="Z88" s="3">
        <f>INDEX(DriversGams!$A$130:$AN$140,MATCH(Drivers!$A88,DriversGams!$A$130:$A$140,0),MATCH(Drivers!Z$3,DriversGams!$A$130:$AN$130,0))</f>
        <v>166.673</v>
      </c>
      <c r="AA88" s="3">
        <f>INDEX(DriversGams!$A$130:$AN$140,MATCH(Drivers!$A88,DriversGams!$A$130:$A$140,0),MATCH(Drivers!AA$3,DriversGams!$A$130:$AN$130,0))</f>
        <v>175.935</v>
      </c>
      <c r="AB88" s="3">
        <f>INDEX(DriversGams!$A$130:$AN$140,MATCH(Drivers!$A88,DriversGams!$A$130:$A$140,0),MATCH(Drivers!AB$3,DriversGams!$A$130:$AN$130,0))</f>
        <v>179.65</v>
      </c>
      <c r="AC88" s="3">
        <f>INDEX(DriversGams!$A$130:$AN$140,MATCH(Drivers!$A88,DriversGams!$A$130:$A$140,0),MATCH(Drivers!AC$3,DriversGams!$A$130:$AN$130,0))</f>
        <v>183.81800000000001</v>
      </c>
      <c r="AD88" s="3">
        <f>INDEX(DriversGams!$A$130:$AN$140,MATCH(Drivers!$A88,DriversGams!$A$130:$A$140,0),MATCH(Drivers!AD$3,DriversGams!$A$130:$AN$130,0))</f>
        <v>186.33199999999999</v>
      </c>
      <c r="AE88" s="3">
        <f>INDEX(DriversGams!$A$130:$AN$140,MATCH(Drivers!$A88,DriversGams!$A$130:$A$140,0),MATCH(Drivers!AE$3,DriversGams!$A$130:$AN$130,0))</f>
        <v>193.435</v>
      </c>
      <c r="AF88" s="3">
        <f>INDEX(DriversGams!$A$130:$AN$140,MATCH(Drivers!$A88,DriversGams!$A$130:$A$140,0),MATCH(Drivers!AF$3,DriversGams!$A$130:$AN$130,0))</f>
        <v>213.45</v>
      </c>
      <c r="AG88" s="3">
        <f>INDEX(DriversGams!$A$130:$AN$140,MATCH(Drivers!$A88,DriversGams!$A$130:$A$140,0),MATCH(Drivers!AG$3,DriversGams!$A$130:$AN$130,0))</f>
        <v>228.876</v>
      </c>
      <c r="AH88" s="3">
        <f>INDEX(DriversGams!$A$130:$BA$140,MATCH(Drivers!$A88,DriversGams!$A$130:$A$140,0),MATCH(Drivers!AH$3,DriversGams!$A$130:$BA$130,0))</f>
        <v>243.43715137097897</v>
      </c>
      <c r="AI88" s="17">
        <f t="shared" ref="AI88:AI89" si="216">AO88/AN88*AH88</f>
        <v>257.32860266185997</v>
      </c>
      <c r="AJ88" s="17">
        <f t="shared" ref="AJ88:AJ89" si="217">AP88/AO88*AI88</f>
        <v>271.22005395274101</v>
      </c>
      <c r="AK88" s="17">
        <f t="shared" ref="AK88:AK89" si="218">AQ88/AP88*AJ88</f>
        <v>285.11150524362205</v>
      </c>
      <c r="AN88" s="3">
        <v>242.96109523809537</v>
      </c>
      <c r="AO88" s="3">
        <v>256.82538095238124</v>
      </c>
      <c r="AP88" s="3">
        <v>270.68966666666711</v>
      </c>
      <c r="AQ88" s="3">
        <v>284.55395238095298</v>
      </c>
    </row>
    <row r="89" spans="1:43">
      <c r="A89" t="s">
        <v>692</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c r="AH89" s="3">
        <f>INDEX(DriversGams!$A$130:$BA$140,MATCH(Drivers!$A89,DriversGams!$A$130:$A$140,0),MATCH(Drivers!AH$3,DriversGams!$A$130:$BA$130,0))</f>
        <v>23.944135932656788</v>
      </c>
      <c r="AI89" s="17">
        <f t="shared" si="216"/>
        <v>26.699601671526349</v>
      </c>
      <c r="AJ89" s="17">
        <f t="shared" si="217"/>
        <v>29.455067410395912</v>
      </c>
      <c r="AK89" s="17">
        <f t="shared" si="218"/>
        <v>32.210533149265473</v>
      </c>
      <c r="AN89" s="3">
        <v>15.492696969696908</v>
      </c>
      <c r="AO89" s="3">
        <v>17.275580086580021</v>
      </c>
      <c r="AP89" s="3">
        <v>19.058463203463134</v>
      </c>
      <c r="AQ89" s="3">
        <v>20.841346320346247</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topLeftCell="A117" workbookViewId="0">
      <selection activeCell="I127" sqref="I127"/>
    </sheetView>
  </sheetViews>
  <sheetFormatPr defaultRowHeight="15"/>
  <sheetData>
    <row r="3" spans="2:9">
      <c r="B3" t="s">
        <v>722</v>
      </c>
    </row>
    <row r="4" spans="2:9">
      <c r="B4" t="s">
        <v>723</v>
      </c>
      <c r="C4" t="s">
        <v>724</v>
      </c>
      <c r="D4" t="s">
        <v>725</v>
      </c>
      <c r="E4" t="s">
        <v>726</v>
      </c>
      <c r="F4" t="s">
        <v>727</v>
      </c>
      <c r="G4" t="s">
        <v>728</v>
      </c>
      <c r="H4" t="s">
        <v>729</v>
      </c>
      <c r="I4" t="s">
        <v>17</v>
      </c>
    </row>
    <row r="5" spans="2:9">
      <c r="B5" t="s">
        <v>97</v>
      </c>
      <c r="C5" t="s">
        <v>730</v>
      </c>
      <c r="F5" t="s">
        <v>272</v>
      </c>
      <c r="G5">
        <v>2017</v>
      </c>
      <c r="H5" t="s">
        <v>289</v>
      </c>
      <c r="I5">
        <v>2.5043970166379799</v>
      </c>
    </row>
    <row r="6" spans="2:9">
      <c r="B6" t="s">
        <v>97</v>
      </c>
      <c r="C6" t="s">
        <v>730</v>
      </c>
      <c r="F6" t="s">
        <v>272</v>
      </c>
      <c r="G6">
        <v>2017</v>
      </c>
      <c r="H6" t="s">
        <v>290</v>
      </c>
      <c r="I6">
        <v>5.7709645233647997</v>
      </c>
    </row>
    <row r="7" spans="2:9">
      <c r="B7" t="s">
        <v>97</v>
      </c>
      <c r="C7" t="s">
        <v>730</v>
      </c>
      <c r="F7" t="s">
        <v>272</v>
      </c>
      <c r="G7">
        <v>2017</v>
      </c>
      <c r="H7" t="s">
        <v>291</v>
      </c>
      <c r="I7">
        <v>10.1217912486754</v>
      </c>
    </row>
    <row r="8" spans="2:9">
      <c r="B8" t="s">
        <v>97</v>
      </c>
      <c r="C8" t="s">
        <v>730</v>
      </c>
      <c r="F8" t="s">
        <v>272</v>
      </c>
      <c r="G8">
        <v>2017</v>
      </c>
      <c r="H8" t="s">
        <v>292</v>
      </c>
      <c r="I8">
        <v>4.6040183871857696</v>
      </c>
    </row>
    <row r="9" spans="2:9">
      <c r="B9" t="s">
        <v>97</v>
      </c>
      <c r="C9" t="s">
        <v>730</v>
      </c>
      <c r="F9" t="s">
        <v>272</v>
      </c>
      <c r="G9">
        <v>2017</v>
      </c>
      <c r="H9" t="s">
        <v>293</v>
      </c>
      <c r="I9">
        <v>7.9249894633578597</v>
      </c>
    </row>
    <row r="10" spans="2:9">
      <c r="B10" t="s">
        <v>97</v>
      </c>
      <c r="C10" t="s">
        <v>730</v>
      </c>
      <c r="F10" t="s">
        <v>272</v>
      </c>
      <c r="G10">
        <v>2017</v>
      </c>
      <c r="H10" t="s">
        <v>294</v>
      </c>
      <c r="I10">
        <v>0.3034425</v>
      </c>
    </row>
    <row r="11" spans="2:9">
      <c r="B11" t="s">
        <v>97</v>
      </c>
      <c r="C11" t="s">
        <v>730</v>
      </c>
      <c r="F11" t="s">
        <v>272</v>
      </c>
      <c r="G11">
        <v>2017</v>
      </c>
      <c r="H11" t="s">
        <v>295</v>
      </c>
      <c r="I11">
        <v>4.0458999999999996</v>
      </c>
    </row>
    <row r="12" spans="2:9">
      <c r="B12" t="s">
        <v>97</v>
      </c>
      <c r="C12" t="s">
        <v>730</v>
      </c>
      <c r="F12" t="s">
        <v>272</v>
      </c>
      <c r="G12">
        <v>2017</v>
      </c>
      <c r="H12" t="s">
        <v>296</v>
      </c>
      <c r="I12">
        <v>2.4599072</v>
      </c>
    </row>
    <row r="13" spans="2:9">
      <c r="B13" t="s">
        <v>97</v>
      </c>
      <c r="C13" t="s">
        <v>730</v>
      </c>
      <c r="F13" t="s">
        <v>272</v>
      </c>
      <c r="G13">
        <v>2017</v>
      </c>
      <c r="H13" t="s">
        <v>297</v>
      </c>
      <c r="I13">
        <v>2.5893760000000001</v>
      </c>
    </row>
    <row r="14" spans="2:9">
      <c r="B14" t="s">
        <v>97</v>
      </c>
      <c r="C14" t="s">
        <v>730</v>
      </c>
      <c r="F14" t="s">
        <v>272</v>
      </c>
      <c r="G14">
        <v>2017</v>
      </c>
      <c r="H14" t="s">
        <v>298</v>
      </c>
      <c r="I14">
        <v>0.72826199999999996</v>
      </c>
    </row>
    <row r="15" spans="2:9">
      <c r="B15" t="s">
        <v>97</v>
      </c>
      <c r="C15" t="s">
        <v>730</v>
      </c>
      <c r="F15" t="s">
        <v>272</v>
      </c>
      <c r="G15">
        <v>2017</v>
      </c>
      <c r="H15" t="s">
        <v>299</v>
      </c>
      <c r="I15">
        <v>0.80918000000000001</v>
      </c>
    </row>
    <row r="16" spans="2:9">
      <c r="B16" t="s">
        <v>97</v>
      </c>
      <c r="C16" t="s">
        <v>730</v>
      </c>
      <c r="F16" t="s">
        <v>272</v>
      </c>
      <c r="G16">
        <v>2017</v>
      </c>
      <c r="H16" t="s">
        <v>300</v>
      </c>
      <c r="I16">
        <v>0.485508</v>
      </c>
    </row>
    <row r="17" spans="2:9">
      <c r="B17" t="s">
        <v>97</v>
      </c>
      <c r="C17" t="s">
        <v>730</v>
      </c>
      <c r="F17" t="s">
        <v>272</v>
      </c>
      <c r="G17">
        <v>2017</v>
      </c>
      <c r="H17" t="s">
        <v>301</v>
      </c>
      <c r="I17">
        <v>6.4734400000000001</v>
      </c>
    </row>
    <row r="18" spans="2:9">
      <c r="B18" t="s">
        <v>97</v>
      </c>
      <c r="C18" t="s">
        <v>730</v>
      </c>
      <c r="F18" t="s">
        <v>272</v>
      </c>
      <c r="G18">
        <v>2017</v>
      </c>
      <c r="H18" t="s">
        <v>302</v>
      </c>
      <c r="I18">
        <v>11.328519999999999</v>
      </c>
    </row>
    <row r="19" spans="2:9">
      <c r="B19" t="s">
        <v>97</v>
      </c>
      <c r="C19" t="s">
        <v>730</v>
      </c>
      <c r="F19" t="s">
        <v>272</v>
      </c>
      <c r="G19">
        <v>2017</v>
      </c>
      <c r="H19" t="s">
        <v>303</v>
      </c>
      <c r="I19">
        <v>19.307168399999998</v>
      </c>
    </row>
    <row r="20" spans="2:9">
      <c r="B20" t="s">
        <v>97</v>
      </c>
      <c r="C20" t="s">
        <v>730</v>
      </c>
      <c r="F20" t="s">
        <v>272</v>
      </c>
      <c r="G20">
        <v>2017</v>
      </c>
      <c r="H20" t="s">
        <v>304</v>
      </c>
      <c r="I20">
        <v>26.6</v>
      </c>
    </row>
    <row r="21" spans="2:9">
      <c r="B21" t="s">
        <v>97</v>
      </c>
      <c r="C21" t="s">
        <v>730</v>
      </c>
      <c r="F21" t="s">
        <v>272</v>
      </c>
      <c r="G21">
        <v>2017</v>
      </c>
      <c r="H21" t="s">
        <v>305</v>
      </c>
      <c r="I21">
        <v>2.9904E-2</v>
      </c>
    </row>
    <row r="22" spans="2:9">
      <c r="B22" t="s">
        <v>97</v>
      </c>
      <c r="C22" t="s">
        <v>730</v>
      </c>
      <c r="F22" t="s">
        <v>272</v>
      </c>
      <c r="G22">
        <v>2017</v>
      </c>
      <c r="H22" t="s">
        <v>306</v>
      </c>
      <c r="I22">
        <v>6.8779199999999996</v>
      </c>
    </row>
    <row r="23" spans="2:9">
      <c r="B23" t="s">
        <v>97</v>
      </c>
      <c r="C23" t="s">
        <v>730</v>
      </c>
      <c r="F23" t="s">
        <v>272</v>
      </c>
      <c r="G23">
        <v>2017</v>
      </c>
      <c r="H23" t="s">
        <v>307</v>
      </c>
      <c r="I23">
        <v>0</v>
      </c>
    </row>
    <row r="24" spans="2:9">
      <c r="B24" t="s">
        <v>97</v>
      </c>
      <c r="C24" t="s">
        <v>730</v>
      </c>
      <c r="F24" t="s">
        <v>272</v>
      </c>
      <c r="G24">
        <v>2017</v>
      </c>
      <c r="H24" t="s">
        <v>308</v>
      </c>
      <c r="I24">
        <v>0.478464</v>
      </c>
    </row>
    <row r="25" spans="2:9">
      <c r="B25" t="s">
        <v>97</v>
      </c>
      <c r="C25" t="s">
        <v>730</v>
      </c>
      <c r="F25" t="s">
        <v>272</v>
      </c>
      <c r="G25">
        <v>2017</v>
      </c>
      <c r="H25" t="s">
        <v>309</v>
      </c>
      <c r="I25">
        <v>0.80740800000000001</v>
      </c>
    </row>
    <row r="26" spans="2:9">
      <c r="B26" t="s">
        <v>97</v>
      </c>
      <c r="C26" t="s">
        <v>730</v>
      </c>
      <c r="F26" t="s">
        <v>272</v>
      </c>
      <c r="G26">
        <v>2017</v>
      </c>
      <c r="H26" t="s">
        <v>310</v>
      </c>
      <c r="I26">
        <v>1.04664</v>
      </c>
    </row>
    <row r="27" spans="2:9">
      <c r="B27" t="s">
        <v>97</v>
      </c>
      <c r="C27" t="s">
        <v>730</v>
      </c>
      <c r="F27" t="s">
        <v>272</v>
      </c>
      <c r="G27">
        <v>2017</v>
      </c>
      <c r="H27" t="s">
        <v>311</v>
      </c>
      <c r="I27">
        <v>0.22428000000000001</v>
      </c>
    </row>
    <row r="28" spans="2:9">
      <c r="B28" t="s">
        <v>97</v>
      </c>
      <c r="C28" t="s">
        <v>730</v>
      </c>
      <c r="F28" t="s">
        <v>272</v>
      </c>
      <c r="G28">
        <v>2017</v>
      </c>
      <c r="H28" t="s">
        <v>312</v>
      </c>
      <c r="I28">
        <v>2.5119359999999999</v>
      </c>
    </row>
    <row r="29" spans="2:9">
      <c r="B29" t="s">
        <v>97</v>
      </c>
      <c r="C29" t="s">
        <v>730</v>
      </c>
      <c r="F29" t="s">
        <v>272</v>
      </c>
      <c r="G29">
        <v>2017</v>
      </c>
      <c r="H29" t="s">
        <v>313</v>
      </c>
      <c r="I29">
        <v>3.3492479999999998</v>
      </c>
    </row>
    <row r="30" spans="2:9">
      <c r="B30" t="s">
        <v>97</v>
      </c>
      <c r="C30" t="s">
        <v>730</v>
      </c>
      <c r="F30" t="s">
        <v>272</v>
      </c>
      <c r="G30">
        <v>2017</v>
      </c>
      <c r="H30" t="s">
        <v>314</v>
      </c>
      <c r="I30">
        <v>40.544747177343801</v>
      </c>
    </row>
    <row r="31" spans="2:9">
      <c r="B31" t="s">
        <v>97</v>
      </c>
      <c r="C31" t="s">
        <v>730</v>
      </c>
      <c r="F31" t="s">
        <v>272</v>
      </c>
      <c r="G31">
        <v>2017</v>
      </c>
      <c r="H31" t="s">
        <v>315</v>
      </c>
      <c r="I31">
        <v>0.71939570019765298</v>
      </c>
    </row>
    <row r="32" spans="2:9">
      <c r="B32" t="s">
        <v>97</v>
      </c>
      <c r="C32" t="s">
        <v>730</v>
      </c>
      <c r="F32" t="s">
        <v>272</v>
      </c>
      <c r="G32">
        <v>2017</v>
      </c>
      <c r="H32" t="s">
        <v>316</v>
      </c>
      <c r="I32">
        <v>12.569563545045501</v>
      </c>
    </row>
    <row r="33" spans="2:9">
      <c r="B33" t="s">
        <v>97</v>
      </c>
      <c r="C33" t="s">
        <v>730</v>
      </c>
      <c r="F33" t="s">
        <v>272</v>
      </c>
      <c r="G33">
        <v>2017</v>
      </c>
      <c r="H33" t="s">
        <v>317</v>
      </c>
      <c r="I33">
        <v>0.13532728977530001</v>
      </c>
    </row>
    <row r="34" spans="2:9">
      <c r="B34" t="s">
        <v>97</v>
      </c>
      <c r="C34" t="s">
        <v>730</v>
      </c>
      <c r="F34" t="s">
        <v>272</v>
      </c>
      <c r="G34">
        <v>2017</v>
      </c>
      <c r="H34" t="s">
        <v>318</v>
      </c>
      <c r="I34">
        <v>4.2655424211891404</v>
      </c>
    </row>
    <row r="35" spans="2:9">
      <c r="B35" t="s">
        <v>97</v>
      </c>
      <c r="C35" t="s">
        <v>730</v>
      </c>
      <c r="F35" t="s">
        <v>272</v>
      </c>
      <c r="G35">
        <v>2017</v>
      </c>
      <c r="H35" t="s">
        <v>319</v>
      </c>
      <c r="I35">
        <v>5.5741217756416299</v>
      </c>
    </row>
    <row r="36" spans="2:9">
      <c r="B36" t="s">
        <v>97</v>
      </c>
      <c r="C36" t="s">
        <v>730</v>
      </c>
      <c r="F36" t="s">
        <v>272</v>
      </c>
      <c r="G36">
        <v>2017</v>
      </c>
      <c r="H36" t="s">
        <v>320</v>
      </c>
      <c r="I36">
        <v>1.54836715990045</v>
      </c>
    </row>
    <row r="37" spans="2:9">
      <c r="B37" t="s">
        <v>97</v>
      </c>
      <c r="C37" t="s">
        <v>730</v>
      </c>
      <c r="F37" t="s">
        <v>272</v>
      </c>
      <c r="G37">
        <v>2017</v>
      </c>
      <c r="H37" t="s">
        <v>321</v>
      </c>
      <c r="I37">
        <v>1.0451478329328101</v>
      </c>
    </row>
    <row r="38" spans="2:9">
      <c r="B38" t="s">
        <v>97</v>
      </c>
      <c r="C38" t="s">
        <v>730</v>
      </c>
      <c r="F38" t="s">
        <v>272</v>
      </c>
      <c r="G38">
        <v>2017</v>
      </c>
      <c r="H38" t="s">
        <v>322</v>
      </c>
      <c r="I38">
        <v>20.9296501227637</v>
      </c>
    </row>
    <row r="39" spans="2:9">
      <c r="B39" t="s">
        <v>97</v>
      </c>
      <c r="C39" t="s">
        <v>730</v>
      </c>
      <c r="F39" t="s">
        <v>272</v>
      </c>
      <c r="G39">
        <v>2017</v>
      </c>
      <c r="H39" t="s">
        <v>323</v>
      </c>
      <c r="I39">
        <v>11.078357924751099</v>
      </c>
    </row>
    <row r="40" spans="2:9">
      <c r="B40" t="s">
        <v>97</v>
      </c>
      <c r="C40" t="s">
        <v>730</v>
      </c>
      <c r="F40" t="s">
        <v>272</v>
      </c>
      <c r="G40">
        <v>2017</v>
      </c>
      <c r="H40" t="s">
        <v>324</v>
      </c>
      <c r="I40">
        <v>25.406351025250501</v>
      </c>
    </row>
    <row r="41" spans="2:9">
      <c r="B41" t="s">
        <v>97</v>
      </c>
      <c r="C41" t="s">
        <v>730</v>
      </c>
      <c r="F41" t="s">
        <v>272</v>
      </c>
      <c r="G41">
        <v>2017</v>
      </c>
      <c r="H41" t="s">
        <v>325</v>
      </c>
      <c r="I41">
        <v>25.233177191199999</v>
      </c>
    </row>
    <row r="42" spans="2:9">
      <c r="B42" t="s">
        <v>97</v>
      </c>
      <c r="C42" t="s">
        <v>730</v>
      </c>
      <c r="F42" t="s">
        <v>272</v>
      </c>
      <c r="G42">
        <v>2017</v>
      </c>
      <c r="H42" t="s">
        <v>326</v>
      </c>
      <c r="I42">
        <v>0</v>
      </c>
    </row>
    <row r="43" spans="2:9">
      <c r="B43" t="s">
        <v>97</v>
      </c>
      <c r="C43" t="s">
        <v>730</v>
      </c>
      <c r="F43" t="s">
        <v>272</v>
      </c>
      <c r="G43">
        <v>2017</v>
      </c>
      <c r="H43" t="s">
        <v>327</v>
      </c>
      <c r="I43">
        <v>0</v>
      </c>
    </row>
    <row r="44" spans="2:9">
      <c r="B44" t="s">
        <v>97</v>
      </c>
      <c r="C44" t="s">
        <v>730</v>
      </c>
      <c r="F44" t="s">
        <v>272</v>
      </c>
      <c r="G44">
        <v>2017</v>
      </c>
      <c r="H44" t="s">
        <v>328</v>
      </c>
      <c r="I44">
        <v>6.8830524422467798</v>
      </c>
    </row>
    <row r="45" spans="2:9">
      <c r="B45" t="s">
        <v>97</v>
      </c>
      <c r="C45" t="s">
        <v>730</v>
      </c>
      <c r="F45" t="s">
        <v>272</v>
      </c>
      <c r="G45">
        <v>2017</v>
      </c>
      <c r="H45" t="s">
        <v>329</v>
      </c>
      <c r="I45">
        <v>0</v>
      </c>
    </row>
    <row r="46" spans="2:9">
      <c r="B46" t="s">
        <v>97</v>
      </c>
      <c r="C46" t="s">
        <v>730</v>
      </c>
      <c r="F46" t="s">
        <v>272</v>
      </c>
      <c r="G46">
        <v>2017</v>
      </c>
      <c r="H46" t="s">
        <v>330</v>
      </c>
      <c r="I46">
        <v>9.0566479503247102E-2</v>
      </c>
    </row>
    <row r="47" spans="2:9">
      <c r="B47" t="s">
        <v>97</v>
      </c>
      <c r="C47" t="s">
        <v>730</v>
      </c>
      <c r="F47" t="s">
        <v>272</v>
      </c>
      <c r="G47">
        <v>2017</v>
      </c>
      <c r="H47" t="s">
        <v>331</v>
      </c>
      <c r="I47">
        <v>0.100629421670275</v>
      </c>
    </row>
    <row r="48" spans="2:9">
      <c r="B48" t="s">
        <v>97</v>
      </c>
      <c r="C48" t="s">
        <v>730</v>
      </c>
      <c r="F48" t="s">
        <v>272</v>
      </c>
      <c r="G48">
        <v>2017</v>
      </c>
      <c r="H48" t="s">
        <v>332</v>
      </c>
      <c r="I48">
        <v>3.01888265010824E-2</v>
      </c>
    </row>
    <row r="49" spans="2:9">
      <c r="B49" t="s">
        <v>97</v>
      </c>
      <c r="C49" t="s">
        <v>730</v>
      </c>
      <c r="F49" t="s">
        <v>272</v>
      </c>
      <c r="G49">
        <v>2017</v>
      </c>
      <c r="H49" t="s">
        <v>333</v>
      </c>
      <c r="I49">
        <v>0.56352476135353802</v>
      </c>
    </row>
    <row r="50" spans="2:9">
      <c r="B50" t="s">
        <v>97</v>
      </c>
      <c r="C50" t="s">
        <v>730</v>
      </c>
      <c r="F50" t="s">
        <v>272</v>
      </c>
      <c r="G50">
        <v>2017</v>
      </c>
      <c r="H50" t="s">
        <v>334</v>
      </c>
      <c r="I50">
        <v>0</v>
      </c>
    </row>
    <row r="51" spans="2:9">
      <c r="B51" t="s">
        <v>97</v>
      </c>
      <c r="C51" t="s">
        <v>730</v>
      </c>
      <c r="F51" t="s">
        <v>272</v>
      </c>
      <c r="G51">
        <v>2017</v>
      </c>
      <c r="H51" t="s">
        <v>335</v>
      </c>
      <c r="I51">
        <v>1.9115200000000001</v>
      </c>
    </row>
    <row r="52" spans="2:9">
      <c r="B52" t="s">
        <v>97</v>
      </c>
      <c r="C52" t="s">
        <v>730</v>
      </c>
      <c r="F52" t="s">
        <v>272</v>
      </c>
      <c r="G52">
        <v>2017</v>
      </c>
      <c r="H52" t="s">
        <v>336</v>
      </c>
      <c r="I52">
        <v>0.12355272</v>
      </c>
    </row>
    <row r="53" spans="2:9">
      <c r="B53" t="s">
        <v>97</v>
      </c>
      <c r="C53" t="s">
        <v>730</v>
      </c>
      <c r="F53" t="s">
        <v>272</v>
      </c>
      <c r="G53">
        <v>2017</v>
      </c>
      <c r="H53" t="s">
        <v>337</v>
      </c>
      <c r="I53">
        <v>2.3241024000000001</v>
      </c>
    </row>
    <row r="54" spans="2:9">
      <c r="B54" t="s">
        <v>97</v>
      </c>
      <c r="C54" t="s">
        <v>730</v>
      </c>
      <c r="F54" t="s">
        <v>272</v>
      </c>
      <c r="G54">
        <v>2017</v>
      </c>
      <c r="H54" t="s">
        <v>338</v>
      </c>
      <c r="I54">
        <v>0.22371068159999999</v>
      </c>
    </row>
    <row r="55" spans="2:9">
      <c r="B55" t="s">
        <v>97</v>
      </c>
      <c r="C55" t="s">
        <v>730</v>
      </c>
      <c r="F55" t="s">
        <v>272</v>
      </c>
      <c r="G55">
        <v>2017</v>
      </c>
      <c r="H55" t="s">
        <v>339</v>
      </c>
      <c r="I55">
        <v>1.0010822399999999</v>
      </c>
    </row>
    <row r="56" spans="2:9">
      <c r="B56" t="s">
        <v>97</v>
      </c>
      <c r="C56" t="s">
        <v>730</v>
      </c>
      <c r="F56" t="s">
        <v>272</v>
      </c>
      <c r="G56">
        <v>2017</v>
      </c>
      <c r="H56" t="s">
        <v>340</v>
      </c>
      <c r="I56">
        <v>1.72747728</v>
      </c>
    </row>
    <row r="57" spans="2:9">
      <c r="B57" t="s">
        <v>97</v>
      </c>
      <c r="C57" t="s">
        <v>730</v>
      </c>
      <c r="F57" t="s">
        <v>272</v>
      </c>
      <c r="G57">
        <v>2017</v>
      </c>
      <c r="H57" t="s">
        <v>341</v>
      </c>
      <c r="I57">
        <v>2.1816719999999998</v>
      </c>
    </row>
    <row r="58" spans="2:9">
      <c r="B58" t="s">
        <v>97</v>
      </c>
      <c r="C58" t="s">
        <v>730</v>
      </c>
      <c r="F58" t="s">
        <v>272</v>
      </c>
      <c r="G58">
        <v>2017</v>
      </c>
      <c r="H58" t="s">
        <v>342</v>
      </c>
      <c r="I58">
        <v>0.54733968</v>
      </c>
    </row>
    <row r="59" spans="2:9">
      <c r="B59" t="s">
        <v>97</v>
      </c>
      <c r="C59" t="s">
        <v>730</v>
      </c>
      <c r="F59" t="s">
        <v>272</v>
      </c>
      <c r="G59">
        <v>2017</v>
      </c>
      <c r="H59" t="s">
        <v>343</v>
      </c>
      <c r="I59">
        <v>6.6708069119999998</v>
      </c>
    </row>
    <row r="60" spans="2:9">
      <c r="B60" t="s">
        <v>97</v>
      </c>
      <c r="C60" t="s">
        <v>730</v>
      </c>
      <c r="F60" t="s">
        <v>272</v>
      </c>
      <c r="G60">
        <v>2017</v>
      </c>
      <c r="H60" t="s">
        <v>344</v>
      </c>
      <c r="I60">
        <v>2.351232</v>
      </c>
    </row>
    <row r="61" spans="2:9">
      <c r="B61" t="s">
        <v>97</v>
      </c>
      <c r="C61" t="s">
        <v>730</v>
      </c>
      <c r="F61" t="s">
        <v>272</v>
      </c>
      <c r="G61">
        <v>2017</v>
      </c>
      <c r="H61" t="s">
        <v>345</v>
      </c>
      <c r="I61">
        <v>68.533420800000002</v>
      </c>
    </row>
    <row r="62" spans="2:9">
      <c r="B62" t="s">
        <v>97</v>
      </c>
      <c r="C62" t="s">
        <v>730</v>
      </c>
      <c r="F62" t="s">
        <v>272</v>
      </c>
      <c r="G62">
        <v>2017</v>
      </c>
      <c r="H62" t="s">
        <v>346</v>
      </c>
      <c r="I62">
        <v>5.1732793164602802</v>
      </c>
    </row>
    <row r="63" spans="2:9">
      <c r="B63" t="s">
        <v>97</v>
      </c>
      <c r="C63" t="s">
        <v>730</v>
      </c>
      <c r="F63" t="s">
        <v>272</v>
      </c>
      <c r="G63">
        <v>2017</v>
      </c>
      <c r="H63" t="s">
        <v>347</v>
      </c>
      <c r="I63">
        <v>7.6194416260697402</v>
      </c>
    </row>
    <row r="64" spans="2:9">
      <c r="B64" t="s">
        <v>97</v>
      </c>
      <c r="C64" t="s">
        <v>730</v>
      </c>
      <c r="F64" t="s">
        <v>272</v>
      </c>
      <c r="G64">
        <v>2017</v>
      </c>
      <c r="H64" t="s">
        <v>348</v>
      </c>
      <c r="I64">
        <v>18.7538979805365</v>
      </c>
    </row>
    <row r="65" spans="2:9">
      <c r="B65" t="s">
        <v>97</v>
      </c>
      <c r="C65" t="s">
        <v>730</v>
      </c>
      <c r="F65" t="s">
        <v>272</v>
      </c>
      <c r="G65">
        <v>2017</v>
      </c>
      <c r="H65" t="s">
        <v>349</v>
      </c>
      <c r="I65">
        <v>14.27502736796</v>
      </c>
    </row>
    <row r="66" spans="2:9">
      <c r="B66" t="s">
        <v>97</v>
      </c>
      <c r="C66" t="s">
        <v>730</v>
      </c>
      <c r="F66" t="s">
        <v>272</v>
      </c>
      <c r="G66">
        <v>2017</v>
      </c>
      <c r="H66" t="s">
        <v>350</v>
      </c>
      <c r="I66">
        <v>8.0408397122186805</v>
      </c>
    </row>
    <row r="67" spans="2:9">
      <c r="B67" t="s">
        <v>97</v>
      </c>
      <c r="C67" t="s">
        <v>730</v>
      </c>
      <c r="F67" t="s">
        <v>272</v>
      </c>
      <c r="G67">
        <v>2017</v>
      </c>
      <c r="H67" t="s">
        <v>504</v>
      </c>
      <c r="I67">
        <v>34.754847546913702</v>
      </c>
    </row>
    <row r="68" spans="2:9">
      <c r="B68" t="s">
        <v>97</v>
      </c>
      <c r="C68" t="s">
        <v>730</v>
      </c>
      <c r="F68" t="s">
        <v>272</v>
      </c>
      <c r="G68">
        <v>2017</v>
      </c>
      <c r="H68" t="s">
        <v>351</v>
      </c>
      <c r="I68">
        <v>9.2994915751840495</v>
      </c>
    </row>
    <row r="69" spans="2:9">
      <c r="B69" t="s">
        <v>97</v>
      </c>
      <c r="C69" t="s">
        <v>730</v>
      </c>
      <c r="F69" t="s">
        <v>272</v>
      </c>
      <c r="G69">
        <v>2017</v>
      </c>
      <c r="H69" t="s">
        <v>352</v>
      </c>
      <c r="I69">
        <v>11.428450394710399</v>
      </c>
    </row>
    <row r="70" spans="2:9">
      <c r="B70" t="s">
        <v>97</v>
      </c>
      <c r="C70" t="s">
        <v>730</v>
      </c>
      <c r="F70" t="s">
        <v>272</v>
      </c>
      <c r="G70">
        <v>2017</v>
      </c>
      <c r="H70" t="s">
        <v>353</v>
      </c>
      <c r="I70">
        <v>15.5426860393993</v>
      </c>
    </row>
    <row r="71" spans="2:9">
      <c r="B71" t="s">
        <v>97</v>
      </c>
      <c r="C71" t="s">
        <v>730</v>
      </c>
      <c r="F71" t="s">
        <v>272</v>
      </c>
      <c r="G71">
        <v>2017</v>
      </c>
      <c r="H71" t="s">
        <v>354</v>
      </c>
      <c r="I71">
        <v>5.7452488569507203</v>
      </c>
    </row>
    <row r="72" spans="2:9">
      <c r="B72" t="s">
        <v>97</v>
      </c>
      <c r="C72" t="s">
        <v>730</v>
      </c>
      <c r="F72" t="s">
        <v>272</v>
      </c>
      <c r="G72">
        <v>2017</v>
      </c>
      <c r="H72" t="s">
        <v>355</v>
      </c>
      <c r="I72">
        <v>4.25340304491049</v>
      </c>
    </row>
    <row r="73" spans="2:9">
      <c r="B73" t="s">
        <v>97</v>
      </c>
      <c r="C73" t="s">
        <v>730</v>
      </c>
      <c r="F73" t="s">
        <v>272</v>
      </c>
      <c r="G73">
        <v>2017</v>
      </c>
      <c r="H73" t="s">
        <v>356</v>
      </c>
      <c r="I73">
        <v>4.5736255741133904</v>
      </c>
    </row>
    <row r="74" spans="2:9">
      <c r="B74" t="s">
        <v>97</v>
      </c>
      <c r="C74" t="s">
        <v>730</v>
      </c>
      <c r="F74" t="s">
        <v>272</v>
      </c>
      <c r="G74">
        <v>2017</v>
      </c>
      <c r="H74" t="s">
        <v>357</v>
      </c>
      <c r="I74">
        <v>3.6541482196776102E-2</v>
      </c>
    </row>
    <row r="75" spans="2:9">
      <c r="B75" t="s">
        <v>97</v>
      </c>
      <c r="C75" t="s">
        <v>730</v>
      </c>
      <c r="F75" t="s">
        <v>272</v>
      </c>
      <c r="G75">
        <v>2017</v>
      </c>
      <c r="H75" t="s">
        <v>358</v>
      </c>
      <c r="I75">
        <v>9.6822001330816203</v>
      </c>
    </row>
    <row r="76" spans="2:9">
      <c r="B76" t="s">
        <v>97</v>
      </c>
      <c r="C76" t="s">
        <v>730</v>
      </c>
      <c r="F76" t="s">
        <v>272</v>
      </c>
      <c r="G76">
        <v>2017</v>
      </c>
      <c r="H76" t="s">
        <v>359</v>
      </c>
      <c r="I76">
        <v>10.2728758528227</v>
      </c>
    </row>
    <row r="77" spans="2:9">
      <c r="B77" t="s">
        <v>97</v>
      </c>
      <c r="C77" t="s">
        <v>730</v>
      </c>
      <c r="F77" t="s">
        <v>272</v>
      </c>
      <c r="G77">
        <v>2017</v>
      </c>
      <c r="H77" t="s">
        <v>360</v>
      </c>
      <c r="I77">
        <v>14.579147778971199</v>
      </c>
    </row>
    <row r="78" spans="2:9">
      <c r="B78" t="s">
        <v>97</v>
      </c>
      <c r="C78" t="s">
        <v>730</v>
      </c>
      <c r="F78" t="s">
        <v>272</v>
      </c>
      <c r="G78">
        <v>2017</v>
      </c>
      <c r="H78" t="s">
        <v>361</v>
      </c>
      <c r="I78">
        <v>7.7618829459684902</v>
      </c>
    </row>
    <row r="79" spans="2:9">
      <c r="B79" t="s">
        <v>97</v>
      </c>
      <c r="C79" t="s">
        <v>730</v>
      </c>
      <c r="F79" t="s">
        <v>272</v>
      </c>
      <c r="G79">
        <v>2017</v>
      </c>
      <c r="H79" t="s">
        <v>362</v>
      </c>
      <c r="I79">
        <v>6.4871161947221303</v>
      </c>
    </row>
    <row r="80" spans="2:9">
      <c r="B80" t="s">
        <v>97</v>
      </c>
      <c r="C80" t="s">
        <v>730</v>
      </c>
      <c r="F80" t="s">
        <v>272</v>
      </c>
      <c r="G80">
        <v>2017</v>
      </c>
      <c r="H80" t="s">
        <v>363</v>
      </c>
      <c r="I80">
        <v>4.3678647382810798</v>
      </c>
    </row>
    <row r="81" spans="2:9">
      <c r="B81" t="s">
        <v>97</v>
      </c>
      <c r="C81" t="s">
        <v>730</v>
      </c>
      <c r="F81" t="s">
        <v>272</v>
      </c>
      <c r="G81">
        <v>2017</v>
      </c>
      <c r="H81" t="s">
        <v>527</v>
      </c>
      <c r="I81">
        <v>7.1740496070211197</v>
      </c>
    </row>
    <row r="82" spans="2:9">
      <c r="B82" t="s">
        <v>97</v>
      </c>
      <c r="C82" t="s">
        <v>730</v>
      </c>
      <c r="F82" t="s">
        <v>272</v>
      </c>
      <c r="G82">
        <v>2017</v>
      </c>
      <c r="H82" t="s">
        <v>364</v>
      </c>
      <c r="I82">
        <v>7.1482186957706306E-2</v>
      </c>
    </row>
    <row r="83" spans="2:9">
      <c r="B83" t="s">
        <v>97</v>
      </c>
      <c r="C83" t="s">
        <v>730</v>
      </c>
      <c r="F83" t="s">
        <v>272</v>
      </c>
      <c r="G83">
        <v>2017</v>
      </c>
      <c r="H83" t="s">
        <v>122</v>
      </c>
      <c r="I83">
        <v>1.641128256</v>
      </c>
    </row>
    <row r="84" spans="2:9">
      <c r="B84" t="s">
        <v>97</v>
      </c>
      <c r="C84" t="s">
        <v>730</v>
      </c>
      <c r="F84" t="s">
        <v>272</v>
      </c>
      <c r="G84">
        <v>2017</v>
      </c>
      <c r="H84" t="s">
        <v>586</v>
      </c>
      <c r="I84">
        <v>68.938999999999993</v>
      </c>
    </row>
    <row r="85" spans="2:9">
      <c r="B85" t="s">
        <v>97</v>
      </c>
      <c r="C85" t="s">
        <v>730</v>
      </c>
      <c r="F85" t="s">
        <v>272</v>
      </c>
      <c r="G85">
        <v>2017</v>
      </c>
      <c r="H85" t="s">
        <v>587</v>
      </c>
      <c r="I85">
        <v>20.483000000000001</v>
      </c>
    </row>
    <row r="86" spans="2:9">
      <c r="B86" t="s">
        <v>97</v>
      </c>
      <c r="C86" t="s">
        <v>730</v>
      </c>
      <c r="F86" t="s">
        <v>272</v>
      </c>
      <c r="G86">
        <v>2017</v>
      </c>
      <c r="H86" t="s">
        <v>365</v>
      </c>
      <c r="I86">
        <v>0.82199999999999995</v>
      </c>
    </row>
    <row r="87" spans="2:9">
      <c r="B87" t="s">
        <v>97</v>
      </c>
      <c r="C87" t="s">
        <v>730</v>
      </c>
      <c r="F87" t="s">
        <v>272</v>
      </c>
      <c r="G87">
        <v>2017</v>
      </c>
      <c r="H87" t="s">
        <v>139</v>
      </c>
      <c r="I87">
        <v>47.584820585749902</v>
      </c>
    </row>
    <row r="88" spans="2:9">
      <c r="B88" t="s">
        <v>97</v>
      </c>
      <c r="C88" t="s">
        <v>730</v>
      </c>
      <c r="F88" t="s">
        <v>272</v>
      </c>
      <c r="G88">
        <v>2017</v>
      </c>
      <c r="H88" t="s">
        <v>396</v>
      </c>
      <c r="I88">
        <v>3.6514783707452798</v>
      </c>
    </row>
    <row r="89" spans="2:9">
      <c r="B89" t="s">
        <v>97</v>
      </c>
      <c r="C89" t="s">
        <v>730</v>
      </c>
      <c r="F89" t="s">
        <v>272</v>
      </c>
      <c r="G89">
        <v>2017</v>
      </c>
      <c r="H89" t="s">
        <v>397</v>
      </c>
      <c r="I89">
        <v>1.0030192144974699</v>
      </c>
    </row>
    <row r="90" spans="2:9">
      <c r="B90" t="s">
        <v>97</v>
      </c>
      <c r="C90" t="s">
        <v>730</v>
      </c>
      <c r="F90" t="s">
        <v>272</v>
      </c>
      <c r="G90">
        <v>2017</v>
      </c>
      <c r="H90" t="s">
        <v>398</v>
      </c>
      <c r="I90">
        <v>3.29935437842208</v>
      </c>
    </row>
    <row r="91" spans="2:9">
      <c r="B91" t="s">
        <v>97</v>
      </c>
      <c r="C91" t="s">
        <v>730</v>
      </c>
      <c r="F91" t="s">
        <v>272</v>
      </c>
      <c r="G91">
        <v>2017</v>
      </c>
      <c r="H91" t="s">
        <v>399</v>
      </c>
      <c r="I91">
        <v>0.59840698910616097</v>
      </c>
    </row>
    <row r="92" spans="2:9">
      <c r="B92" t="s">
        <v>97</v>
      </c>
      <c r="C92" t="s">
        <v>730</v>
      </c>
      <c r="F92" t="s">
        <v>272</v>
      </c>
      <c r="G92">
        <v>2017</v>
      </c>
      <c r="H92" t="s">
        <v>400</v>
      </c>
      <c r="I92">
        <v>0.29798809605332599</v>
      </c>
    </row>
    <row r="93" spans="2:9">
      <c r="B93" t="s">
        <v>97</v>
      </c>
      <c r="C93" t="s">
        <v>730</v>
      </c>
      <c r="F93" t="s">
        <v>272</v>
      </c>
      <c r="G93">
        <v>2017</v>
      </c>
      <c r="H93" t="s">
        <v>401</v>
      </c>
      <c r="I93">
        <v>6.6621877646371201</v>
      </c>
    </row>
    <row r="94" spans="2:9">
      <c r="B94" t="s">
        <v>97</v>
      </c>
      <c r="C94" t="s">
        <v>730</v>
      </c>
      <c r="F94" t="s">
        <v>272</v>
      </c>
      <c r="G94">
        <v>2017</v>
      </c>
      <c r="H94" t="s">
        <v>402</v>
      </c>
      <c r="I94">
        <v>2.2261566306639899</v>
      </c>
    </row>
    <row r="95" spans="2:9">
      <c r="B95" t="s">
        <v>97</v>
      </c>
      <c r="C95" t="s">
        <v>730</v>
      </c>
      <c r="F95" t="s">
        <v>272</v>
      </c>
      <c r="G95">
        <v>2017</v>
      </c>
      <c r="H95" t="s">
        <v>403</v>
      </c>
      <c r="I95">
        <v>0.122213678849837</v>
      </c>
    </row>
    <row r="96" spans="2:9">
      <c r="B96" t="s">
        <v>97</v>
      </c>
      <c r="C96" t="s">
        <v>730</v>
      </c>
      <c r="F96" t="s">
        <v>272</v>
      </c>
      <c r="G96">
        <v>2017</v>
      </c>
      <c r="H96" t="s">
        <v>404</v>
      </c>
      <c r="I96">
        <v>2.9412068148240201E-2</v>
      </c>
    </row>
    <row r="97" spans="2:9">
      <c r="B97" t="s">
        <v>97</v>
      </c>
      <c r="C97" t="s">
        <v>730</v>
      </c>
      <c r="F97" t="s">
        <v>272</v>
      </c>
      <c r="G97">
        <v>2017</v>
      </c>
      <c r="H97" t="s">
        <v>366</v>
      </c>
      <c r="I97">
        <v>22</v>
      </c>
    </row>
    <row r="98" spans="2:9">
      <c r="B98" t="s">
        <v>97</v>
      </c>
      <c r="C98" t="s">
        <v>730</v>
      </c>
      <c r="F98" t="s">
        <v>272</v>
      </c>
      <c r="G98">
        <v>2017</v>
      </c>
      <c r="H98" t="s">
        <v>368</v>
      </c>
      <c r="I98">
        <v>27.142505514316699</v>
      </c>
    </row>
    <row r="99" spans="2:9">
      <c r="B99" t="s">
        <v>97</v>
      </c>
      <c r="C99" t="s">
        <v>730</v>
      </c>
      <c r="F99" t="s">
        <v>272</v>
      </c>
      <c r="G99">
        <v>2017</v>
      </c>
      <c r="H99" t="s">
        <v>367</v>
      </c>
      <c r="I99">
        <v>88.672727178245694</v>
      </c>
    </row>
    <row r="100" spans="2:9">
      <c r="B100" t="s">
        <v>97</v>
      </c>
      <c r="C100" t="s">
        <v>730</v>
      </c>
      <c r="F100" t="s">
        <v>272</v>
      </c>
      <c r="G100">
        <v>2017</v>
      </c>
      <c r="H100" t="s">
        <v>116</v>
      </c>
      <c r="I100">
        <v>81.1386031348502</v>
      </c>
    </row>
    <row r="101" spans="2:9">
      <c r="B101" t="s">
        <v>97</v>
      </c>
      <c r="C101" t="s">
        <v>730</v>
      </c>
      <c r="F101" t="s">
        <v>272</v>
      </c>
      <c r="G101">
        <v>2017</v>
      </c>
      <c r="H101" t="s">
        <v>171</v>
      </c>
      <c r="I101">
        <v>5.9227912022632498</v>
      </c>
    </row>
    <row r="102" spans="2:9">
      <c r="B102" t="s">
        <v>97</v>
      </c>
      <c r="C102" t="s">
        <v>730</v>
      </c>
      <c r="F102" t="s">
        <v>272</v>
      </c>
      <c r="G102">
        <v>2017</v>
      </c>
      <c r="H102" t="s">
        <v>115</v>
      </c>
      <c r="I102">
        <v>17.754191802068</v>
      </c>
    </row>
    <row r="103" spans="2:9">
      <c r="B103" t="s">
        <v>97</v>
      </c>
      <c r="C103" t="s">
        <v>730</v>
      </c>
      <c r="F103" t="s">
        <v>272</v>
      </c>
      <c r="G103">
        <v>2017</v>
      </c>
      <c r="H103" t="s">
        <v>119</v>
      </c>
      <c r="I103">
        <v>7.2799982901224303E-2</v>
      </c>
    </row>
    <row r="104" spans="2:9">
      <c r="B104" t="s">
        <v>97</v>
      </c>
      <c r="C104" t="s">
        <v>730</v>
      </c>
      <c r="F104" t="s">
        <v>272</v>
      </c>
      <c r="G104">
        <v>2017</v>
      </c>
      <c r="H104" t="s">
        <v>117</v>
      </c>
      <c r="I104">
        <v>0.64296697178877804</v>
      </c>
    </row>
    <row r="105" spans="2:9">
      <c r="B105" t="s">
        <v>97</v>
      </c>
      <c r="C105" t="s">
        <v>730</v>
      </c>
      <c r="F105" t="s">
        <v>272</v>
      </c>
      <c r="G105">
        <v>2017</v>
      </c>
      <c r="H105" t="s">
        <v>121</v>
      </c>
      <c r="I105">
        <v>0.64854136839212595</v>
      </c>
    </row>
    <row r="106" spans="2:9">
      <c r="B106" t="s">
        <v>97</v>
      </c>
      <c r="C106" t="s">
        <v>730</v>
      </c>
      <c r="F106" t="s">
        <v>272</v>
      </c>
      <c r="G106">
        <v>2017</v>
      </c>
      <c r="H106" t="s">
        <v>118</v>
      </c>
      <c r="I106">
        <v>7.2130505455454896</v>
      </c>
    </row>
    <row r="107" spans="2:9">
      <c r="B107" t="s">
        <v>97</v>
      </c>
      <c r="C107" t="s">
        <v>730</v>
      </c>
      <c r="F107" t="s">
        <v>272</v>
      </c>
      <c r="G107">
        <v>2017</v>
      </c>
      <c r="H107" t="s">
        <v>120</v>
      </c>
      <c r="I107">
        <v>8.7048317578401608</v>
      </c>
    </row>
    <row r="108" spans="2:9">
      <c r="B108" t="s">
        <v>97</v>
      </c>
      <c r="C108" t="s">
        <v>730</v>
      </c>
      <c r="F108" t="s">
        <v>272</v>
      </c>
      <c r="G108">
        <v>2017</v>
      </c>
      <c r="H108" t="s">
        <v>146</v>
      </c>
      <c r="I108">
        <v>2.77</v>
      </c>
    </row>
    <row r="109" spans="2:9">
      <c r="B109" t="s">
        <v>97</v>
      </c>
      <c r="C109" t="s">
        <v>730</v>
      </c>
      <c r="F109" t="s">
        <v>272</v>
      </c>
      <c r="G109">
        <v>2017</v>
      </c>
      <c r="H109" t="s">
        <v>225</v>
      </c>
      <c r="I109">
        <v>128.41271933541799</v>
      </c>
    </row>
    <row r="110" spans="2:9">
      <c r="B110" t="s">
        <v>97</v>
      </c>
      <c r="C110" t="s">
        <v>730</v>
      </c>
      <c r="F110" t="s">
        <v>272</v>
      </c>
      <c r="G110">
        <v>2017</v>
      </c>
      <c r="H110" t="s">
        <v>231</v>
      </c>
      <c r="I110">
        <v>9.4707173671475093</v>
      </c>
    </row>
    <row r="111" spans="2:9">
      <c r="B111" t="s">
        <v>97</v>
      </c>
      <c r="C111" t="s">
        <v>730</v>
      </c>
      <c r="F111" t="s">
        <v>272</v>
      </c>
      <c r="G111">
        <v>2017</v>
      </c>
      <c r="H111" t="s">
        <v>226</v>
      </c>
      <c r="I111">
        <v>11.992907577983001</v>
      </c>
    </row>
    <row r="112" spans="2:9">
      <c r="B112" t="s">
        <v>97</v>
      </c>
      <c r="C112" t="s">
        <v>730</v>
      </c>
      <c r="F112" t="s">
        <v>272</v>
      </c>
      <c r="G112">
        <v>2017</v>
      </c>
      <c r="H112" t="s">
        <v>227</v>
      </c>
      <c r="I112">
        <v>8.9629891158025892</v>
      </c>
    </row>
    <row r="113" spans="2:9">
      <c r="B113" t="s">
        <v>97</v>
      </c>
      <c r="C113" t="s">
        <v>730</v>
      </c>
      <c r="F113" t="s">
        <v>272</v>
      </c>
      <c r="G113">
        <v>2017</v>
      </c>
      <c r="H113" t="s">
        <v>228</v>
      </c>
      <c r="I113">
        <v>111.748716602955</v>
      </c>
    </row>
    <row r="114" spans="2:9">
      <c r="B114" t="s">
        <v>97</v>
      </c>
      <c r="C114" t="s">
        <v>730</v>
      </c>
      <c r="F114" t="s">
        <v>272</v>
      </c>
      <c r="G114">
        <v>2017</v>
      </c>
      <c r="H114" t="s">
        <v>233</v>
      </c>
      <c r="I114">
        <v>20.198960613823001</v>
      </c>
    </row>
    <row r="115" spans="2:9">
      <c r="B115" t="s">
        <v>97</v>
      </c>
      <c r="C115" t="s">
        <v>730</v>
      </c>
      <c r="F115" t="s">
        <v>272</v>
      </c>
      <c r="G115">
        <v>2017</v>
      </c>
      <c r="H115" t="s">
        <v>229</v>
      </c>
      <c r="I115">
        <v>27.1844560411384</v>
      </c>
    </row>
    <row r="116" spans="2:9">
      <c r="B116" t="s">
        <v>97</v>
      </c>
      <c r="C116" t="s">
        <v>730</v>
      </c>
      <c r="F116" t="s">
        <v>272</v>
      </c>
      <c r="G116">
        <v>2017</v>
      </c>
      <c r="H116" t="s">
        <v>232</v>
      </c>
      <c r="I116">
        <v>3.2726019758762099</v>
      </c>
    </row>
    <row r="117" spans="2:9">
      <c r="B117" t="s">
        <v>97</v>
      </c>
      <c r="C117" t="s">
        <v>730</v>
      </c>
      <c r="F117" t="s">
        <v>272</v>
      </c>
      <c r="G117">
        <v>2017</v>
      </c>
      <c r="H117" t="s">
        <v>230</v>
      </c>
      <c r="I117">
        <v>14.3921338097343</v>
      </c>
    </row>
    <row r="118" spans="2:9">
      <c r="B118" t="s">
        <v>97</v>
      </c>
      <c r="C118" t="s">
        <v>730</v>
      </c>
      <c r="F118" t="s">
        <v>272</v>
      </c>
      <c r="G118">
        <v>2017</v>
      </c>
      <c r="H118" t="s">
        <v>234</v>
      </c>
      <c r="I118">
        <v>0</v>
      </c>
    </row>
    <row r="119" spans="2:9">
      <c r="B119" t="s">
        <v>97</v>
      </c>
      <c r="C119" t="s">
        <v>730</v>
      </c>
      <c r="F119" t="s">
        <v>272</v>
      </c>
      <c r="G119">
        <v>2017</v>
      </c>
      <c r="H119" t="s">
        <v>240</v>
      </c>
      <c r="I119">
        <v>0</v>
      </c>
    </row>
    <row r="120" spans="2:9">
      <c r="B120" t="s">
        <v>97</v>
      </c>
      <c r="C120" t="s">
        <v>730</v>
      </c>
      <c r="F120" t="s">
        <v>272</v>
      </c>
      <c r="G120">
        <v>2017</v>
      </c>
      <c r="H120" t="s">
        <v>235</v>
      </c>
      <c r="I120">
        <v>0</v>
      </c>
    </row>
    <row r="121" spans="2:9">
      <c r="B121" t="s">
        <v>97</v>
      </c>
      <c r="C121" t="s">
        <v>730</v>
      </c>
      <c r="F121" t="s">
        <v>272</v>
      </c>
      <c r="G121">
        <v>2017</v>
      </c>
      <c r="H121" t="s">
        <v>236</v>
      </c>
      <c r="I121">
        <v>0</v>
      </c>
    </row>
    <row r="122" spans="2:9">
      <c r="B122" t="s">
        <v>97</v>
      </c>
      <c r="C122" t="s">
        <v>730</v>
      </c>
      <c r="F122" t="s">
        <v>272</v>
      </c>
      <c r="G122">
        <v>2017</v>
      </c>
      <c r="H122" t="s">
        <v>237</v>
      </c>
      <c r="I122">
        <v>0</v>
      </c>
    </row>
    <row r="123" spans="2:9">
      <c r="B123" t="s">
        <v>97</v>
      </c>
      <c r="C123" t="s">
        <v>730</v>
      </c>
      <c r="F123" t="s">
        <v>272</v>
      </c>
      <c r="G123">
        <v>2017</v>
      </c>
      <c r="H123" t="s">
        <v>242</v>
      </c>
      <c r="I123">
        <v>0</v>
      </c>
    </row>
    <row r="124" spans="2:9">
      <c r="B124" t="s">
        <v>97</v>
      </c>
      <c r="C124" t="s">
        <v>730</v>
      </c>
      <c r="F124" t="s">
        <v>272</v>
      </c>
      <c r="G124">
        <v>2017</v>
      </c>
      <c r="H124" t="s">
        <v>238</v>
      </c>
      <c r="I124">
        <v>0</v>
      </c>
    </row>
    <row r="125" spans="2:9">
      <c r="B125" t="s">
        <v>97</v>
      </c>
      <c r="C125" t="s">
        <v>730</v>
      </c>
      <c r="F125" t="s">
        <v>272</v>
      </c>
      <c r="G125">
        <v>2017</v>
      </c>
      <c r="H125" t="s">
        <v>241</v>
      </c>
      <c r="I125">
        <v>0</v>
      </c>
    </row>
    <row r="126" spans="2:9">
      <c r="B126" t="s">
        <v>97</v>
      </c>
      <c r="C126" t="s">
        <v>730</v>
      </c>
      <c r="F126" t="s">
        <v>272</v>
      </c>
      <c r="G126">
        <v>2017</v>
      </c>
      <c r="H126" t="s">
        <v>239</v>
      </c>
      <c r="I126">
        <v>0</v>
      </c>
    </row>
    <row r="127" spans="2:9">
      <c r="B127" t="s">
        <v>97</v>
      </c>
      <c r="C127" t="s">
        <v>730</v>
      </c>
      <c r="F127" t="s">
        <v>272</v>
      </c>
      <c r="G127">
        <v>2017</v>
      </c>
      <c r="H127" t="s">
        <v>276</v>
      </c>
      <c r="I127">
        <v>6.23</v>
      </c>
    </row>
    <row r="128" spans="2:9">
      <c r="B128" t="s">
        <v>97</v>
      </c>
      <c r="C128" t="s">
        <v>730</v>
      </c>
      <c r="F128" t="s">
        <v>272</v>
      </c>
      <c r="G128">
        <v>2017</v>
      </c>
      <c r="H128" t="s">
        <v>283</v>
      </c>
      <c r="I128">
        <v>9.6111784369999995</v>
      </c>
    </row>
    <row r="129" spans="2:9">
      <c r="B129" t="s">
        <v>97</v>
      </c>
      <c r="C129" t="s">
        <v>730</v>
      </c>
      <c r="F129" t="s">
        <v>272</v>
      </c>
      <c r="G129">
        <v>2017</v>
      </c>
      <c r="H129" t="s">
        <v>277</v>
      </c>
      <c r="I129">
        <v>14.7599608803003</v>
      </c>
    </row>
    <row r="130" spans="2:9">
      <c r="B130" t="s">
        <v>97</v>
      </c>
      <c r="C130" t="s">
        <v>730</v>
      </c>
      <c r="F130" t="s">
        <v>272</v>
      </c>
      <c r="G130">
        <v>2017</v>
      </c>
      <c r="H130" t="s">
        <v>697</v>
      </c>
      <c r="I130">
        <v>8.4021746293245503</v>
      </c>
    </row>
    <row r="131" spans="2:9">
      <c r="B131" t="s">
        <v>97</v>
      </c>
      <c r="C131" t="s">
        <v>730</v>
      </c>
      <c r="F131" t="s">
        <v>272</v>
      </c>
      <c r="G131">
        <v>2017</v>
      </c>
      <c r="H131" t="s">
        <v>282</v>
      </c>
      <c r="I131">
        <v>1.1624356</v>
      </c>
    </row>
    <row r="132" spans="2:9">
      <c r="B132" t="s">
        <v>97</v>
      </c>
      <c r="C132" t="s">
        <v>730</v>
      </c>
      <c r="F132" t="s">
        <v>272</v>
      </c>
      <c r="G132">
        <v>2017</v>
      </c>
      <c r="H132" t="s">
        <v>281</v>
      </c>
      <c r="I132">
        <v>1.3591716472036699</v>
      </c>
    </row>
    <row r="133" spans="2:9">
      <c r="B133" t="s">
        <v>97</v>
      </c>
      <c r="C133" t="s">
        <v>730</v>
      </c>
      <c r="F133" t="s">
        <v>272</v>
      </c>
      <c r="G133">
        <v>2017</v>
      </c>
      <c r="H133" t="s">
        <v>369</v>
      </c>
      <c r="I133">
        <v>4.2</v>
      </c>
    </row>
    <row r="134" spans="2:9">
      <c r="B134" t="s">
        <v>97</v>
      </c>
      <c r="C134" t="s">
        <v>730</v>
      </c>
      <c r="F134" t="s">
        <v>272</v>
      </c>
      <c r="G134">
        <v>2017</v>
      </c>
      <c r="H134" t="s">
        <v>284</v>
      </c>
      <c r="I134">
        <v>2.1800600000000001</v>
      </c>
    </row>
    <row r="135" spans="2:9">
      <c r="B135" t="s">
        <v>97</v>
      </c>
      <c r="C135" t="s">
        <v>730</v>
      </c>
      <c r="F135" t="s">
        <v>272</v>
      </c>
      <c r="G135">
        <v>2017</v>
      </c>
      <c r="H135" t="s">
        <v>285</v>
      </c>
      <c r="I135">
        <v>0.65910719806663898</v>
      </c>
    </row>
    <row r="136" spans="2:9">
      <c r="B136" t="s">
        <v>97</v>
      </c>
      <c r="C136" t="s">
        <v>730</v>
      </c>
      <c r="F136" t="s">
        <v>272</v>
      </c>
      <c r="G136">
        <v>2017</v>
      </c>
      <c r="H136" t="s">
        <v>688</v>
      </c>
      <c r="I136">
        <v>3.484</v>
      </c>
    </row>
    <row r="137" spans="2:9">
      <c r="B137" t="s">
        <v>97</v>
      </c>
      <c r="C137" t="s">
        <v>730</v>
      </c>
      <c r="F137" t="s">
        <v>272</v>
      </c>
      <c r="G137">
        <v>2017</v>
      </c>
      <c r="H137" t="s">
        <v>689</v>
      </c>
      <c r="I137">
        <v>0.4587</v>
      </c>
    </row>
    <row r="138" spans="2:9">
      <c r="B138" t="s">
        <v>97</v>
      </c>
      <c r="C138" t="s">
        <v>730</v>
      </c>
      <c r="F138" t="s">
        <v>272</v>
      </c>
      <c r="G138">
        <v>2017</v>
      </c>
      <c r="H138" t="s">
        <v>691</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pane xSplit="6" ySplit="4" topLeftCell="M115" activePane="bottomRight" state="frozen"/>
      <selection pane="topRight" activeCell="G1" sqref="G1"/>
      <selection pane="bottomLeft" activeCell="A5" sqref="A5"/>
      <selection pane="bottomRight" activeCell="AH127" sqref="AH127"/>
    </sheetView>
  </sheetViews>
  <sheetFormatPr defaultColWidth="8.85546875" defaultRowHeight="15"/>
  <cols>
    <col min="6" max="6" width="11.85546875" customWidth="1"/>
    <col min="10" max="10" width="8.85546875" style="165"/>
    <col min="15" max="15" width="10.140625" style="165" customWidth="1"/>
  </cols>
  <sheetData>
    <row r="2" spans="1:36">
      <c r="B2">
        <v>2006</v>
      </c>
    </row>
    <row r="3" spans="1:36">
      <c r="C3" t="s">
        <v>734</v>
      </c>
    </row>
    <row r="4" spans="1:36">
      <c r="C4" t="s">
        <v>733</v>
      </c>
      <c r="D4" t="s">
        <v>727</v>
      </c>
      <c r="E4" t="s">
        <v>732</v>
      </c>
      <c r="F4" t="s">
        <v>729</v>
      </c>
      <c r="G4">
        <f>AGR!J21</f>
        <v>2017</v>
      </c>
      <c r="H4">
        <f>AGR!K21</f>
        <v>2018</v>
      </c>
      <c r="I4">
        <f>AGR!L21</f>
        <v>2019</v>
      </c>
      <c r="J4" s="165">
        <f>AGR!M21</f>
        <v>2020</v>
      </c>
      <c r="K4">
        <f>AGR!N21</f>
        <v>2021</v>
      </c>
      <c r="L4">
        <f>AGR!O21</f>
        <v>2022</v>
      </c>
      <c r="M4">
        <f>AGR!P21</f>
        <v>2023</v>
      </c>
      <c r="N4">
        <f>AGR!Q21</f>
        <v>2024</v>
      </c>
      <c r="O4" s="165">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6" t="s">
        <v>289</v>
      </c>
      <c r="B5">
        <v>3.4886478690149998</v>
      </c>
      <c r="C5" t="s">
        <v>731</v>
      </c>
      <c r="D5" t="s">
        <v>272</v>
      </c>
      <c r="E5" s="109">
        <f>MATCH(F5,AGR!$D$22:$D$26,0)</f>
        <v>1</v>
      </c>
      <c r="F5" t="str">
        <f>A5</f>
        <v>AH</v>
      </c>
      <c r="G5" s="107">
        <f ca="1">OFFSET(AGR!J$21,$E5,0)</f>
        <v>2.5043970166379799</v>
      </c>
      <c r="H5" s="107">
        <f ca="1">OFFSET(AGR!K$21,$E5,0)</f>
        <v>2.4662677661307026</v>
      </c>
      <c r="I5" s="107">
        <f ca="1">OFFSET(AGR!L$21,$E5,0)</f>
        <v>2.4276166439312807</v>
      </c>
      <c r="J5" s="175">
        <f ca="1">OFFSET(AGR!M$21,$E5,0)</f>
        <v>2.3991505509071809</v>
      </c>
      <c r="K5" s="107">
        <f ca="1">OFFSET(AGR!N$21,$E5,0)</f>
        <v>2.5119840903226232</v>
      </c>
      <c r="L5" s="107">
        <f ca="1">OFFSET(AGR!O$21,$E5,0)</f>
        <v>2.5599731893580109</v>
      </c>
      <c r="M5" s="107">
        <f ca="1">OFFSET(AGR!P$21,$E5,0)</f>
        <v>2.5650931357367268</v>
      </c>
      <c r="N5" s="107">
        <f ca="1">OFFSET(AGR!Q$21,$E5,0)</f>
        <v>2.5907440670940942</v>
      </c>
      <c r="O5" s="175">
        <f ca="1">OFFSET(AGR!R$21,$E5,0)</f>
        <v>2.6192422518321288</v>
      </c>
      <c r="P5" s="107">
        <f ca="1">OFFSET(AGR!S$21,$E5,0)</f>
        <v>2.6559116433577787</v>
      </c>
      <c r="Q5" s="107">
        <f ca="1">OFFSET(AGR!T$21,$E5,0)</f>
        <v>2.6984062296515035</v>
      </c>
      <c r="R5" s="107">
        <f ca="1">OFFSET(AGR!U$21,$E5,0)</f>
        <v>2.7469775417852307</v>
      </c>
      <c r="S5" s="107">
        <f ca="1">OFFSET(AGR!V$21,$E5,0)</f>
        <v>2.8074981878693284</v>
      </c>
      <c r="T5" s="107">
        <f ca="1">OFFSET(AGR!W$21,$E5,0)</f>
        <v>2.88110617069785</v>
      </c>
      <c r="U5" s="107">
        <f ca="1">OFFSET(AGR!X$21,$E5,0)</f>
        <v>2.9657485072394256</v>
      </c>
      <c r="V5" s="107">
        <f ca="1">OFFSET(AGR!Y$21,$E5,0)</f>
        <v>3.0549509243193032</v>
      </c>
      <c r="W5" s="107">
        <f ca="1">OFFSET(AGR!Z$21,$E5,0)</f>
        <v>3.1495862936220882</v>
      </c>
      <c r="X5" s="107">
        <f ca="1">OFFSET(AGR!AA$21,$E5,0)</f>
        <v>3.2578247428133373</v>
      </c>
      <c r="Y5" s="107">
        <f ca="1">OFFSET(AGR!AB$21,$E5,0)</f>
        <v>3.3725154657177883</v>
      </c>
      <c r="Z5" s="107">
        <f ca="1">OFFSET(AGR!AC$21,$E5,0)</f>
        <v>3.4940725985154502</v>
      </c>
      <c r="AA5" s="107">
        <f ca="1">OFFSET(AGR!AD$21,$E5,0)</f>
        <v>3.6233778070162947</v>
      </c>
      <c r="AB5" s="107">
        <f ca="1">OFFSET(AGR!AE$21,$E5,0)</f>
        <v>3.7587325025410436</v>
      </c>
      <c r="AC5" s="107">
        <f ca="1">OFFSET(AGR!AF$21,$E5,0)</f>
        <v>3.8961724637734161</v>
      </c>
      <c r="AD5" s="107">
        <f ca="1">OFFSET(AGR!AG$21,$E5,0)</f>
        <v>4.0341304928135608</v>
      </c>
      <c r="AE5" s="107">
        <f ca="1">OFFSET(AGR!AH$21,$E5,0)</f>
        <v>4.7857199596605406</v>
      </c>
      <c r="AF5" s="107">
        <f ca="1">OFFSET(AGR!AI$21,$E5,0)</f>
        <v>5.6914615002983577</v>
      </c>
      <c r="AG5" s="107">
        <f ca="1">OFFSET(AGR!AJ$21,$E5,0)</f>
        <v>7.4025843814988459</v>
      </c>
      <c r="AH5" s="107">
        <f ca="1">OFFSET(AGR!AK$21,$E5,0)</f>
        <v>8.0658471650870585</v>
      </c>
      <c r="AJ5">
        <f ca="1">AH5/G5</f>
        <v>3.2206743226020249</v>
      </c>
    </row>
    <row r="6" spans="1:36">
      <c r="A6" s="26" t="s">
        <v>290</v>
      </c>
      <c r="B6">
        <v>6.8942225938929997</v>
      </c>
      <c r="C6" t="s">
        <v>731</v>
      </c>
      <c r="D6" t="s">
        <v>272</v>
      </c>
      <c r="E6" s="110">
        <f>MATCH(F6,AGR!$D$22:$D$26,0)</f>
        <v>4</v>
      </c>
      <c r="F6" t="str">
        <f t="shared" ref="F6:F68" si="0">A6</f>
        <v>AI</v>
      </c>
      <c r="G6" s="107">
        <f ca="1">OFFSET(AGR!J$21,$E6,0)</f>
        <v>5.7709645233647997</v>
      </c>
      <c r="H6" s="107">
        <f ca="1">OFFSET(AGR!K$21,$E6,0)</f>
        <v>5.6831020357008502</v>
      </c>
      <c r="I6" s="107">
        <f ca="1">OFFSET(AGR!L$21,$E6,0)</f>
        <v>5.5940369819097624</v>
      </c>
      <c r="J6" s="175">
        <f ca="1">OFFSET(AGR!M$21,$E6,0)</f>
        <v>5.5284416262734526</v>
      </c>
      <c r="K6" s="107">
        <f ca="1">OFFSET(AGR!N$21,$E6,0)</f>
        <v>5.7884476671232958</v>
      </c>
      <c r="L6" s="107">
        <f ca="1">OFFSET(AGR!O$21,$E6,0)</f>
        <v>5.8990305284673985</v>
      </c>
      <c r="M6" s="107">
        <f ca="1">OFFSET(AGR!P$21,$E6,0)</f>
        <v>5.9108285895243329</v>
      </c>
      <c r="N6" s="107">
        <f ca="1">OFFSET(AGR!Q$21,$E6,0)</f>
        <v>5.9699368754195765</v>
      </c>
      <c r="O6" s="175">
        <f ca="1">OFFSET(AGR!R$21,$E6,0)</f>
        <v>6.0356061810491912</v>
      </c>
      <c r="P6" s="107">
        <f ca="1">OFFSET(AGR!S$21,$E6,0)</f>
        <v>6.1201046675838802</v>
      </c>
      <c r="Q6" s="107">
        <f ca="1">OFFSET(AGR!T$21,$E6,0)</f>
        <v>6.2180263422652224</v>
      </c>
      <c r="R6" s="107">
        <f ca="1">OFFSET(AGR!U$21,$E6,0)</f>
        <v>6.3299508164259963</v>
      </c>
      <c r="S6" s="107">
        <f ca="1">OFFSET(AGR!V$21,$E6,0)</f>
        <v>6.4694105343389774</v>
      </c>
      <c r="T6" s="107">
        <f ca="1">OFFSET(AGR!W$21,$E6,0)</f>
        <v>6.6390278333206298</v>
      </c>
      <c r="U6" s="107">
        <f ca="1">OFFSET(AGR!X$21,$E6,0)</f>
        <v>6.8340719569603703</v>
      </c>
      <c r="V6" s="107">
        <f ca="1">OFFSET(AGR!Y$21,$E6,0)</f>
        <v>7.0396240243627792</v>
      </c>
      <c r="W6" s="107">
        <f ca="1">OFFSET(AGR!Z$21,$E6,0)</f>
        <v>7.2576954224971928</v>
      </c>
      <c r="X6" s="107">
        <f ca="1">OFFSET(AGR!AA$21,$E6,0)</f>
        <v>7.5071128456121858</v>
      </c>
      <c r="Y6" s="107">
        <f ca="1">OFFSET(AGR!AB$21,$E6,0)</f>
        <v>7.7713984555388356</v>
      </c>
      <c r="Z6" s="107">
        <f ca="1">OFFSET(AGR!AC$21,$E6,0)</f>
        <v>8.0515065599155839</v>
      </c>
      <c r="AA6" s="107">
        <f ca="1">OFFSET(AGR!AD$21,$E6,0)</f>
        <v>8.3494688103044687</v>
      </c>
      <c r="AB6" s="107">
        <f ca="1">OFFSET(AGR!AE$21,$E6,0)</f>
        <v>8.6613710928717875</v>
      </c>
      <c r="AC6" s="107">
        <f ca="1">OFFSET(AGR!AF$21,$E6,0)</f>
        <v>8.978078521883754</v>
      </c>
      <c r="AD6" s="107">
        <f ca="1">OFFSET(AGR!AG$21,$E6,0)</f>
        <v>9.2959797516068257</v>
      </c>
      <c r="AE6" s="107">
        <f ca="1">OFFSET(AGR!AH$21,$E6,0)</f>
        <v>11.027892112343984</v>
      </c>
      <c r="AF6" s="107">
        <f ca="1">OFFSET(AGR!AI$21,$E6,0)</f>
        <v>13.115022173445714</v>
      </c>
      <c r="AG6" s="107">
        <f ca="1">OFFSET(AGR!AJ$21,$E6,0)</f>
        <v>17.058018981428742</v>
      </c>
      <c r="AH6" s="107">
        <f ca="1">OFFSET(AGR!AK$21,$E6,0)</f>
        <v>18.586397257048233</v>
      </c>
      <c r="AJ6">
        <f t="shared" ref="AJ6:AJ69" ca="1" si="1">AH6/G6</f>
        <v>3.2206743226020231</v>
      </c>
    </row>
    <row r="7" spans="1:36">
      <c r="A7" s="26" t="s">
        <v>291</v>
      </c>
      <c r="B7">
        <v>8.6660070567129992</v>
      </c>
      <c r="C7" t="s">
        <v>731</v>
      </c>
      <c r="D7" t="s">
        <v>272</v>
      </c>
      <c r="E7" s="110">
        <f>MATCH(F7,AGR!$D$22:$D$26,0)</f>
        <v>5</v>
      </c>
      <c r="F7" t="str">
        <f t="shared" si="0"/>
        <v>AO</v>
      </c>
      <c r="G7" s="107">
        <f ca="1">OFFSET(AGR!J$21,$E7,0)</f>
        <v>10.1217912486754</v>
      </c>
      <c r="H7" s="107">
        <f ca="1">OFFSET(AGR!K$21,$E7,0)</f>
        <v>9.9676877612733854</v>
      </c>
      <c r="I7" s="107">
        <f ca="1">OFFSET(AGR!L$21,$E7,0)</f>
        <v>9.8114750730172791</v>
      </c>
      <c r="J7" s="175">
        <f ca="1">OFFSET(AGR!M$21,$E7,0)</f>
        <v>9.6964262810960573</v>
      </c>
      <c r="K7" s="107">
        <f ca="1">OFFSET(AGR!N$21,$E7,0)</f>
        <v>10.152455227075826</v>
      </c>
      <c r="L7" s="107">
        <f ca="1">OFFSET(AGR!O$21,$E7,0)</f>
        <v>10.346408358077507</v>
      </c>
      <c r="M7" s="107">
        <f ca="1">OFFSET(AGR!P$21,$E7,0)</f>
        <v>10.367101174793662</v>
      </c>
      <c r="N7" s="107">
        <f ca="1">OFFSET(AGR!Q$21,$E7,0)</f>
        <v>10.470772186541598</v>
      </c>
      <c r="O7" s="175">
        <f ca="1">OFFSET(AGR!R$21,$E7,0)</f>
        <v>10.585950680593555</v>
      </c>
      <c r="P7" s="107">
        <f ca="1">OFFSET(AGR!S$21,$E7,0)</f>
        <v>10.734153990121865</v>
      </c>
      <c r="Q7" s="107">
        <f ca="1">OFFSET(AGR!T$21,$E7,0)</f>
        <v>10.905900453963815</v>
      </c>
      <c r="R7" s="107">
        <f ca="1">OFFSET(AGR!U$21,$E7,0)</f>
        <v>11.102206662135163</v>
      </c>
      <c r="S7" s="107">
        <f ca="1">OFFSET(AGR!V$21,$E7,0)</f>
        <v>11.346807395097445</v>
      </c>
      <c r="T7" s="107">
        <f ca="1">OFFSET(AGR!W$21,$E7,0)</f>
        <v>11.644302014152119</v>
      </c>
      <c r="U7" s="107">
        <f ca="1">OFFSET(AGR!X$21,$E7,0)</f>
        <v>11.986393166466328</v>
      </c>
      <c r="V7" s="107">
        <f ca="1">OFFSET(AGR!Y$21,$E7,0)</f>
        <v>12.346914377185495</v>
      </c>
      <c r="W7" s="107">
        <f ca="1">OFFSET(AGR!Z$21,$E7,0)</f>
        <v>12.729393451573628</v>
      </c>
      <c r="X7" s="107">
        <f ca="1">OFFSET(AGR!AA$21,$E7,0)</f>
        <v>13.166850843718633</v>
      </c>
      <c r="Y7" s="107">
        <f ca="1">OFFSET(AGR!AB$21,$E7,0)</f>
        <v>13.630385797516391</v>
      </c>
      <c r="Z7" s="107">
        <f ca="1">OFFSET(AGR!AC$21,$E7,0)</f>
        <v>14.121672089103322</v>
      </c>
      <c r="AA7" s="107">
        <f ca="1">OFFSET(AGR!AD$21,$E7,0)</f>
        <v>14.64427306615168</v>
      </c>
      <c r="AB7" s="107">
        <f ca="1">OFFSET(AGR!AE$21,$E7,0)</f>
        <v>15.191323698909869</v>
      </c>
      <c r="AC7" s="107">
        <f ca="1">OFFSET(AGR!AF$21,$E7,0)</f>
        <v>15.746802158426501</v>
      </c>
      <c r="AD7" s="107">
        <f ca="1">OFFSET(AGR!AG$21,$E7,0)</f>
        <v>16.304374444987364</v>
      </c>
      <c r="AE7" s="107">
        <f ca="1">OFFSET(AGR!AH$21,$E7,0)</f>
        <v>19.342004516253358</v>
      </c>
      <c r="AF7" s="107">
        <f ca="1">OFFSET(AGR!AI$21,$E7,0)</f>
        <v>23.002656856391031</v>
      </c>
      <c r="AG7" s="107">
        <f ca="1">OFFSET(AGR!AJ$21,$E7,0)</f>
        <v>29.918344939901854</v>
      </c>
      <c r="AH7" s="107">
        <f ca="1">OFFSET(AGR!AK$21,$E7,0)</f>
        <v>32.598993173346742</v>
      </c>
      <c r="AJ7">
        <f t="shared" ca="1" si="1"/>
        <v>3.220674322602024</v>
      </c>
    </row>
    <row r="8" spans="1:36">
      <c r="A8" s="26" t="s">
        <v>292</v>
      </c>
      <c r="B8">
        <v>5.4851590254799998</v>
      </c>
      <c r="C8" t="s">
        <v>731</v>
      </c>
      <c r="D8" t="s">
        <v>272</v>
      </c>
      <c r="E8" s="110">
        <f>MATCH(F8,AGR!$D$22:$D$26,0)</f>
        <v>2</v>
      </c>
      <c r="F8" t="str">
        <f t="shared" si="0"/>
        <v>AP</v>
      </c>
      <c r="G8" s="107">
        <f ca="1">OFFSET(AGR!J$21,$E8,0)</f>
        <v>4.6040183871857696</v>
      </c>
      <c r="H8" s="107">
        <f ca="1">OFFSET(AGR!K$21,$E8,0)</f>
        <v>4.5339225640160148</v>
      </c>
      <c r="I8" s="107">
        <f ca="1">OFFSET(AGR!L$21,$E8,0)</f>
        <v>4.4628673454906425</v>
      </c>
      <c r="J8" s="175">
        <f ca="1">OFFSET(AGR!M$21,$E8,0)</f>
        <v>4.4105360198966537</v>
      </c>
      <c r="K8" s="107">
        <f ca="1">OFFSET(AGR!N$21,$E8,0)</f>
        <v>4.6179662662628349</v>
      </c>
      <c r="L8" s="107">
        <f ca="1">OFFSET(AGR!O$21,$E8,0)</f>
        <v>4.706188178713445</v>
      </c>
      <c r="M8" s="107">
        <f ca="1">OFFSET(AGR!P$21,$E8,0)</f>
        <v>4.7156005550708722</v>
      </c>
      <c r="N8" s="107">
        <f ca="1">OFFSET(AGR!Q$21,$E8,0)</f>
        <v>4.7627565606215807</v>
      </c>
      <c r="O8" s="175">
        <f ca="1">OFFSET(AGR!R$21,$E8,0)</f>
        <v>4.8151468827884178</v>
      </c>
      <c r="P8" s="107">
        <f ca="1">OFFSET(AGR!S$21,$E8,0)</f>
        <v>4.8825589391474562</v>
      </c>
      <c r="Q8" s="107">
        <f ca="1">OFFSET(AGR!T$21,$E8,0)</f>
        <v>4.9606798821738156</v>
      </c>
      <c r="R8" s="107">
        <f ca="1">OFFSET(AGR!U$21,$E8,0)</f>
        <v>5.0499721200529439</v>
      </c>
      <c r="S8" s="107">
        <f ca="1">OFFSET(AGR!V$21,$E8,0)</f>
        <v>5.161231702908383</v>
      </c>
      <c r="T8" s="107">
        <f ca="1">OFFSET(AGR!W$21,$E8,0)</f>
        <v>5.2965507055005165</v>
      </c>
      <c r="U8" s="107">
        <f ca="1">OFFSET(AGR!X$21,$E8,0)</f>
        <v>5.452154977180621</v>
      </c>
      <c r="V8" s="107">
        <f ca="1">OFFSET(AGR!Y$21,$E8,0)</f>
        <v>5.6161423824078076</v>
      </c>
      <c r="W8" s="107">
        <f ca="1">OFFSET(AGR!Z$21,$E8,0)</f>
        <v>5.7901175858014957</v>
      </c>
      <c r="X8" s="107">
        <f ca="1">OFFSET(AGR!AA$21,$E8,0)</f>
        <v>5.9891003377239391</v>
      </c>
      <c r="Y8" s="107">
        <f ca="1">OFFSET(AGR!AB$21,$E8,0)</f>
        <v>6.199944781948914</v>
      </c>
      <c r="Z8" s="107">
        <f ca="1">OFFSET(AGR!AC$21,$E8,0)</f>
        <v>6.4234122556665278</v>
      </c>
      <c r="AA8" s="107">
        <f ca="1">OFFSET(AGR!AD$21,$E8,0)</f>
        <v>6.6611235903877173</v>
      </c>
      <c r="AB8" s="107">
        <f ca="1">OFFSET(AGR!AE$21,$E8,0)</f>
        <v>6.9099561448300859</v>
      </c>
      <c r="AC8" s="107">
        <f ca="1">OFFSET(AGR!AF$21,$E8,0)</f>
        <v>7.1626221975541906</v>
      </c>
      <c r="AD8" s="107">
        <f ca="1">OFFSET(AGR!AG$21,$E8,0)</f>
        <v>7.4162406526717444</v>
      </c>
      <c r="AE8" s="107">
        <f ca="1">OFFSET(AGR!AH$21,$E8,0)</f>
        <v>8.7979431950361953</v>
      </c>
      <c r="AF8" s="107">
        <f ca="1">OFFSET(AGR!AI$21,$E8,0)</f>
        <v>10.463034903511614</v>
      </c>
      <c r="AG8" s="107">
        <f ca="1">OFFSET(AGR!AJ$21,$E8,0)</f>
        <v>13.608718736962746</v>
      </c>
      <c r="AH8" s="107">
        <f ca="1">OFFSET(AGR!AK$21,$E8,0)</f>
        <v>14.828043800396795</v>
      </c>
      <c r="AJ8">
        <f t="shared" ca="1" si="1"/>
        <v>3.2206743226020249</v>
      </c>
    </row>
    <row r="9" spans="1:36">
      <c r="A9" s="26" t="s">
        <v>293</v>
      </c>
      <c r="B9">
        <v>14.26028349219</v>
      </c>
      <c r="C9" t="s">
        <v>731</v>
      </c>
      <c r="D9" t="s">
        <v>272</v>
      </c>
      <c r="E9" s="111">
        <f>MATCH(F9,AGR!$D$22:$D$26,0)</f>
        <v>3</v>
      </c>
      <c r="F9" t="str">
        <f t="shared" si="0"/>
        <v>AT</v>
      </c>
      <c r="G9" s="107">
        <f ca="1">OFFSET(AGR!J$21,$E9,0)</f>
        <v>7.9249894633578597</v>
      </c>
      <c r="H9" s="107">
        <f ca="1">OFFSET(AGR!K$21,$E9,0)</f>
        <v>7.8043321129024763</v>
      </c>
      <c r="I9" s="107">
        <f ca="1">OFFSET(AGR!L$21,$E9,0)</f>
        <v>7.6820233359224668</v>
      </c>
      <c r="J9" s="175">
        <f ca="1">OFFSET(AGR!M$21,$E9,0)</f>
        <v>7.5919443724912608</v>
      </c>
      <c r="K9" s="107">
        <f ca="1">OFFSET(AGR!N$21,$E9,0)</f>
        <v>7.9489982281859044</v>
      </c>
      <c r="L9" s="107">
        <f ca="1">OFFSET(AGR!O$21,$E9,0)</f>
        <v>8.1008563807411385</v>
      </c>
      <c r="M9" s="107">
        <f ca="1">OFFSET(AGR!P$21,$E9,0)</f>
        <v>8.1170580935026209</v>
      </c>
      <c r="N9" s="107">
        <f ca="1">OFFSET(AGR!Q$21,$E9,0)</f>
        <v>8.1982286744376474</v>
      </c>
      <c r="O9" s="175">
        <f ca="1">OFFSET(AGR!R$21,$E9,0)</f>
        <v>8.2884091898564609</v>
      </c>
      <c r="P9" s="107">
        <f ca="1">OFFSET(AGR!S$21,$E9,0)</f>
        <v>8.4044469185144521</v>
      </c>
      <c r="Q9" s="107">
        <f ca="1">OFFSET(AGR!T$21,$E9,0)</f>
        <v>8.5389180692106841</v>
      </c>
      <c r="R9" s="107">
        <f ca="1">OFFSET(AGR!U$21,$E9,0)</f>
        <v>8.6926185944564764</v>
      </c>
      <c r="S9" s="107">
        <f ca="1">OFFSET(AGR!V$21,$E9,0)</f>
        <v>8.8841319525006242</v>
      </c>
      <c r="T9" s="107">
        <f ca="1">OFFSET(AGR!W$21,$E9,0)</f>
        <v>9.1170592737119254</v>
      </c>
      <c r="U9" s="107">
        <f ca="1">OFFSET(AGR!X$21,$E9,0)</f>
        <v>9.3849040366586873</v>
      </c>
      <c r="V9" s="107">
        <f ca="1">OFFSET(AGR!Y$21,$E9,0)</f>
        <v>9.6671788560134466</v>
      </c>
      <c r="W9" s="107">
        <f ca="1">OFFSET(AGR!Z$21,$E9,0)</f>
        <v>9.9666458732647154</v>
      </c>
      <c r="X9" s="107">
        <f ca="1">OFFSET(AGR!AA$21,$E9,0)</f>
        <v>10.309158886845278</v>
      </c>
      <c r="Y9" s="107">
        <f ca="1">OFFSET(AGR!AB$21,$E9,0)</f>
        <v>10.672089669993571</v>
      </c>
      <c r="Z9" s="107">
        <f ca="1">OFFSET(AGR!AC$21,$E9,0)</f>
        <v>11.056748727729831</v>
      </c>
      <c r="AA9" s="107">
        <f ca="1">OFFSET(AGR!AD$21,$E9,0)</f>
        <v>11.465926029938148</v>
      </c>
      <c r="AB9" s="107">
        <f ca="1">OFFSET(AGR!AE$21,$E9,0)</f>
        <v>11.894246511364718</v>
      </c>
      <c r="AC9" s="107">
        <f ca="1">OFFSET(AGR!AF$21,$E9,0)</f>
        <v>12.329165670497511</v>
      </c>
      <c r="AD9" s="107">
        <f ca="1">OFFSET(AGR!AG$21,$E9,0)</f>
        <v>12.765724219028481</v>
      </c>
      <c r="AE9" s="107">
        <f ca="1">OFFSET(AGR!AH$21,$E9,0)</f>
        <v>15.14407659924699</v>
      </c>
      <c r="AF9" s="107">
        <f ca="1">OFFSET(AGR!AI$21,$E9,0)</f>
        <v>18.010232451690982</v>
      </c>
      <c r="AG9" s="107">
        <f ca="1">OFFSET(AGR!AJ$21,$E9,0)</f>
        <v>23.424961312144923</v>
      </c>
      <c r="AH9" s="107">
        <f ca="1">OFFSET(AGR!AK$21,$E9,0)</f>
        <v>25.523810071528274</v>
      </c>
      <c r="AJ9">
        <f t="shared" ca="1" si="1"/>
        <v>3.2206743226020267</v>
      </c>
    </row>
    <row r="10" spans="1:36">
      <c r="A10" s="26" t="s">
        <v>294</v>
      </c>
      <c r="B10">
        <v>0.39719718710289997</v>
      </c>
      <c r="C10" t="s">
        <v>731</v>
      </c>
      <c r="D10" t="s">
        <v>272</v>
      </c>
      <c r="E10" s="110">
        <f>MATCH(F10,IND!$D$29:$D$137,0)</f>
        <v>65</v>
      </c>
      <c r="F10" t="str">
        <f t="shared" si="0"/>
        <v>ICPA</v>
      </c>
      <c r="G10" s="107">
        <f ca="1">OFFSET(IND!P$28,$E10,0)</f>
        <v>0.3034425</v>
      </c>
      <c r="H10" s="107">
        <f ca="1">OFFSET(IND!Q$28,$E10,0)</f>
        <v>0.30687877870399499</v>
      </c>
      <c r="I10" s="107">
        <f ca="1">OFFSET(IND!R$28,$E10,0)</f>
        <v>0.30623182499737867</v>
      </c>
      <c r="J10" s="175">
        <f ca="1">OFFSET(IND!S$28,$E10,0)</f>
        <v>0.30176553966133574</v>
      </c>
      <c r="K10" s="107">
        <f ca="1">OFFSET(IND!T$28,$E10,0)</f>
        <v>0.30603739752586728</v>
      </c>
      <c r="L10" s="107">
        <f ca="1">OFFSET(IND!U$28,$E10,0)</f>
        <v>0.30985522119974063</v>
      </c>
      <c r="M10" s="107">
        <f ca="1">OFFSET(IND!V$28,$E10,0)</f>
        <v>0.30775030206346515</v>
      </c>
      <c r="N10" s="107">
        <f ca="1">OFFSET(IND!W$28,$E10,0)</f>
        <v>0.30821811410415173</v>
      </c>
      <c r="O10" s="175">
        <f ca="1">OFFSET(IND!X$28,$E10,0)</f>
        <v>0.30883838494071553</v>
      </c>
      <c r="P10" s="107">
        <f ca="1">OFFSET(IND!Y$28,$E10,0)</f>
        <v>0.31370664827310507</v>
      </c>
      <c r="Q10" s="107">
        <f ca="1">OFFSET(IND!Z$28,$E10,0)</f>
        <v>0.31921032788924125</v>
      </c>
      <c r="R10" s="107">
        <f ca="1">OFFSET(IND!AA$28,$E10,0)</f>
        <v>0.32523713571748791</v>
      </c>
      <c r="S10" s="107">
        <f ca="1">OFFSET(IND!AB$28,$E10,0)</f>
        <v>0.33283126117762035</v>
      </c>
      <c r="T10" s="107">
        <f ca="1">OFFSET(IND!AC$28,$E10,0)</f>
        <v>0.34207255761594141</v>
      </c>
      <c r="U10" s="107">
        <f ca="1">OFFSET(IND!AD$28,$E10,0)</f>
        <v>0.35301368162039282</v>
      </c>
      <c r="V10" s="107">
        <f ca="1">OFFSET(IND!AE$28,$E10,0)</f>
        <v>0.36444596506683824</v>
      </c>
      <c r="W10" s="107">
        <f ca="1">OFFSET(IND!AF$28,$E10,0)</f>
        <v>0.37688372973483808</v>
      </c>
      <c r="X10" s="107">
        <f ca="1">OFFSET(IND!AG$28,$E10,0)</f>
        <v>0.39082450190969908</v>
      </c>
      <c r="Y10" s="107">
        <f ca="1">OFFSET(IND!AH$28,$E10,0)</f>
        <v>0.40596675192130272</v>
      </c>
      <c r="Z10" s="107">
        <f ca="1">OFFSET(IND!AI$28,$E10,0)</f>
        <v>0.42198260989601871</v>
      </c>
      <c r="AA10" s="107">
        <f ca="1">OFFSET(IND!AJ$28,$E10,0)</f>
        <v>0.43877470169043026</v>
      </c>
      <c r="AB10" s="107">
        <f ca="1">OFFSET(IND!AK$28,$E10,0)</f>
        <v>0.45656794050109067</v>
      </c>
      <c r="AC10" s="107">
        <f ca="1">OFFSET(IND!AL$28,$E10,0)</f>
        <v>0.47462781538002363</v>
      </c>
      <c r="AD10" s="107">
        <f ca="1">OFFSET(IND!AM$28,$E10,0)</f>
        <v>0.49276268846289872</v>
      </c>
      <c r="AE10" s="107">
        <f ca="1">OFFSET(IND!AN$28,$E10,0)</f>
        <v>0.59013537554369844</v>
      </c>
      <c r="AF10" s="107">
        <f ca="1">OFFSET(IND!AO$28,$E10,0)</f>
        <v>0.70720147219034468</v>
      </c>
      <c r="AG10" s="107">
        <f ca="1">OFFSET(IND!AP$28,$E10,0)</f>
        <v>0.82903183260653512</v>
      </c>
      <c r="AH10" s="107">
        <f ca="1">OFFSET(IND!AQ$28,$E10,0)</f>
        <v>0.92833379470634503</v>
      </c>
      <c r="AJ10">
        <f t="shared" ca="1" si="1"/>
        <v>3.0593400552208245</v>
      </c>
    </row>
    <row r="11" spans="1:36">
      <c r="A11" s="26" t="s">
        <v>295</v>
      </c>
      <c r="B11">
        <v>5.295962494706</v>
      </c>
      <c r="C11" t="s">
        <v>731</v>
      </c>
      <c r="D11" t="s">
        <v>272</v>
      </c>
      <c r="E11" s="110">
        <f>MATCH(F11,IND!$D$29:$D$137,0)</f>
        <v>67</v>
      </c>
      <c r="F11" t="str">
        <f t="shared" si="0"/>
        <v>ICPC</v>
      </c>
      <c r="G11" s="107">
        <f ca="1">OFFSET(IND!P$28,$E11,0)</f>
        <v>4.0458999999999996</v>
      </c>
      <c r="H11" s="107">
        <f ca="1">OFFSET(IND!Q$28,$E11,0)</f>
        <v>4.0917170493865989</v>
      </c>
      <c r="I11" s="107">
        <f ca="1">OFFSET(IND!R$28,$E11,0)</f>
        <v>4.083090999965048</v>
      </c>
      <c r="J11" s="175">
        <f ca="1">OFFSET(IND!S$28,$E11,0)</f>
        <v>4.0235405288178097</v>
      </c>
      <c r="K11" s="107">
        <f ca="1">OFFSET(IND!T$28,$E11,0)</f>
        <v>4.0804986336782303</v>
      </c>
      <c r="L11" s="107">
        <f ca="1">OFFSET(IND!U$28,$E11,0)</f>
        <v>4.1314029493298747</v>
      </c>
      <c r="M11" s="107">
        <f ca="1">OFFSET(IND!V$28,$E11,0)</f>
        <v>4.1033373608462016</v>
      </c>
      <c r="N11" s="107">
        <f ca="1">OFFSET(IND!W$28,$E11,0)</f>
        <v>4.1095748547220223</v>
      </c>
      <c r="O11" s="175">
        <f ca="1">OFFSET(IND!X$28,$E11,0)</f>
        <v>4.1178451325428727</v>
      </c>
      <c r="P11" s="107">
        <f ca="1">OFFSET(IND!Y$28,$E11,0)</f>
        <v>4.1827553103080666</v>
      </c>
      <c r="Q11" s="107">
        <f ca="1">OFFSET(IND!Z$28,$E11,0)</f>
        <v>4.2561377051898823</v>
      </c>
      <c r="R11" s="107">
        <f ca="1">OFFSET(IND!AA$28,$E11,0)</f>
        <v>4.336495142899838</v>
      </c>
      <c r="S11" s="107">
        <f ca="1">OFFSET(IND!AB$28,$E11,0)</f>
        <v>4.4377501490349367</v>
      </c>
      <c r="T11" s="107">
        <f ca="1">OFFSET(IND!AC$28,$E11,0)</f>
        <v>4.5609674348792177</v>
      </c>
      <c r="U11" s="107">
        <f ca="1">OFFSET(IND!AD$28,$E11,0)</f>
        <v>4.7068490882719027</v>
      </c>
      <c r="V11" s="107">
        <f ca="1">OFFSET(IND!AE$28,$E11,0)</f>
        <v>4.859279534224509</v>
      </c>
      <c r="W11" s="107">
        <f ca="1">OFFSET(IND!AF$28,$E11,0)</f>
        <v>5.0251163964645071</v>
      </c>
      <c r="X11" s="107">
        <f ca="1">OFFSET(IND!AG$28,$E11,0)</f>
        <v>5.2109933587959869</v>
      </c>
      <c r="Y11" s="107">
        <f ca="1">OFFSET(IND!AH$28,$E11,0)</f>
        <v>5.4128900256173687</v>
      </c>
      <c r="Z11" s="107">
        <f ca="1">OFFSET(IND!AI$28,$E11,0)</f>
        <v>5.6264347986135821</v>
      </c>
      <c r="AA11" s="107">
        <f ca="1">OFFSET(IND!AJ$28,$E11,0)</f>
        <v>5.8503293558724021</v>
      </c>
      <c r="AB11" s="107">
        <f ca="1">OFFSET(IND!AK$28,$E11,0)</f>
        <v>6.0875725400145404</v>
      </c>
      <c r="AC11" s="107">
        <f ca="1">OFFSET(IND!AL$28,$E11,0)</f>
        <v>6.3283708717336467</v>
      </c>
      <c r="AD11" s="107">
        <f ca="1">OFFSET(IND!AM$28,$E11,0)</f>
        <v>6.5701691795053145</v>
      </c>
      <c r="AE11" s="107">
        <f ca="1">OFFSET(IND!AN$28,$E11,0)</f>
        <v>7.8684716739159777</v>
      </c>
      <c r="AF11" s="107">
        <f ca="1">OFFSET(IND!AO$28,$E11,0)</f>
        <v>9.4293529625379264</v>
      </c>
      <c r="AG11" s="107">
        <f ca="1">OFFSET(IND!AP$28,$E11,0)</f>
        <v>11.053757768087133</v>
      </c>
      <c r="AH11" s="107">
        <f ca="1">OFFSET(IND!AQ$28,$E11,0)</f>
        <v>12.377783929417932</v>
      </c>
      <c r="AJ11">
        <f t="shared" ca="1" si="1"/>
        <v>3.0593400552208245</v>
      </c>
    </row>
    <row r="12" spans="1:36">
      <c r="A12" s="26" t="s">
        <v>296</v>
      </c>
      <c r="B12">
        <v>3.219945196781</v>
      </c>
      <c r="C12" t="s">
        <v>731</v>
      </c>
      <c r="D12" t="s">
        <v>272</v>
      </c>
      <c r="E12" s="110">
        <f>MATCH(F12,IND!$D$29:$D$137,0)</f>
        <v>72</v>
      </c>
      <c r="F12" t="str">
        <f t="shared" si="0"/>
        <v>ICPE</v>
      </c>
      <c r="G12" s="107">
        <f ca="1">OFFSET(IND!P$28,$E12,0)</f>
        <v>2.4599072</v>
      </c>
      <c r="H12" s="107">
        <f ca="1">OFFSET(IND!Q$28,$E12,0)</f>
        <v>2.4877639660270527</v>
      </c>
      <c r="I12" s="107">
        <f ca="1">OFFSET(IND!R$28,$E12,0)</f>
        <v>2.4825193279787499</v>
      </c>
      <c r="J12" s="175">
        <f ca="1">OFFSET(IND!S$28,$E12,0)</f>
        <v>2.4463126415212288</v>
      </c>
      <c r="K12" s="107">
        <f ca="1">OFFSET(IND!T$28,$E12,0)</f>
        <v>2.4809431692763648</v>
      </c>
      <c r="L12" s="107">
        <f ca="1">OFFSET(IND!U$28,$E12,0)</f>
        <v>2.5118929931925651</v>
      </c>
      <c r="M12" s="107">
        <f ca="1">OFFSET(IND!V$28,$E12,0)</f>
        <v>2.4948291153944919</v>
      </c>
      <c r="N12" s="107">
        <f ca="1">OFFSET(IND!W$28,$E12,0)</f>
        <v>2.4986215116709909</v>
      </c>
      <c r="O12" s="175">
        <f ca="1">OFFSET(IND!X$28,$E12,0)</f>
        <v>2.5036498405860681</v>
      </c>
      <c r="P12" s="107">
        <f ca="1">OFFSET(IND!Y$28,$E12,0)</f>
        <v>2.5431152286673058</v>
      </c>
      <c r="Q12" s="107">
        <f ca="1">OFFSET(IND!Z$28,$E12,0)</f>
        <v>2.5877317247554501</v>
      </c>
      <c r="R12" s="107">
        <f ca="1">OFFSET(IND!AA$28,$E12,0)</f>
        <v>2.636589046883103</v>
      </c>
      <c r="S12" s="107">
        <f ca="1">OFFSET(IND!AB$28,$E12,0)</f>
        <v>2.6981520906132435</v>
      </c>
      <c r="T12" s="107">
        <f ca="1">OFFSET(IND!AC$28,$E12,0)</f>
        <v>2.7730682004065663</v>
      </c>
      <c r="U12" s="107">
        <f ca="1">OFFSET(IND!AD$28,$E12,0)</f>
        <v>2.8617642456693191</v>
      </c>
      <c r="V12" s="107">
        <f ca="1">OFFSET(IND!AE$28,$E12,0)</f>
        <v>2.9544419568085036</v>
      </c>
      <c r="W12" s="107">
        <f ca="1">OFFSET(IND!AF$28,$E12,0)</f>
        <v>3.0552707690504226</v>
      </c>
      <c r="X12" s="107">
        <f ca="1">OFFSET(IND!AG$28,$E12,0)</f>
        <v>3.1682839621479628</v>
      </c>
      <c r="Y12" s="107">
        <f ca="1">OFFSET(IND!AH$28,$E12,0)</f>
        <v>3.2910371355753631</v>
      </c>
      <c r="Z12" s="107">
        <f ca="1">OFFSET(IND!AI$28,$E12,0)</f>
        <v>3.420872357557061</v>
      </c>
      <c r="AA12" s="107">
        <f ca="1">OFFSET(IND!AJ$28,$E12,0)</f>
        <v>3.5570002483704237</v>
      </c>
      <c r="AB12" s="107">
        <f ca="1">OFFSET(IND!AK$28,$E12,0)</f>
        <v>3.7012441043288442</v>
      </c>
      <c r="AC12" s="107">
        <f ca="1">OFFSET(IND!AL$28,$E12,0)</f>
        <v>3.8476494900140605</v>
      </c>
      <c r="AD12" s="107">
        <f ca="1">OFFSET(IND!AM$28,$E12,0)</f>
        <v>3.994662861139235</v>
      </c>
      <c r="AE12" s="107">
        <f ca="1">OFFSET(IND!AN$28,$E12,0)</f>
        <v>4.7840307777409183</v>
      </c>
      <c r="AF12" s="107">
        <f ca="1">OFFSET(IND!AO$28,$E12,0)</f>
        <v>5.7330466012230641</v>
      </c>
      <c r="AG12" s="107">
        <f ca="1">OFFSET(IND!AP$28,$E12,0)</f>
        <v>6.7206847229969817</v>
      </c>
      <c r="AH12" s="107">
        <f ca="1">OFFSET(IND!AQ$28,$E12,0)</f>
        <v>7.5256926290861079</v>
      </c>
      <c r="AJ12">
        <f t="shared" ca="1" si="1"/>
        <v>3.0593400552208263</v>
      </c>
    </row>
    <row r="13" spans="1:36">
      <c r="A13" s="26" t="s">
        <v>297</v>
      </c>
      <c r="B13">
        <v>3.389415996611</v>
      </c>
      <c r="C13" t="s">
        <v>731</v>
      </c>
      <c r="D13" t="s">
        <v>272</v>
      </c>
      <c r="E13" s="110">
        <f>MATCH(F13,IND!$D$29:$D$137,0)</f>
        <v>70</v>
      </c>
      <c r="F13" t="str">
        <f t="shared" si="0"/>
        <v>ICPF</v>
      </c>
      <c r="G13" s="107">
        <f ca="1">OFFSET(IND!P$28,$E13,0)</f>
        <v>2.5893760000000001</v>
      </c>
      <c r="H13" s="107">
        <f ca="1">OFFSET(IND!Q$28,$E13,0)</f>
        <v>2.618698911607424</v>
      </c>
      <c r="I13" s="107">
        <f ca="1">OFFSET(IND!R$28,$E13,0)</f>
        <v>2.6131782399776315</v>
      </c>
      <c r="J13" s="175">
        <f ca="1">OFFSET(IND!S$28,$E13,0)</f>
        <v>2.5750659384433989</v>
      </c>
      <c r="K13" s="107">
        <f ca="1">OFFSET(IND!T$28,$E13,0)</f>
        <v>2.6115191255540684</v>
      </c>
      <c r="L13" s="107">
        <f ca="1">OFFSET(IND!U$28,$E13,0)</f>
        <v>2.644097887571121</v>
      </c>
      <c r="M13" s="107">
        <f ca="1">OFFSET(IND!V$28,$E13,0)</f>
        <v>2.6261359109415703</v>
      </c>
      <c r="N13" s="107">
        <f ca="1">OFFSET(IND!W$28,$E13,0)</f>
        <v>2.6301279070220955</v>
      </c>
      <c r="O13" s="175">
        <f ca="1">OFFSET(IND!X$28,$E13,0)</f>
        <v>2.6354208848274396</v>
      </c>
      <c r="P13" s="107">
        <f ca="1">OFFSET(IND!Y$28,$E13,0)</f>
        <v>2.6769633985971635</v>
      </c>
      <c r="Q13" s="107">
        <f ca="1">OFFSET(IND!Z$28,$E13,0)</f>
        <v>2.723928131321526</v>
      </c>
      <c r="R13" s="107">
        <f ca="1">OFFSET(IND!AA$28,$E13,0)</f>
        <v>2.7753568914558975</v>
      </c>
      <c r="S13" s="107">
        <f ca="1">OFFSET(IND!AB$28,$E13,0)</f>
        <v>2.8401600953823607</v>
      </c>
      <c r="T13" s="107">
        <f ca="1">OFFSET(IND!AC$28,$E13,0)</f>
        <v>2.9190191583227003</v>
      </c>
      <c r="U13" s="107">
        <f ca="1">OFFSET(IND!AD$28,$E13,0)</f>
        <v>3.0123834164940191</v>
      </c>
      <c r="V13" s="107">
        <f ca="1">OFFSET(IND!AE$28,$E13,0)</f>
        <v>3.1099389019036869</v>
      </c>
      <c r="W13" s="107">
        <f ca="1">OFFSET(IND!AF$28,$E13,0)</f>
        <v>3.2160744937372856</v>
      </c>
      <c r="X13" s="107">
        <f ca="1">OFFSET(IND!AG$28,$E13,0)</f>
        <v>3.3350357496294332</v>
      </c>
      <c r="Y13" s="107">
        <f ca="1">OFFSET(IND!AH$28,$E13,0)</f>
        <v>3.4642496163951177</v>
      </c>
      <c r="Z13" s="107">
        <f ca="1">OFFSET(IND!AI$28,$E13,0)</f>
        <v>3.6009182711126946</v>
      </c>
      <c r="AA13" s="107">
        <f ca="1">OFFSET(IND!AJ$28,$E13,0)</f>
        <v>3.7442107877583397</v>
      </c>
      <c r="AB13" s="107">
        <f ca="1">OFFSET(IND!AK$28,$E13,0)</f>
        <v>3.8960464256093088</v>
      </c>
      <c r="AC13" s="107">
        <f ca="1">OFFSET(IND!AL$28,$E13,0)</f>
        <v>4.0501573579095362</v>
      </c>
      <c r="AD13" s="107">
        <f ca="1">OFFSET(IND!AM$28,$E13,0)</f>
        <v>4.2049082748834037</v>
      </c>
      <c r="AE13" s="107">
        <f ca="1">OFFSET(IND!AN$28,$E13,0)</f>
        <v>5.0358218713062284</v>
      </c>
      <c r="AF13" s="107">
        <f ca="1">OFFSET(IND!AO$28,$E13,0)</f>
        <v>6.0347858960242764</v>
      </c>
      <c r="AG13" s="107">
        <f ca="1">OFFSET(IND!AP$28,$E13,0)</f>
        <v>7.0744049715757686</v>
      </c>
      <c r="AH13" s="107">
        <f ca="1">OFFSET(IND!AQ$28,$E13,0)</f>
        <v>7.9217817148274801</v>
      </c>
      <c r="AJ13">
        <f t="shared" ca="1" si="1"/>
        <v>3.0593400552208254</v>
      </c>
    </row>
    <row r="14" spans="1:36">
      <c r="A14" s="26" t="s">
        <v>298</v>
      </c>
      <c r="B14">
        <v>0.95327324904709998</v>
      </c>
      <c r="C14" t="s">
        <v>731</v>
      </c>
      <c r="D14" t="s">
        <v>272</v>
      </c>
      <c r="E14" s="110">
        <f>MATCH(F14,IND!$D$29:$D$137,0)</f>
        <v>68</v>
      </c>
      <c r="F14" t="str">
        <f t="shared" si="0"/>
        <v>ICPH</v>
      </c>
      <c r="G14" s="107">
        <f ca="1">OFFSET(IND!P$28,$E14,0)</f>
        <v>0.72826199999999996</v>
      </c>
      <c r="H14" s="107">
        <f ca="1">OFFSET(IND!Q$28,$E14,0)</f>
        <v>0.73650906888958789</v>
      </c>
      <c r="I14" s="107">
        <f ca="1">OFFSET(IND!R$28,$E14,0)</f>
        <v>0.73495637999370877</v>
      </c>
      <c r="J14" s="175">
        <f ca="1">OFFSET(IND!S$28,$E14,0)</f>
        <v>0.72423729518720581</v>
      </c>
      <c r="K14" s="107">
        <f ca="1">OFFSET(IND!T$28,$E14,0)</f>
        <v>0.73448975406208161</v>
      </c>
      <c r="L14" s="107">
        <f ca="1">OFFSET(IND!U$28,$E14,0)</f>
        <v>0.74365253087937766</v>
      </c>
      <c r="M14" s="107">
        <f ca="1">OFFSET(IND!V$28,$E14,0)</f>
        <v>0.73860072495231655</v>
      </c>
      <c r="N14" s="107">
        <f ca="1">OFFSET(IND!W$28,$E14,0)</f>
        <v>0.73972347384996429</v>
      </c>
      <c r="O14" s="175">
        <f ca="1">OFFSET(IND!X$28,$E14,0)</f>
        <v>0.7412121238577174</v>
      </c>
      <c r="P14" s="107">
        <f ca="1">OFFSET(IND!Y$28,$E14,0)</f>
        <v>0.75289595585545221</v>
      </c>
      <c r="Q14" s="107">
        <f ca="1">OFFSET(IND!Z$28,$E14,0)</f>
        <v>0.76610478693417916</v>
      </c>
      <c r="R14" s="107">
        <f ca="1">OFFSET(IND!AA$28,$E14,0)</f>
        <v>0.78056912572197124</v>
      </c>
      <c r="S14" s="107">
        <f ca="1">OFFSET(IND!AB$28,$E14,0)</f>
        <v>0.79879502682628911</v>
      </c>
      <c r="T14" s="107">
        <f ca="1">OFFSET(IND!AC$28,$E14,0)</f>
        <v>0.8209741382782596</v>
      </c>
      <c r="U14" s="107">
        <f ca="1">OFFSET(IND!AD$28,$E14,0)</f>
        <v>0.84723283588894305</v>
      </c>
      <c r="V14" s="107">
        <f ca="1">OFFSET(IND!AE$28,$E14,0)</f>
        <v>0.87467031616041213</v>
      </c>
      <c r="W14" s="107">
        <f ca="1">OFFSET(IND!AF$28,$E14,0)</f>
        <v>0.90452095136361177</v>
      </c>
      <c r="X14" s="107">
        <f ca="1">OFFSET(IND!AG$28,$E14,0)</f>
        <v>0.9379788045832782</v>
      </c>
      <c r="Y14" s="107">
        <f ca="1">OFFSET(IND!AH$28,$E14,0)</f>
        <v>0.97432020461112701</v>
      </c>
      <c r="Z14" s="107">
        <f ca="1">OFFSET(IND!AI$28,$E14,0)</f>
        <v>1.0127582637504455</v>
      </c>
      <c r="AA14" s="107">
        <f ca="1">OFFSET(IND!AJ$28,$E14,0)</f>
        <v>1.0530592840570332</v>
      </c>
      <c r="AB14" s="107">
        <f ca="1">OFFSET(IND!AK$28,$E14,0)</f>
        <v>1.0957630572026182</v>
      </c>
      <c r="AC14" s="107">
        <f ca="1">OFFSET(IND!AL$28,$E14,0)</f>
        <v>1.1391067569120574</v>
      </c>
      <c r="AD14" s="107">
        <f ca="1">OFFSET(IND!AM$28,$E14,0)</f>
        <v>1.1826304523109576</v>
      </c>
      <c r="AE14" s="107">
        <f ca="1">OFFSET(IND!AN$28,$E14,0)</f>
        <v>1.4163249013048771</v>
      </c>
      <c r="AF14" s="107">
        <f ca="1">OFFSET(IND!AO$28,$E14,0)</f>
        <v>1.6972835332568281</v>
      </c>
      <c r="AG14" s="107">
        <f ca="1">OFFSET(IND!AP$28,$E14,0)</f>
        <v>1.9896763982556855</v>
      </c>
      <c r="AH14" s="107">
        <f ca="1">OFFSET(IND!AQ$28,$E14,0)</f>
        <v>2.2280011072952295</v>
      </c>
      <c r="AJ14">
        <f t="shared" ca="1" si="1"/>
        <v>3.0593400552208267</v>
      </c>
    </row>
    <row r="15" spans="1:36">
      <c r="A15" s="26" t="s">
        <v>299</v>
      </c>
      <c r="B15">
        <v>1.059192498941</v>
      </c>
      <c r="C15" t="s">
        <v>731</v>
      </c>
      <c r="D15" t="s">
        <v>272</v>
      </c>
      <c r="E15" s="110">
        <f>MATCH(F15,IND!$D$29:$D$137,0)</f>
        <v>64</v>
      </c>
      <c r="F15" t="str">
        <f t="shared" si="0"/>
        <v>ICPK</v>
      </c>
      <c r="G15" s="107">
        <f ca="1">OFFSET(IND!P$28,$E15,0)</f>
        <v>0.80918000000000001</v>
      </c>
      <c r="H15" s="107">
        <f ca="1">OFFSET(IND!Q$28,$E15,0)</f>
        <v>0.81834340987731991</v>
      </c>
      <c r="I15" s="107">
        <f ca="1">OFFSET(IND!R$28,$E15,0)</f>
        <v>0.81661819999300977</v>
      </c>
      <c r="J15" s="175">
        <f ca="1">OFFSET(IND!S$28,$E15,0)</f>
        <v>0.804708105763562</v>
      </c>
      <c r="K15" s="107">
        <f ca="1">OFFSET(IND!T$28,$E15,0)</f>
        <v>0.81609972673564612</v>
      </c>
      <c r="L15" s="107">
        <f ca="1">OFFSET(IND!U$28,$E15,0)</f>
        <v>0.82628058986597508</v>
      </c>
      <c r="M15" s="107">
        <f ca="1">OFFSET(IND!V$28,$E15,0)</f>
        <v>0.82066747216924052</v>
      </c>
      <c r="N15" s="107">
        <f ca="1">OFFSET(IND!W$28,$E15,0)</f>
        <v>0.82191497094440469</v>
      </c>
      <c r="O15" s="175">
        <f ca="1">OFFSET(IND!X$28,$E15,0)</f>
        <v>0.82356902650857478</v>
      </c>
      <c r="P15" s="107">
        <f ca="1">OFFSET(IND!Y$28,$E15,0)</f>
        <v>0.83655106206161356</v>
      </c>
      <c r="Q15" s="107">
        <f ca="1">OFFSET(IND!Z$28,$E15,0)</f>
        <v>0.85122754103797682</v>
      </c>
      <c r="R15" s="107">
        <f ca="1">OFFSET(IND!AA$28,$E15,0)</f>
        <v>0.86729902857996799</v>
      </c>
      <c r="S15" s="107">
        <f ca="1">OFFSET(IND!AB$28,$E15,0)</f>
        <v>0.88755002980698783</v>
      </c>
      <c r="T15" s="107">
        <f ca="1">OFFSET(IND!AC$28,$E15,0)</f>
        <v>0.91219348697584401</v>
      </c>
      <c r="U15" s="107">
        <f ca="1">OFFSET(IND!AD$28,$E15,0)</f>
        <v>0.9413698176543811</v>
      </c>
      <c r="V15" s="107">
        <f ca="1">OFFSET(IND!AE$28,$E15,0)</f>
        <v>0.97185590684490231</v>
      </c>
      <c r="W15" s="107">
        <f ca="1">OFFSET(IND!AF$28,$E15,0)</f>
        <v>1.0050232792929019</v>
      </c>
      <c r="X15" s="107">
        <f ca="1">OFFSET(IND!AG$28,$E15,0)</f>
        <v>1.042198671759198</v>
      </c>
      <c r="Y15" s="107">
        <f ca="1">OFFSET(IND!AH$28,$E15,0)</f>
        <v>1.0825780051234744</v>
      </c>
      <c r="Z15" s="107">
        <f ca="1">OFFSET(IND!AI$28,$E15,0)</f>
        <v>1.1252869597227171</v>
      </c>
      <c r="AA15" s="107">
        <f ca="1">OFFSET(IND!AJ$28,$E15,0)</f>
        <v>1.1700658711744811</v>
      </c>
      <c r="AB15" s="107">
        <f ca="1">OFFSET(IND!AK$28,$E15,0)</f>
        <v>1.2175145080029088</v>
      </c>
      <c r="AC15" s="107">
        <f ca="1">OFFSET(IND!AL$28,$E15,0)</f>
        <v>1.2656741743467301</v>
      </c>
      <c r="AD15" s="107">
        <f ca="1">OFFSET(IND!AM$28,$E15,0)</f>
        <v>1.3140338359010637</v>
      </c>
      <c r="AE15" s="107">
        <f ca="1">OFFSET(IND!AN$28,$E15,0)</f>
        <v>1.5736943347831964</v>
      </c>
      <c r="AF15" s="107">
        <f ca="1">OFFSET(IND!AO$28,$E15,0)</f>
        <v>1.8858705925075865</v>
      </c>
      <c r="AG15" s="107">
        <f ca="1">OFFSET(IND!AP$28,$E15,0)</f>
        <v>2.210751553617428</v>
      </c>
      <c r="AH15" s="107">
        <f ca="1">OFFSET(IND!AQ$28,$E15,0)</f>
        <v>2.4755567858835881</v>
      </c>
      <c r="AJ15">
        <f t="shared" ca="1" si="1"/>
        <v>3.0593400552208259</v>
      </c>
    </row>
    <row r="16" spans="1:36">
      <c r="A16" s="26" t="s">
        <v>300</v>
      </c>
      <c r="B16">
        <v>0.63551549936469998</v>
      </c>
      <c r="C16" t="s">
        <v>731</v>
      </c>
      <c r="D16" t="s">
        <v>272</v>
      </c>
      <c r="E16" s="110">
        <f>MATCH(F16,IND!$D$29:$D$137,0)</f>
        <v>66</v>
      </c>
      <c r="F16" t="str">
        <f t="shared" si="0"/>
        <v>ICPL</v>
      </c>
      <c r="G16" s="107">
        <f ca="1">OFFSET(IND!P$28,$E16,0)</f>
        <v>0.485508</v>
      </c>
      <c r="H16" s="107">
        <f ca="1">OFFSET(IND!Q$28,$E16,0)</f>
        <v>0.49100604592639197</v>
      </c>
      <c r="I16" s="107">
        <f ca="1">OFFSET(IND!R$28,$E16,0)</f>
        <v>0.48997091999580583</v>
      </c>
      <c r="J16" s="175">
        <f ca="1">OFFSET(IND!S$28,$E16,0)</f>
        <v>0.48282486345813719</v>
      </c>
      <c r="K16" s="107">
        <f ca="1">OFFSET(IND!T$28,$E16,0)</f>
        <v>0.48965983604138769</v>
      </c>
      <c r="L16" s="107">
        <f ca="1">OFFSET(IND!U$28,$E16,0)</f>
        <v>0.49576835391958507</v>
      </c>
      <c r="M16" s="107">
        <f ca="1">OFFSET(IND!V$28,$E16,0)</f>
        <v>0.49240048330154434</v>
      </c>
      <c r="N16" s="107">
        <f ca="1">OFFSET(IND!W$28,$E16,0)</f>
        <v>0.49314898256664286</v>
      </c>
      <c r="O16" s="175">
        <f ca="1">OFFSET(IND!X$28,$E16,0)</f>
        <v>0.49414141590514488</v>
      </c>
      <c r="P16" s="107">
        <f ca="1">OFFSET(IND!Y$28,$E16,0)</f>
        <v>0.50193063723696807</v>
      </c>
      <c r="Q16" s="107">
        <f ca="1">OFFSET(IND!Z$28,$E16,0)</f>
        <v>0.51073652462278596</v>
      </c>
      <c r="R16" s="107">
        <f ca="1">OFFSET(IND!AA$28,$E16,0)</f>
        <v>0.52037941714798064</v>
      </c>
      <c r="S16" s="107">
        <f ca="1">OFFSET(IND!AB$28,$E16,0)</f>
        <v>0.53253001788419252</v>
      </c>
      <c r="T16" s="107">
        <f ca="1">OFFSET(IND!AC$28,$E16,0)</f>
        <v>0.54731609218550625</v>
      </c>
      <c r="U16" s="107">
        <f ca="1">OFFSET(IND!AD$28,$E16,0)</f>
        <v>0.56482189059262855</v>
      </c>
      <c r="V16" s="107">
        <f ca="1">OFFSET(IND!AE$28,$E16,0)</f>
        <v>0.58311354410694127</v>
      </c>
      <c r="W16" s="107">
        <f ca="1">OFFSET(IND!AF$28,$E16,0)</f>
        <v>0.60301396757574099</v>
      </c>
      <c r="X16" s="107">
        <f ca="1">OFFSET(IND!AG$28,$E16,0)</f>
        <v>0.62531920305551858</v>
      </c>
      <c r="Y16" s="107">
        <f ca="1">OFFSET(IND!AH$28,$E16,0)</f>
        <v>0.64954680307408441</v>
      </c>
      <c r="Z16" s="107">
        <f ca="1">OFFSET(IND!AI$28,$E16,0)</f>
        <v>0.67517217583363009</v>
      </c>
      <c r="AA16" s="107">
        <f ca="1">OFFSET(IND!AJ$28,$E16,0)</f>
        <v>0.7020395227046885</v>
      </c>
      <c r="AB16" s="107">
        <f ca="1">OFFSET(IND!AK$28,$E16,0)</f>
        <v>0.73050870480174512</v>
      </c>
      <c r="AC16" s="107">
        <f ca="1">OFFSET(IND!AL$28,$E16,0)</f>
        <v>0.75940450460803788</v>
      </c>
      <c r="AD16" s="107">
        <f ca="1">OFFSET(IND!AM$28,$E16,0)</f>
        <v>0.78842030154063802</v>
      </c>
      <c r="AE16" s="107">
        <f ca="1">OFFSET(IND!AN$28,$E16,0)</f>
        <v>0.94421660086991765</v>
      </c>
      <c r="AF16" s="107">
        <f ca="1">OFFSET(IND!AO$28,$E16,0)</f>
        <v>1.1315223555045517</v>
      </c>
      <c r="AG16" s="107">
        <f ca="1">OFFSET(IND!AP$28,$E16,0)</f>
        <v>1.3264509321704565</v>
      </c>
      <c r="AH16" s="107">
        <f ca="1">OFFSET(IND!AQ$28,$E16,0)</f>
        <v>1.4853340715301524</v>
      </c>
      <c r="AJ16">
        <f t="shared" ca="1" si="1"/>
        <v>3.0593400552208254</v>
      </c>
    </row>
    <row r="17" spans="1:36">
      <c r="A17" s="26" t="s">
        <v>301</v>
      </c>
      <c r="B17">
        <v>8.4735399915289999</v>
      </c>
      <c r="C17" t="s">
        <v>731</v>
      </c>
      <c r="D17" t="s">
        <v>272</v>
      </c>
      <c r="E17" s="110">
        <f>MATCH(F17,IND!$D$29:$D$137,0)</f>
        <v>71</v>
      </c>
      <c r="F17" t="str">
        <f t="shared" si="0"/>
        <v>ICPO</v>
      </c>
      <c r="G17" s="107">
        <f ca="1">OFFSET(IND!P$28,$E17,0)</f>
        <v>6.4734400000000001</v>
      </c>
      <c r="H17" s="107">
        <f ca="1">OFFSET(IND!Q$28,$E17,0)</f>
        <v>6.5467472790185592</v>
      </c>
      <c r="I17" s="107">
        <f ca="1">OFFSET(IND!R$28,$E17,0)</f>
        <v>6.5329455999440782</v>
      </c>
      <c r="J17" s="175">
        <f ca="1">OFFSET(IND!S$28,$E17,0)</f>
        <v>6.437664846108496</v>
      </c>
      <c r="K17" s="107">
        <f ca="1">OFFSET(IND!T$28,$E17,0)</f>
        <v>6.528797813885169</v>
      </c>
      <c r="L17" s="107">
        <f ca="1">OFFSET(IND!U$28,$E17,0)</f>
        <v>6.6102447189278006</v>
      </c>
      <c r="M17" s="107">
        <f ca="1">OFFSET(IND!V$28,$E17,0)</f>
        <v>6.5653397773539242</v>
      </c>
      <c r="N17" s="107">
        <f ca="1">OFFSET(IND!W$28,$E17,0)</f>
        <v>6.5753197675552375</v>
      </c>
      <c r="O17" s="175">
        <f ca="1">OFFSET(IND!X$28,$E17,0)</f>
        <v>6.5885522120685982</v>
      </c>
      <c r="P17" s="107">
        <f ca="1">OFFSET(IND!Y$28,$E17,0)</f>
        <v>6.6924084964929085</v>
      </c>
      <c r="Q17" s="107">
        <f ca="1">OFFSET(IND!Z$28,$E17,0)</f>
        <v>6.8098203283038146</v>
      </c>
      <c r="R17" s="107">
        <f ca="1">OFFSET(IND!AA$28,$E17,0)</f>
        <v>6.9383922286397439</v>
      </c>
      <c r="S17" s="107">
        <f ca="1">OFFSET(IND!AB$28,$E17,0)</f>
        <v>7.1004002384559026</v>
      </c>
      <c r="T17" s="107">
        <f ca="1">OFFSET(IND!AC$28,$E17,0)</f>
        <v>7.2975478958067521</v>
      </c>
      <c r="U17" s="107">
        <f ca="1">OFFSET(IND!AD$28,$E17,0)</f>
        <v>7.5309585412350488</v>
      </c>
      <c r="V17" s="107">
        <f ca="1">OFFSET(IND!AE$28,$E17,0)</f>
        <v>7.7748472547592185</v>
      </c>
      <c r="W17" s="107">
        <f ca="1">OFFSET(IND!AF$28,$E17,0)</f>
        <v>8.0401862343432153</v>
      </c>
      <c r="X17" s="107">
        <f ca="1">OFFSET(IND!AG$28,$E17,0)</f>
        <v>8.337589374073584</v>
      </c>
      <c r="Y17" s="107">
        <f ca="1">OFFSET(IND!AH$28,$E17,0)</f>
        <v>8.6606240409877948</v>
      </c>
      <c r="Z17" s="107">
        <f ca="1">OFFSET(IND!AI$28,$E17,0)</f>
        <v>9.0022956777817367</v>
      </c>
      <c r="AA17" s="107">
        <f ca="1">OFFSET(IND!AJ$28,$E17,0)</f>
        <v>9.3605269693958491</v>
      </c>
      <c r="AB17" s="107">
        <f ca="1">OFFSET(IND!AK$28,$E17,0)</f>
        <v>9.7401160640232707</v>
      </c>
      <c r="AC17" s="107">
        <f ca="1">OFFSET(IND!AL$28,$E17,0)</f>
        <v>10.125393394773841</v>
      </c>
      <c r="AD17" s="107">
        <f ca="1">OFFSET(IND!AM$28,$E17,0)</f>
        <v>10.51227068720851</v>
      </c>
      <c r="AE17" s="107">
        <f ca="1">OFFSET(IND!AN$28,$E17,0)</f>
        <v>12.589554678265571</v>
      </c>
      <c r="AF17" s="107">
        <f ca="1">OFFSET(IND!AO$28,$E17,0)</f>
        <v>15.086964740060692</v>
      </c>
      <c r="AG17" s="107">
        <f ca="1">OFFSET(IND!AP$28,$E17,0)</f>
        <v>17.686012428939424</v>
      </c>
      <c r="AH17" s="107">
        <f ca="1">OFFSET(IND!AQ$28,$E17,0)</f>
        <v>19.804454287068705</v>
      </c>
      <c r="AJ17">
        <f t="shared" ca="1" si="1"/>
        <v>3.0593400552208259</v>
      </c>
    </row>
    <row r="18" spans="1:36">
      <c r="A18" s="26" t="s">
        <v>302</v>
      </c>
      <c r="B18">
        <v>14.828694985169999</v>
      </c>
      <c r="C18" t="s">
        <v>731</v>
      </c>
      <c r="D18" t="s">
        <v>272</v>
      </c>
      <c r="E18" s="110">
        <f>MATCH(F18,IND!$D$29:$D$137,0)</f>
        <v>69</v>
      </c>
      <c r="F18" t="str">
        <f t="shared" si="0"/>
        <v>ICPP</v>
      </c>
      <c r="G18" s="107">
        <f ca="1">OFFSET(IND!P$28,$E18,0)</f>
        <v>11.328519999999999</v>
      </c>
      <c r="H18" s="107">
        <f ca="1">OFFSET(IND!Q$28,$E18,0)</f>
        <v>11.456807738282478</v>
      </c>
      <c r="I18" s="107">
        <f ca="1">OFFSET(IND!R$28,$E18,0)</f>
        <v>11.432654799902135</v>
      </c>
      <c r="J18" s="175">
        <f ca="1">OFFSET(IND!S$28,$E18,0)</f>
        <v>11.265913480689866</v>
      </c>
      <c r="K18" s="107">
        <f ca="1">OFFSET(IND!T$28,$E18,0)</f>
        <v>11.425396174299044</v>
      </c>
      <c r="L18" s="107">
        <f ca="1">OFFSET(IND!U$28,$E18,0)</f>
        <v>11.567928258123649</v>
      </c>
      <c r="M18" s="107">
        <f ca="1">OFFSET(IND!V$28,$E18,0)</f>
        <v>11.489344610369365</v>
      </c>
      <c r="N18" s="107">
        <f ca="1">OFFSET(IND!W$28,$E18,0)</f>
        <v>11.506809593221663</v>
      </c>
      <c r="O18" s="175">
        <f ca="1">OFFSET(IND!X$28,$E18,0)</f>
        <v>11.529966371120043</v>
      </c>
      <c r="P18" s="107">
        <f ca="1">OFFSET(IND!Y$28,$E18,0)</f>
        <v>11.711714868862586</v>
      </c>
      <c r="Q18" s="107">
        <f ca="1">OFFSET(IND!Z$28,$E18,0)</f>
        <v>11.917185574531672</v>
      </c>
      <c r="R18" s="107">
        <f ca="1">OFFSET(IND!AA$28,$E18,0)</f>
        <v>12.142186400119547</v>
      </c>
      <c r="S18" s="107">
        <f ca="1">OFFSET(IND!AB$28,$E18,0)</f>
        <v>12.425700417297824</v>
      </c>
      <c r="T18" s="107">
        <f ca="1">OFFSET(IND!AC$28,$E18,0)</f>
        <v>12.770708817661809</v>
      </c>
      <c r="U18" s="107">
        <f ca="1">OFFSET(IND!AD$28,$E18,0)</f>
        <v>13.179177447161328</v>
      </c>
      <c r="V18" s="107">
        <f ca="1">OFFSET(IND!AE$28,$E18,0)</f>
        <v>13.605982695828624</v>
      </c>
      <c r="W18" s="107">
        <f ca="1">OFFSET(IND!AF$28,$E18,0)</f>
        <v>14.070325910100618</v>
      </c>
      <c r="X18" s="107">
        <f ca="1">OFFSET(IND!AG$28,$E18,0)</f>
        <v>14.590781404628762</v>
      </c>
      <c r="Y18" s="107">
        <f ca="1">OFFSET(IND!AH$28,$E18,0)</f>
        <v>15.156092071728631</v>
      </c>
      <c r="Z18" s="107">
        <f ca="1">OFFSET(IND!AI$28,$E18,0)</f>
        <v>15.75401743611803</v>
      </c>
      <c r="AA18" s="107">
        <f ca="1">OFFSET(IND!AJ$28,$E18,0)</f>
        <v>16.380922196442725</v>
      </c>
      <c r="AB18" s="107">
        <f ca="1">OFFSET(IND!AK$28,$E18,0)</f>
        <v>17.045203112040713</v>
      </c>
      <c r="AC18" s="107">
        <f ca="1">OFFSET(IND!AL$28,$E18,0)</f>
        <v>17.719438440854208</v>
      </c>
      <c r="AD18" s="107">
        <f ca="1">OFFSET(IND!AM$28,$E18,0)</f>
        <v>18.39647370261488</v>
      </c>
      <c r="AE18" s="107">
        <f ca="1">OFFSET(IND!AN$28,$E18,0)</f>
        <v>22.031720686964736</v>
      </c>
      <c r="AF18" s="107">
        <f ca="1">OFFSET(IND!AO$28,$E18,0)</f>
        <v>26.402188295106193</v>
      </c>
      <c r="AG18" s="107">
        <f ca="1">OFFSET(IND!AP$28,$E18,0)</f>
        <v>30.950521750643968</v>
      </c>
      <c r="AH18" s="107">
        <f ca="1">OFFSET(IND!AQ$28,$E18,0)</f>
        <v>34.657795002370207</v>
      </c>
      <c r="AJ18">
        <f t="shared" ca="1" si="1"/>
        <v>3.0593400552208241</v>
      </c>
    </row>
    <row r="19" spans="1:36">
      <c r="A19" s="26" t="s">
        <v>303</v>
      </c>
      <c r="B19">
        <v>32.941303389589997</v>
      </c>
      <c r="C19" t="s">
        <v>731</v>
      </c>
      <c r="D19" t="s">
        <v>272</v>
      </c>
      <c r="E19" s="110">
        <f>MATCH(F19,IND!$D$29:$D$137,0)</f>
        <v>73</v>
      </c>
      <c r="F19" t="str">
        <f t="shared" si="0"/>
        <v>ICPS</v>
      </c>
      <c r="G19" s="107">
        <f ca="1">OFFSET(IND!P$28,$E19,0)</f>
        <v>19.307168399999998</v>
      </c>
      <c r="H19" s="107">
        <f ca="1">OFFSET(IND!Q$28,$E19,0)</f>
        <v>19.525808872601445</v>
      </c>
      <c r="I19" s="107">
        <f ca="1">OFFSET(IND!R$28,$E19,0)</f>
        <v>19.484645079920309</v>
      </c>
      <c r="J19" s="175">
        <f ca="1">OFFSET(IND!S$28,$E19,0)</f>
        <v>19.200468265184632</v>
      </c>
      <c r="K19" s="107">
        <f ca="1">OFFSET(IND!T$28,$E19,0)</f>
        <v>19.472274222396873</v>
      </c>
      <c r="L19" s="107">
        <f ca="1">OFFSET(IND!U$28,$E19,0)</f>
        <v>19.715191297602157</v>
      </c>
      <c r="M19" s="107">
        <f ca="1">OFFSET(IND!V$28,$E19,0)</f>
        <v>19.581261382601941</v>
      </c>
      <c r="N19" s="107">
        <f ca="1">OFFSET(IND!W$28,$E19,0)</f>
        <v>19.611026909346162</v>
      </c>
      <c r="O19" s="175">
        <f ca="1">OFFSET(IND!X$28,$E19,0)</f>
        <v>19.650492948200792</v>
      </c>
      <c r="P19" s="107">
        <f ca="1">OFFSET(IND!Y$28,$E19,0)</f>
        <v>19.96024645990067</v>
      </c>
      <c r="Q19" s="107">
        <f ca="1">OFFSET(IND!Z$28,$E19,0)</f>
        <v>20.310429671442854</v>
      </c>
      <c r="R19" s="107">
        <f ca="1">OFFSET(IND!AA$28,$E19,0)</f>
        <v>20.69389801768439</v>
      </c>
      <c r="S19" s="107">
        <f ca="1">OFFSET(IND!AB$28,$E19,0)</f>
        <v>21.177090250511053</v>
      </c>
      <c r="T19" s="107">
        <f ca="1">OFFSET(IND!AC$28,$E19,0)</f>
        <v>21.765087207328193</v>
      </c>
      <c r="U19" s="107">
        <f ca="1">OFFSET(IND!AD$28,$E19,0)</f>
        <v>22.461239274488285</v>
      </c>
      <c r="V19" s="107">
        <f ca="1">OFFSET(IND!AE$28,$E19,0)</f>
        <v>23.188642395992538</v>
      </c>
      <c r="W19" s="107">
        <f ca="1">OFFSET(IND!AF$28,$E19,0)</f>
        <v>23.980021378714614</v>
      </c>
      <c r="X19" s="107">
        <f ca="1">OFFSET(IND!AG$28,$E19,0)</f>
        <v>24.867032380819051</v>
      </c>
      <c r="Y19" s="107">
        <f ca="1">OFFSET(IND!AH$28,$E19,0)</f>
        <v>25.830489941737294</v>
      </c>
      <c r="Z19" s="107">
        <f ca="1">OFFSET(IND!AI$28,$E19,0)</f>
        <v>26.849532649954913</v>
      </c>
      <c r="AA19" s="107">
        <f ca="1">OFFSET(IND!AJ$28,$E19,0)</f>
        <v>27.91796487043478</v>
      </c>
      <c r="AB19" s="107">
        <f ca="1">OFFSET(IND!AK$28,$E19,0)</f>
        <v>29.050097179187958</v>
      </c>
      <c r="AC19" s="107">
        <f ca="1">OFFSET(IND!AL$28,$E19,0)</f>
        <v>30.199194769573246</v>
      </c>
      <c r="AD19" s="107">
        <f ca="1">OFFSET(IND!AM$28,$E19,0)</f>
        <v>31.353064278701655</v>
      </c>
      <c r="AE19" s="107">
        <f ca="1">OFFSET(IND!AN$28,$E19,0)</f>
        <v>37.548606653383864</v>
      </c>
      <c r="AF19" s="107">
        <f ca="1">OFFSET(IND!AO$28,$E19,0)</f>
        <v>44.997183704678505</v>
      </c>
      <c r="AG19" s="107">
        <f ca="1">OFFSET(IND!AP$28,$E19,0)</f>
        <v>52.748897076365346</v>
      </c>
      <c r="AH19" s="107">
        <f ca="1">OFFSET(IND!AQ$28,$E19,0)</f>
        <v>59.067193639013787</v>
      </c>
      <c r="AJ19">
        <f t="shared" ca="1" si="1"/>
        <v>3.0593400552208263</v>
      </c>
    </row>
    <row r="20" spans="1:36">
      <c r="A20" s="26" t="s">
        <v>304</v>
      </c>
      <c r="B20">
        <v>39.685391397639997</v>
      </c>
      <c r="C20" t="s">
        <v>731</v>
      </c>
      <c r="D20" t="s">
        <v>272</v>
      </c>
      <c r="E20" s="110">
        <f>MATCH(F20,IND!$D$29:$D$137,0)</f>
        <v>74</v>
      </c>
      <c r="F20" t="str">
        <f t="shared" si="0"/>
        <v>ICPT</v>
      </c>
      <c r="G20" s="107">
        <f ca="1">OFFSET(IND!P$28,$E20,0)</f>
        <v>26.6</v>
      </c>
      <c r="H20" s="107">
        <f ca="1">OFFSET(IND!Q$28,$E20,0)</f>
        <v>26.901226800880782</v>
      </c>
      <c r="I20" s="107">
        <f ca="1">OFFSET(IND!R$28,$E20,0)</f>
        <v>26.844514347628536</v>
      </c>
      <c r="J20" s="175">
        <f ca="1">OFFSET(IND!S$28,$E20,0)</f>
        <v>26.452996383141883</v>
      </c>
      <c r="K20" s="107">
        <f ca="1">OFFSET(IND!T$28,$E20,0)</f>
        <v>26.827470687817527</v>
      </c>
      <c r="L20" s="107">
        <f ca="1">OFFSET(IND!U$28,$E20,0)</f>
        <v>27.162144010522923</v>
      </c>
      <c r="M20" s="107">
        <f ca="1">OFFSET(IND!V$28,$E20,0)</f>
        <v>26.977625200452064</v>
      </c>
      <c r="N20" s="107">
        <f ca="1">OFFSET(IND!W$28,$E20,0)</f>
        <v>27.018633959219418</v>
      </c>
      <c r="O20" s="175">
        <f ca="1">OFFSET(IND!X$28,$E20,0)</f>
        <v>27.073007371818498</v>
      </c>
      <c r="P20" s="107">
        <f ca="1">OFFSET(IND!Y$28,$E20,0)</f>
        <v>27.499763032747872</v>
      </c>
      <c r="Q20" s="107">
        <f ca="1">OFFSET(IND!Z$28,$E20,0)</f>
        <v>27.982219767678618</v>
      </c>
      <c r="R20" s="107">
        <f ca="1">OFFSET(IND!AA$28,$E20,0)</f>
        <v>28.510534318973711</v>
      </c>
      <c r="S20" s="107">
        <f ca="1">OFFSET(IND!AB$28,$E20,0)</f>
        <v>29.176241124182351</v>
      </c>
      <c r="T20" s="107">
        <f ca="1">OFFSET(IND!AC$28,$E20,0)</f>
        <v>29.986340188286224</v>
      </c>
      <c r="U20" s="107">
        <f ca="1">OFFSET(IND!AD$28,$E20,0)</f>
        <v>30.945447427774454</v>
      </c>
      <c r="V20" s="107">
        <f ca="1">OFFSET(IND!AE$28,$E20,0)</f>
        <v>31.947610076959879</v>
      </c>
      <c r="W20" s="107">
        <f ca="1">OFFSET(IND!AF$28,$E20,0)</f>
        <v>33.037913973641444</v>
      </c>
      <c r="X20" s="107">
        <f ca="1">OFFSET(IND!AG$28,$E20,0)</f>
        <v>34.259972649836449</v>
      </c>
      <c r="Y20" s="107">
        <f ca="1">OFFSET(IND!AH$28,$E20,0)</f>
        <v>35.587353785665009</v>
      </c>
      <c r="Z20" s="107">
        <f ca="1">OFFSET(IND!AI$28,$E20,0)</f>
        <v>36.991316059003275</v>
      </c>
      <c r="AA20" s="107">
        <f ca="1">OFFSET(IND!AJ$28,$E20,0)</f>
        <v>38.463323578488342</v>
      </c>
      <c r="AB20" s="107">
        <f ca="1">OFFSET(IND!AK$28,$E20,0)</f>
        <v>40.02309240574084</v>
      </c>
      <c r="AC20" s="107">
        <f ca="1">OFFSET(IND!AL$28,$E20,0)</f>
        <v>41.606234753235398</v>
      </c>
      <c r="AD20" s="107">
        <f ca="1">OFFSET(IND!AM$28,$E20,0)</f>
        <v>43.195951500245059</v>
      </c>
      <c r="AE20" s="107">
        <f ca="1">OFFSET(IND!AN$28,$E20,0)</f>
        <v>51.731715199625583</v>
      </c>
      <c r="AF20" s="107">
        <f ca="1">OFFSET(IND!AO$28,$E20,0)</f>
        <v>61.993818137746615</v>
      </c>
      <c r="AG20" s="107">
        <f ca="1">OFFSET(IND!AP$28,$E20,0)</f>
        <v>72.673560056135329</v>
      </c>
      <c r="AH20" s="107">
        <f ca="1">OFFSET(IND!AQ$28,$E20,0)</f>
        <v>81.378445468873977</v>
      </c>
      <c r="AJ20">
        <f t="shared" ca="1" si="1"/>
        <v>3.0593400552208259</v>
      </c>
    </row>
    <row r="21" spans="1:36">
      <c r="A21" s="26" t="s">
        <v>305</v>
      </c>
      <c r="B21">
        <v>5.3061366499999998E-2</v>
      </c>
      <c r="C21" t="s">
        <v>731</v>
      </c>
      <c r="D21" t="s">
        <v>272</v>
      </c>
      <c r="E21" s="110">
        <f>MATCH(F21,IND!$D$29:$D$137,0)</f>
        <v>88</v>
      </c>
      <c r="F21" t="str">
        <f t="shared" si="0"/>
        <v>IFBA</v>
      </c>
      <c r="G21" s="107">
        <f ca="1">OFFSET(IND!P$28,$E21,0)</f>
        <v>2.9904E-2</v>
      </c>
      <c r="H21" s="107">
        <f ca="1">OFFSET(IND!Q$28,$E21,0)</f>
        <v>3.0329173986535427E-2</v>
      </c>
      <c r="I21" s="107">
        <f ca="1">OFFSET(IND!R$28,$E21,0)</f>
        <v>3.0231256879581957E-2</v>
      </c>
      <c r="J21" s="175">
        <f ca="1">OFFSET(IND!S$28,$E21,0)</f>
        <v>2.9773620615300724E-2</v>
      </c>
      <c r="K21" s="107">
        <f ca="1">OFFSET(IND!T$28,$E21,0)</f>
        <v>3.0212062967140751E-2</v>
      </c>
      <c r="L21" s="107">
        <f ca="1">OFFSET(IND!U$28,$E21,0)</f>
        <v>3.0588959157491991E-2</v>
      </c>
      <c r="M21" s="107">
        <f ca="1">OFFSET(IND!V$28,$E21,0)</f>
        <v>3.0381161189008358E-2</v>
      </c>
      <c r="N21" s="107">
        <f ca="1">OFFSET(IND!W$28,$E21,0)</f>
        <v>3.0427343671751553E-2</v>
      </c>
      <c r="O21" s="175">
        <f ca="1">OFFSET(IND!X$28,$E21,0)</f>
        <v>3.048857691227197E-2</v>
      </c>
      <c r="P21" s="107">
        <f ca="1">OFFSET(IND!Y$28,$E21,0)</f>
        <v>3.0969172681050004E-2</v>
      </c>
      <c r="Q21" s="107">
        <f ca="1">OFFSET(IND!Z$28,$E21,0)</f>
        <v>3.1512496851422427E-2</v>
      </c>
      <c r="R21" s="107">
        <f ca="1">OFFSET(IND!AA$28,$E21,0)</f>
        <v>3.2107464326214308E-2</v>
      </c>
      <c r="S21" s="107">
        <f ca="1">OFFSET(IND!AB$28,$E21,0)</f>
        <v>3.2857157659240695E-2</v>
      </c>
      <c r="T21" s="107">
        <f ca="1">OFFSET(IND!AC$28,$E21,0)</f>
        <v>3.3769459986177627E-2</v>
      </c>
      <c r="U21" s="107">
        <f ca="1">OFFSET(IND!AD$28,$E21,0)</f>
        <v>3.4849569574176065E-2</v>
      </c>
      <c r="V21" s="107">
        <f ca="1">OFFSET(IND!AE$28,$E21,0)</f>
        <v>3.5978166504271901E-2</v>
      </c>
      <c r="W21" s="107">
        <f ca="1">OFFSET(IND!AF$28,$E21,0)</f>
        <v>3.7206024708393272E-2</v>
      </c>
      <c r="X21" s="107">
        <f ca="1">OFFSET(IND!AG$28,$E21,0)</f>
        <v>3.8582260064472157E-2</v>
      </c>
      <c r="Y21" s="107">
        <f ca="1">OFFSET(IND!AH$28,$E21,0)</f>
        <v>4.0077105513143474E-2</v>
      </c>
      <c r="Z21" s="107">
        <f ca="1">OFFSET(IND!AI$28,$E21,0)</f>
        <v>4.1658193685754817E-2</v>
      </c>
      <c r="AA21" s="107">
        <f ca="1">OFFSET(IND!AJ$28,$E21,0)</f>
        <v>4.3315911790614503E-2</v>
      </c>
      <c r="AB21" s="107">
        <f ca="1">OFFSET(IND!AK$28,$E21,0)</f>
        <v>4.5072463296028507E-2</v>
      </c>
      <c r="AC21" s="107">
        <f ca="1">OFFSET(IND!AL$28,$E21,0)</f>
        <v>4.6855337158608942E-2</v>
      </c>
      <c r="AD21" s="107">
        <f ca="1">OFFSET(IND!AM$28,$E21,0)</f>
        <v>4.8645614856401155E-2</v>
      </c>
      <c r="AE21" s="107">
        <f ca="1">OFFSET(IND!AN$28,$E21,0)</f>
        <v>5.8258262778347246E-2</v>
      </c>
      <c r="AF21" s="107">
        <f ca="1">OFFSET(IND!AO$28,$E21,0)</f>
        <v>6.9815047379833489E-2</v>
      </c>
      <c r="AG21" s="107">
        <f ca="1">OFFSET(IND!AP$28,$E21,0)</f>
        <v>8.1842160895894189E-2</v>
      </c>
      <c r="AH21" s="107">
        <f ca="1">OFFSET(IND!AQ$28,$E21,0)</f>
        <v>9.1645267169749189E-2</v>
      </c>
      <c r="AJ21">
        <f t="shared" ca="1" si="1"/>
        <v>3.0646491161633622</v>
      </c>
    </row>
    <row r="22" spans="1:36">
      <c r="A22" s="26" t="s">
        <v>306</v>
      </c>
      <c r="B22">
        <v>12.204114317089999</v>
      </c>
      <c r="C22" t="s">
        <v>731</v>
      </c>
      <c r="D22" t="s">
        <v>272</v>
      </c>
      <c r="E22" s="110">
        <f>MATCH(F22,IND!$D$29:$D$137,0)</f>
        <v>90</v>
      </c>
      <c r="F22" t="str">
        <f t="shared" si="0"/>
        <v>IFBC</v>
      </c>
      <c r="G22" s="107">
        <f ca="1">OFFSET(IND!P$28,$E22,0)</f>
        <v>6.8779199999999996</v>
      </c>
      <c r="H22" s="107">
        <f ca="1">OFFSET(IND!Q$28,$E22,0)</f>
        <v>6.9757100169031485</v>
      </c>
      <c r="I22" s="107">
        <f ca="1">OFFSET(IND!R$28,$E22,0)</f>
        <v>6.95318908230385</v>
      </c>
      <c r="J22" s="175">
        <f ca="1">OFFSET(IND!S$28,$E22,0)</f>
        <v>6.8479327415191671</v>
      </c>
      <c r="K22" s="107">
        <f ca="1">OFFSET(IND!T$28,$E22,0)</f>
        <v>6.9487744824423734</v>
      </c>
      <c r="L22" s="107">
        <f ca="1">OFFSET(IND!U$28,$E22,0)</f>
        <v>7.0354606062231584</v>
      </c>
      <c r="M22" s="107">
        <f ca="1">OFFSET(IND!V$28,$E22,0)</f>
        <v>6.9876670734719228</v>
      </c>
      <c r="N22" s="107">
        <f ca="1">OFFSET(IND!W$28,$E22,0)</f>
        <v>6.998289044502858</v>
      </c>
      <c r="O22" s="175">
        <f ca="1">OFFSET(IND!X$28,$E22,0)</f>
        <v>7.0123726898225538</v>
      </c>
      <c r="P22" s="107">
        <f ca="1">OFFSET(IND!Y$28,$E22,0)</f>
        <v>7.1229097166415016</v>
      </c>
      <c r="Q22" s="107">
        <f ca="1">OFFSET(IND!Z$28,$E22,0)</f>
        <v>7.2478742758271579</v>
      </c>
      <c r="R22" s="107">
        <f ca="1">OFFSET(IND!AA$28,$E22,0)</f>
        <v>7.3847167950292913</v>
      </c>
      <c r="S22" s="107">
        <f ca="1">OFFSET(IND!AB$28,$E22,0)</f>
        <v>7.55714626162536</v>
      </c>
      <c r="T22" s="107">
        <f ca="1">OFFSET(IND!AC$28,$E22,0)</f>
        <v>7.7669757968208541</v>
      </c>
      <c r="U22" s="107">
        <f ca="1">OFFSET(IND!AD$28,$E22,0)</f>
        <v>8.0154010020604947</v>
      </c>
      <c r="V22" s="107">
        <f ca="1">OFFSET(IND!AE$28,$E22,0)</f>
        <v>8.2749782959825371</v>
      </c>
      <c r="W22" s="107">
        <f ca="1">OFFSET(IND!AF$28,$E22,0)</f>
        <v>8.5573856829304535</v>
      </c>
      <c r="X22" s="107">
        <f ca="1">OFFSET(IND!AG$28,$E22,0)</f>
        <v>8.8739198148285965</v>
      </c>
      <c r="Y22" s="107">
        <f ca="1">OFFSET(IND!AH$28,$E22,0)</f>
        <v>9.2177342680229994</v>
      </c>
      <c r="Z22" s="107">
        <f ca="1">OFFSET(IND!AI$28,$E22,0)</f>
        <v>9.5813845477236086</v>
      </c>
      <c r="AA22" s="107">
        <f ca="1">OFFSET(IND!AJ$28,$E22,0)</f>
        <v>9.9626597118413365</v>
      </c>
      <c r="AB22" s="107">
        <f ca="1">OFFSET(IND!AK$28,$E22,0)</f>
        <v>10.366666558086557</v>
      </c>
      <c r="AC22" s="107">
        <f ca="1">OFFSET(IND!AL$28,$E22,0)</f>
        <v>10.776727546480057</v>
      </c>
      <c r="AD22" s="107">
        <f ca="1">OFFSET(IND!AM$28,$E22,0)</f>
        <v>11.188491416972266</v>
      </c>
      <c r="AE22" s="107">
        <f ca="1">OFFSET(IND!AN$28,$E22,0)</f>
        <v>13.399400439019866</v>
      </c>
      <c r="AF22" s="107">
        <f ca="1">OFFSET(IND!AO$28,$E22,0)</f>
        <v>16.057460897361704</v>
      </c>
      <c r="AG22" s="107">
        <f ca="1">OFFSET(IND!AP$28,$E22,0)</f>
        <v>18.823697006055664</v>
      </c>
      <c r="AH22" s="107">
        <f ca="1">OFFSET(IND!AQ$28,$E22,0)</f>
        <v>21.078411449042314</v>
      </c>
      <c r="AJ22">
        <f t="shared" ca="1" si="1"/>
        <v>3.0646491161633627</v>
      </c>
    </row>
    <row r="23" spans="1:36">
      <c r="A23" s="26" t="s">
        <v>307</v>
      </c>
      <c r="B23" t="s">
        <v>370</v>
      </c>
      <c r="C23" t="s">
        <v>731</v>
      </c>
      <c r="D23" t="s">
        <v>272</v>
      </c>
      <c r="E23" s="110">
        <f>MATCH(F23,IND!$D$29:$D$137,0)</f>
        <v>95</v>
      </c>
      <c r="F23" t="str">
        <f t="shared" si="0"/>
        <v>IFBE</v>
      </c>
      <c r="G23" s="107">
        <f ca="1">OFFSET(IND!P$28,$E23,0)</f>
        <v>0</v>
      </c>
      <c r="H23" s="107">
        <f ca="1">OFFSET(IND!Q$28,$E23,0)</f>
        <v>0</v>
      </c>
      <c r="I23" s="107">
        <f ca="1">OFFSET(IND!R$28,$E23,0)</f>
        <v>0</v>
      </c>
      <c r="J23" s="175">
        <f ca="1">OFFSET(IND!S$28,$E23,0)</f>
        <v>0</v>
      </c>
      <c r="K23" s="107">
        <f ca="1">OFFSET(IND!T$28,$E23,0)</f>
        <v>0</v>
      </c>
      <c r="L23" s="107">
        <f ca="1">OFFSET(IND!U$28,$E23,0)</f>
        <v>0</v>
      </c>
      <c r="M23" s="107">
        <f ca="1">OFFSET(IND!V$28,$E23,0)</f>
        <v>0</v>
      </c>
      <c r="N23" s="107">
        <f ca="1">OFFSET(IND!W$28,$E23,0)</f>
        <v>0</v>
      </c>
      <c r="O23" s="175">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6" t="s">
        <v>308</v>
      </c>
      <c r="B24">
        <v>0.84898186553730004</v>
      </c>
      <c r="C24" t="s">
        <v>731</v>
      </c>
      <c r="D24" t="s">
        <v>272</v>
      </c>
      <c r="E24" s="110">
        <f>MATCH(F24,IND!$D$29:$D$137,0)</f>
        <v>93</v>
      </c>
      <c r="F24" t="str">
        <f t="shared" si="0"/>
        <v>IFBF</v>
      </c>
      <c r="G24" s="107">
        <f ca="1">OFFSET(IND!P$28,$E24,0)</f>
        <v>0.478464</v>
      </c>
      <c r="H24" s="107">
        <f ca="1">OFFSET(IND!Q$28,$E24,0)</f>
        <v>0.48526678378456684</v>
      </c>
      <c r="I24" s="107">
        <f ca="1">OFFSET(IND!R$28,$E24,0)</f>
        <v>0.48370011007331132</v>
      </c>
      <c r="J24" s="175">
        <f ca="1">OFFSET(IND!S$28,$E24,0)</f>
        <v>0.47637792984481159</v>
      </c>
      <c r="K24" s="107">
        <f ca="1">OFFSET(IND!T$28,$E24,0)</f>
        <v>0.48339300747425201</v>
      </c>
      <c r="L24" s="107">
        <f ca="1">OFFSET(IND!U$28,$E24,0)</f>
        <v>0.48942334651987185</v>
      </c>
      <c r="M24" s="107">
        <f ca="1">OFFSET(IND!V$28,$E24,0)</f>
        <v>0.48609857902413373</v>
      </c>
      <c r="N24" s="107">
        <f ca="1">OFFSET(IND!W$28,$E24,0)</f>
        <v>0.48683749874802484</v>
      </c>
      <c r="O24" s="175">
        <f ca="1">OFFSET(IND!X$28,$E24,0)</f>
        <v>0.48781723059635151</v>
      </c>
      <c r="P24" s="107">
        <f ca="1">OFFSET(IND!Y$28,$E24,0)</f>
        <v>0.49550676289680007</v>
      </c>
      <c r="Q24" s="107">
        <f ca="1">OFFSET(IND!Z$28,$E24,0)</f>
        <v>0.50419994962275883</v>
      </c>
      <c r="R24" s="107">
        <f ca="1">OFFSET(IND!AA$28,$E24,0)</f>
        <v>0.51371942921942892</v>
      </c>
      <c r="S24" s="107">
        <f ca="1">OFFSET(IND!AB$28,$E24,0)</f>
        <v>0.52571452254785112</v>
      </c>
      <c r="T24" s="107">
        <f ca="1">OFFSET(IND!AC$28,$E24,0)</f>
        <v>0.54031135977884204</v>
      </c>
      <c r="U24" s="107">
        <f ca="1">OFFSET(IND!AD$28,$E24,0)</f>
        <v>0.55759311318681704</v>
      </c>
      <c r="V24" s="107">
        <f ca="1">OFFSET(IND!AE$28,$E24,0)</f>
        <v>0.57565066406835042</v>
      </c>
      <c r="W24" s="107">
        <f ca="1">OFFSET(IND!AF$28,$E24,0)</f>
        <v>0.59529639533429235</v>
      </c>
      <c r="X24" s="107">
        <f ca="1">OFFSET(IND!AG$28,$E24,0)</f>
        <v>0.61731616103155451</v>
      </c>
      <c r="Y24" s="107">
        <f ca="1">OFFSET(IND!AH$28,$E24,0)</f>
        <v>0.64123368821029558</v>
      </c>
      <c r="Z24" s="107">
        <f ca="1">OFFSET(IND!AI$28,$E24,0)</f>
        <v>0.66653109897207707</v>
      </c>
      <c r="AA24" s="107">
        <f ca="1">OFFSET(IND!AJ$28,$E24,0)</f>
        <v>0.69305458864983205</v>
      </c>
      <c r="AB24" s="107">
        <f ca="1">OFFSET(IND!AK$28,$E24,0)</f>
        <v>0.72115941273645612</v>
      </c>
      <c r="AC24" s="107">
        <f ca="1">OFFSET(IND!AL$28,$E24,0)</f>
        <v>0.74968539453774308</v>
      </c>
      <c r="AD24" s="107">
        <f ca="1">OFFSET(IND!AM$28,$E24,0)</f>
        <v>0.77832983770241848</v>
      </c>
      <c r="AE24" s="107">
        <f ca="1">OFFSET(IND!AN$28,$E24,0)</f>
        <v>0.93213220445355593</v>
      </c>
      <c r="AF24" s="107">
        <f ca="1">OFFSET(IND!AO$28,$E24,0)</f>
        <v>1.1170407580773358</v>
      </c>
      <c r="AG24" s="107">
        <f ca="1">OFFSET(IND!AP$28,$E24,0)</f>
        <v>1.309474574334307</v>
      </c>
      <c r="AH24" s="107">
        <f ca="1">OFFSET(IND!AQ$28,$E24,0)</f>
        <v>1.466324274715987</v>
      </c>
      <c r="AJ24">
        <f t="shared" ca="1" si="1"/>
        <v>3.0646491161633622</v>
      </c>
    </row>
    <row r="25" spans="1:36">
      <c r="A25" s="26" t="s">
        <v>309</v>
      </c>
      <c r="B25">
        <v>1.432656898094</v>
      </c>
      <c r="C25" t="s">
        <v>731</v>
      </c>
      <c r="D25" t="s">
        <v>272</v>
      </c>
      <c r="E25" s="110">
        <f>MATCH(F25,IND!$D$29:$D$137,0)</f>
        <v>91</v>
      </c>
      <c r="F25" t="str">
        <f t="shared" si="0"/>
        <v>IFBH</v>
      </c>
      <c r="G25" s="107">
        <f ca="1">OFFSET(IND!P$28,$E25,0)</f>
        <v>0.80740800000000001</v>
      </c>
      <c r="H25" s="107">
        <f ca="1">OFFSET(IND!Q$28,$E25,0)</f>
        <v>0.81888769763645664</v>
      </c>
      <c r="I25" s="107">
        <f ca="1">OFFSET(IND!R$28,$E25,0)</f>
        <v>0.8162439357487129</v>
      </c>
      <c r="J25" s="175">
        <f ca="1">OFFSET(IND!S$28,$E25,0)</f>
        <v>0.80388775661311962</v>
      </c>
      <c r="K25" s="107">
        <f ca="1">OFFSET(IND!T$28,$E25,0)</f>
        <v>0.81572570011280032</v>
      </c>
      <c r="L25" s="107">
        <f ca="1">OFFSET(IND!U$28,$E25,0)</f>
        <v>0.8259018972522838</v>
      </c>
      <c r="M25" s="107">
        <f ca="1">OFFSET(IND!V$28,$E25,0)</f>
        <v>0.82029135210322568</v>
      </c>
      <c r="N25" s="107">
        <f ca="1">OFFSET(IND!W$28,$E25,0)</f>
        <v>0.82153827913729194</v>
      </c>
      <c r="O25" s="175">
        <f ca="1">OFFSET(IND!X$28,$E25,0)</f>
        <v>0.82319157663134324</v>
      </c>
      <c r="P25" s="107">
        <f ca="1">OFFSET(IND!Y$28,$E25,0)</f>
        <v>0.83616766238835016</v>
      </c>
      <c r="Q25" s="107">
        <f ca="1">OFFSET(IND!Z$28,$E25,0)</f>
        <v>0.85083741498840548</v>
      </c>
      <c r="R25" s="107">
        <f ca="1">OFFSET(IND!AA$28,$E25,0)</f>
        <v>0.86690153680778637</v>
      </c>
      <c r="S25" s="107">
        <f ca="1">OFFSET(IND!AB$28,$E25,0)</f>
        <v>0.88714325679949868</v>
      </c>
      <c r="T25" s="107">
        <f ca="1">OFFSET(IND!AC$28,$E25,0)</f>
        <v>0.91177541962679587</v>
      </c>
      <c r="U25" s="107">
        <f ca="1">OFFSET(IND!AD$28,$E25,0)</f>
        <v>0.94093837850275375</v>
      </c>
      <c r="V25" s="107">
        <f ca="1">OFFSET(IND!AE$28,$E25,0)</f>
        <v>0.97141049561534132</v>
      </c>
      <c r="W25" s="107">
        <f ca="1">OFFSET(IND!AF$28,$E25,0)</f>
        <v>1.0045626671266183</v>
      </c>
      <c r="X25" s="107">
        <f ca="1">OFFSET(IND!AG$28,$E25,0)</f>
        <v>1.0417210217407482</v>
      </c>
      <c r="Y25" s="107">
        <f ca="1">OFFSET(IND!AH$28,$E25,0)</f>
        <v>1.0820818488548738</v>
      </c>
      <c r="Z25" s="107">
        <f ca="1">OFFSET(IND!AI$28,$E25,0)</f>
        <v>1.12477122951538</v>
      </c>
      <c r="AA25" s="107">
        <f ca="1">OFFSET(IND!AJ$28,$E25,0)</f>
        <v>1.1695296183465915</v>
      </c>
      <c r="AB25" s="107">
        <f ca="1">OFFSET(IND!AK$28,$E25,0)</f>
        <v>1.2169565089927696</v>
      </c>
      <c r="AC25" s="107">
        <f ca="1">OFFSET(IND!AL$28,$E25,0)</f>
        <v>1.2650941032824412</v>
      </c>
      <c r="AD25" s="107">
        <f ca="1">OFFSET(IND!AM$28,$E25,0)</f>
        <v>1.3134316011228309</v>
      </c>
      <c r="AE25" s="107">
        <f ca="1">OFFSET(IND!AN$28,$E25,0)</f>
        <v>1.5729730950153753</v>
      </c>
      <c r="AF25" s="107">
        <f ca="1">OFFSET(IND!AO$28,$E25,0)</f>
        <v>1.885006279255504</v>
      </c>
      <c r="AG25" s="107">
        <f ca="1">OFFSET(IND!AP$28,$E25,0)</f>
        <v>2.2097383441891427</v>
      </c>
      <c r="AH25" s="107">
        <f ca="1">OFFSET(IND!AQ$28,$E25,0)</f>
        <v>2.4744222135832277</v>
      </c>
      <c r="AJ25">
        <f t="shared" ca="1" si="1"/>
        <v>3.0646491161633618</v>
      </c>
    </row>
    <row r="26" spans="1:36">
      <c r="A26" s="26" t="s">
        <v>310</v>
      </c>
      <c r="B26">
        <v>1.857147830862</v>
      </c>
      <c r="C26" t="s">
        <v>731</v>
      </c>
      <c r="D26" t="s">
        <v>272</v>
      </c>
      <c r="E26" s="110">
        <f>MATCH(F26,IND!$D$29:$D$137,0)</f>
        <v>87</v>
      </c>
      <c r="F26" t="str">
        <f t="shared" si="0"/>
        <v>IFBK</v>
      </c>
      <c r="G26" s="107">
        <f ca="1">OFFSET(IND!P$28,$E26,0)</f>
        <v>1.04664</v>
      </c>
      <c r="H26" s="107">
        <f ca="1">OFFSET(IND!Q$28,$E26,0)</f>
        <v>1.0615210895287399</v>
      </c>
      <c r="I26" s="107">
        <f ca="1">OFFSET(IND!R$28,$E26,0)</f>
        <v>1.0580939907853684</v>
      </c>
      <c r="J26" s="175">
        <f ca="1">OFFSET(IND!S$28,$E26,0)</f>
        <v>1.0420767215355253</v>
      </c>
      <c r="K26" s="107">
        <f ca="1">OFFSET(IND!T$28,$E26,0)</f>
        <v>1.0574222038499261</v>
      </c>
      <c r="L26" s="107">
        <f ca="1">OFFSET(IND!U$28,$E26,0)</f>
        <v>1.0706135705122195</v>
      </c>
      <c r="M26" s="107">
        <f ca="1">OFFSET(IND!V$28,$E26,0)</f>
        <v>1.0633406416152924</v>
      </c>
      <c r="N26" s="107">
        <f ca="1">OFFSET(IND!W$28,$E26,0)</f>
        <v>1.0649570285113044</v>
      </c>
      <c r="O26" s="175">
        <f ca="1">OFFSET(IND!X$28,$E26,0)</f>
        <v>1.0671001919295189</v>
      </c>
      <c r="P26" s="107">
        <f ca="1">OFFSET(IND!Y$28,$E26,0)</f>
        <v>1.0839210438367501</v>
      </c>
      <c r="Q26" s="107">
        <f ca="1">OFFSET(IND!Z$28,$E26,0)</f>
        <v>1.1029373897997847</v>
      </c>
      <c r="R26" s="107">
        <f ca="1">OFFSET(IND!AA$28,$E26,0)</f>
        <v>1.1237612514175006</v>
      </c>
      <c r="S26" s="107">
        <f ca="1">OFFSET(IND!AB$28,$E26,0)</f>
        <v>1.1500005180734241</v>
      </c>
      <c r="T26" s="107">
        <f ca="1">OFFSET(IND!AC$28,$E26,0)</f>
        <v>1.1819310995162167</v>
      </c>
      <c r="U26" s="107">
        <f ca="1">OFFSET(IND!AD$28,$E26,0)</f>
        <v>1.2197349350961619</v>
      </c>
      <c r="V26" s="107">
        <f ca="1">OFFSET(IND!AE$28,$E26,0)</f>
        <v>1.2592358276495161</v>
      </c>
      <c r="W26" s="107">
        <f ca="1">OFFSET(IND!AF$28,$E26,0)</f>
        <v>1.3022108647937642</v>
      </c>
      <c r="X26" s="107">
        <f ca="1">OFFSET(IND!AG$28,$E26,0)</f>
        <v>1.3503791022565252</v>
      </c>
      <c r="Y26" s="107">
        <f ca="1">OFFSET(IND!AH$28,$E26,0)</f>
        <v>1.4026986929600214</v>
      </c>
      <c r="Z26" s="107">
        <f ca="1">OFFSET(IND!AI$28,$E26,0)</f>
        <v>1.4580367790014184</v>
      </c>
      <c r="AA26" s="107">
        <f ca="1">OFFSET(IND!AJ$28,$E26,0)</f>
        <v>1.5160569126715076</v>
      </c>
      <c r="AB26" s="107">
        <f ca="1">OFFSET(IND!AK$28,$E26,0)</f>
        <v>1.5775362153609975</v>
      </c>
      <c r="AC26" s="107">
        <f ca="1">OFFSET(IND!AL$28,$E26,0)</f>
        <v>1.6399368005513126</v>
      </c>
      <c r="AD26" s="107">
        <f ca="1">OFFSET(IND!AM$28,$E26,0)</f>
        <v>1.70259651997404</v>
      </c>
      <c r="AE26" s="107">
        <f ca="1">OFFSET(IND!AN$28,$E26,0)</f>
        <v>2.0390391972421531</v>
      </c>
      <c r="AF26" s="107">
        <f ca="1">OFFSET(IND!AO$28,$E26,0)</f>
        <v>2.4435266582941715</v>
      </c>
      <c r="AG26" s="107">
        <f ca="1">OFFSET(IND!AP$28,$E26,0)</f>
        <v>2.8644756313562958</v>
      </c>
      <c r="AH26" s="107">
        <f ca="1">OFFSET(IND!AQ$28,$E26,0)</f>
        <v>3.2075843509412207</v>
      </c>
      <c r="AJ26">
        <f t="shared" ca="1" si="1"/>
        <v>3.0646491161633613</v>
      </c>
    </row>
    <row r="27" spans="1:36">
      <c r="A27" s="26" t="s">
        <v>311</v>
      </c>
      <c r="B27">
        <v>0.39796024947059999</v>
      </c>
      <c r="C27" t="s">
        <v>731</v>
      </c>
      <c r="D27" t="s">
        <v>272</v>
      </c>
      <c r="E27" s="110">
        <f>MATCH(F27,IND!$D$29:$D$137,0)</f>
        <v>89</v>
      </c>
      <c r="F27" t="str">
        <f t="shared" si="0"/>
        <v>IFBL</v>
      </c>
      <c r="G27" s="107">
        <f ca="1">OFFSET(IND!P$28,$E27,0)</f>
        <v>0.22428000000000001</v>
      </c>
      <c r="H27" s="107">
        <f ca="1">OFFSET(IND!Q$28,$E27,0)</f>
        <v>0.22746880489901572</v>
      </c>
      <c r="I27" s="107">
        <f ca="1">OFFSET(IND!R$28,$E27,0)</f>
        <v>0.22673442659686469</v>
      </c>
      <c r="J27" s="175">
        <f ca="1">OFFSET(IND!S$28,$E27,0)</f>
        <v>0.22330215461475544</v>
      </c>
      <c r="K27" s="107">
        <f ca="1">OFFSET(IND!T$28,$E27,0)</f>
        <v>0.22659047225355564</v>
      </c>
      <c r="L27" s="107">
        <f ca="1">OFFSET(IND!U$28,$E27,0)</f>
        <v>0.22941719368118993</v>
      </c>
      <c r="M27" s="107">
        <f ca="1">OFFSET(IND!V$28,$E27,0)</f>
        <v>0.22785870891756269</v>
      </c>
      <c r="N27" s="107">
        <f ca="1">OFFSET(IND!W$28,$E27,0)</f>
        <v>0.22820507753813665</v>
      </c>
      <c r="O27" s="175">
        <f ca="1">OFFSET(IND!X$28,$E27,0)</f>
        <v>0.22866432684203977</v>
      </c>
      <c r="P27" s="107">
        <f ca="1">OFFSET(IND!Y$28,$E27,0)</f>
        <v>0.23226879510787501</v>
      </c>
      <c r="Q27" s="107">
        <f ca="1">OFFSET(IND!Z$28,$E27,0)</f>
        <v>0.23634372638566817</v>
      </c>
      <c r="R27" s="107">
        <f ca="1">OFFSET(IND!AA$28,$E27,0)</f>
        <v>0.24080598244660731</v>
      </c>
      <c r="S27" s="107">
        <f ca="1">OFFSET(IND!AB$28,$E27,0)</f>
        <v>0.24642868244430519</v>
      </c>
      <c r="T27" s="107">
        <f ca="1">OFFSET(IND!AC$28,$E27,0)</f>
        <v>0.2532709498963322</v>
      </c>
      <c r="U27" s="107">
        <f ca="1">OFFSET(IND!AD$28,$E27,0)</f>
        <v>0.26137177180632049</v>
      </c>
      <c r="V27" s="107">
        <f ca="1">OFFSET(IND!AE$28,$E27,0)</f>
        <v>0.26983624878203927</v>
      </c>
      <c r="W27" s="107">
        <f ca="1">OFFSET(IND!AF$28,$E27,0)</f>
        <v>0.27904518531294958</v>
      </c>
      <c r="X27" s="107">
        <f ca="1">OFFSET(IND!AG$28,$E27,0)</f>
        <v>0.28936695048354122</v>
      </c>
      <c r="Y27" s="107">
        <f ca="1">OFFSET(IND!AH$28,$E27,0)</f>
        <v>0.30057829134857611</v>
      </c>
      <c r="Z27" s="107">
        <f ca="1">OFFSET(IND!AI$28,$E27,0)</f>
        <v>0.31243645264316117</v>
      </c>
      <c r="AA27" s="107">
        <f ca="1">OFFSET(IND!AJ$28,$E27,0)</f>
        <v>0.32486933842960886</v>
      </c>
      <c r="AB27" s="107">
        <f ca="1">OFFSET(IND!AK$28,$E27,0)</f>
        <v>0.3380434747202139</v>
      </c>
      <c r="AC27" s="107">
        <f ca="1">OFFSET(IND!AL$28,$E27,0)</f>
        <v>0.35141502868956714</v>
      </c>
      <c r="AD27" s="107">
        <f ca="1">OFFSET(IND!AM$28,$E27,0)</f>
        <v>0.36484211142300871</v>
      </c>
      <c r="AE27" s="107">
        <f ca="1">OFFSET(IND!AN$28,$E27,0)</f>
        <v>0.43693697083760441</v>
      </c>
      <c r="AF27" s="107">
        <f ca="1">OFFSET(IND!AO$28,$E27,0)</f>
        <v>0.52361285534875124</v>
      </c>
      <c r="AG27" s="107">
        <f ca="1">OFFSET(IND!AP$28,$E27,0)</f>
        <v>0.61381620671920645</v>
      </c>
      <c r="AH27" s="107">
        <f ca="1">OFFSET(IND!AQ$28,$E27,0)</f>
        <v>0.68733950377311892</v>
      </c>
      <c r="AJ27">
        <f t="shared" ca="1" si="1"/>
        <v>3.0646491161633622</v>
      </c>
    </row>
    <row r="28" spans="1:36">
      <c r="A28" s="26" t="s">
        <v>312</v>
      </c>
      <c r="B28">
        <v>4.45715479407</v>
      </c>
      <c r="C28" t="s">
        <v>731</v>
      </c>
      <c r="D28" t="s">
        <v>272</v>
      </c>
      <c r="E28" s="110">
        <f>MATCH(F28,IND!$D$29:$D$137,0)</f>
        <v>94</v>
      </c>
      <c r="F28" t="str">
        <f t="shared" si="0"/>
        <v>IFBO</v>
      </c>
      <c r="G28" s="107">
        <f ca="1">OFFSET(IND!P$28,$E28,0)</f>
        <v>2.5119359999999999</v>
      </c>
      <c r="H28" s="107">
        <f ca="1">OFFSET(IND!Q$28,$E28,0)</f>
        <v>2.5476506148689761</v>
      </c>
      <c r="I28" s="107">
        <f ca="1">OFFSET(IND!R$28,$E28,0)</f>
        <v>2.5394255778848849</v>
      </c>
      <c r="J28" s="175">
        <f ca="1">OFFSET(IND!S$28,$E28,0)</f>
        <v>2.5009841316852612</v>
      </c>
      <c r="K28" s="107">
        <f ca="1">OFFSET(IND!T$28,$E28,0)</f>
        <v>2.5378132892398235</v>
      </c>
      <c r="L28" s="107">
        <f ca="1">OFFSET(IND!U$28,$E28,0)</f>
        <v>2.5694725692293274</v>
      </c>
      <c r="M28" s="107">
        <f ca="1">OFFSET(IND!V$28,$E28,0)</f>
        <v>2.5520175398767022</v>
      </c>
      <c r="N28" s="107">
        <f ca="1">OFFSET(IND!W$28,$E28,0)</f>
        <v>2.5558968684271308</v>
      </c>
      <c r="O28" s="175">
        <f ca="1">OFFSET(IND!X$28,$E28,0)</f>
        <v>2.5610404606308457</v>
      </c>
      <c r="P28" s="107">
        <f ca="1">OFFSET(IND!Y$28,$E28,0)</f>
        <v>2.6014105052082006</v>
      </c>
      <c r="Q28" s="107">
        <f ca="1">OFFSET(IND!Z$28,$E28,0)</f>
        <v>2.647049735519484</v>
      </c>
      <c r="R28" s="107">
        <f ca="1">OFFSET(IND!AA$28,$E28,0)</f>
        <v>2.6970270034020021</v>
      </c>
      <c r="S28" s="107">
        <f ca="1">OFFSET(IND!AB$28,$E28,0)</f>
        <v>2.7600012433762182</v>
      </c>
      <c r="T28" s="107">
        <f ca="1">OFFSET(IND!AC$28,$E28,0)</f>
        <v>2.8366346388389205</v>
      </c>
      <c r="U28" s="107">
        <f ca="1">OFFSET(IND!AD$28,$E28,0)</f>
        <v>2.9273638442307894</v>
      </c>
      <c r="V28" s="107">
        <f ca="1">OFFSET(IND!AE$28,$E28,0)</f>
        <v>3.0221659863588397</v>
      </c>
      <c r="W28" s="107">
        <f ca="1">OFFSET(IND!AF$28,$E28,0)</f>
        <v>3.1253060755050353</v>
      </c>
      <c r="X28" s="107">
        <f ca="1">OFFSET(IND!AG$28,$E28,0)</f>
        <v>3.2409098454156617</v>
      </c>
      <c r="Y28" s="107">
        <f ca="1">OFFSET(IND!AH$28,$E28,0)</f>
        <v>3.3664768631040523</v>
      </c>
      <c r="Z28" s="107">
        <f ca="1">OFFSET(IND!AI$28,$E28,0)</f>
        <v>3.4992882696034049</v>
      </c>
      <c r="AA28" s="107">
        <f ca="1">OFFSET(IND!AJ$28,$E28,0)</f>
        <v>3.6385365904116189</v>
      </c>
      <c r="AB28" s="107">
        <f ca="1">OFFSET(IND!AK$28,$E28,0)</f>
        <v>3.7860869168663953</v>
      </c>
      <c r="AC28" s="107">
        <f ca="1">OFFSET(IND!AL$28,$E28,0)</f>
        <v>3.9358483213231517</v>
      </c>
      <c r="AD28" s="107">
        <f ca="1">OFFSET(IND!AM$28,$E28,0)</f>
        <v>4.0862316479376979</v>
      </c>
      <c r="AE28" s="107">
        <f ca="1">OFFSET(IND!AN$28,$E28,0)</f>
        <v>4.8936940733811696</v>
      </c>
      <c r="AF28" s="107">
        <f ca="1">OFFSET(IND!AO$28,$E28,0)</f>
        <v>5.8644639799060148</v>
      </c>
      <c r="AG28" s="107">
        <f ca="1">OFFSET(IND!AP$28,$E28,0)</f>
        <v>6.8747415152551135</v>
      </c>
      <c r="AH28" s="107">
        <f ca="1">OFFSET(IND!AQ$28,$E28,0)</f>
        <v>7.6982024422589337</v>
      </c>
      <c r="AJ28">
        <f t="shared" ca="1" si="1"/>
        <v>3.0646491161633631</v>
      </c>
    </row>
    <row r="29" spans="1:36">
      <c r="A29" s="26" t="s">
        <v>313</v>
      </c>
      <c r="B29">
        <v>5.9428730587610001</v>
      </c>
      <c r="C29" t="s">
        <v>731</v>
      </c>
      <c r="D29" t="s">
        <v>272</v>
      </c>
      <c r="E29" s="110">
        <f>MATCH(F29,IND!$D$29:$D$137,0)</f>
        <v>92</v>
      </c>
      <c r="F29" t="str">
        <f t="shared" si="0"/>
        <v>IFBP</v>
      </c>
      <c r="G29" s="107">
        <f ca="1">OFFSET(IND!P$28,$E29,0)</f>
        <v>3.3492479999999998</v>
      </c>
      <c r="H29" s="107">
        <f ca="1">OFFSET(IND!Q$28,$E29,0)</f>
        <v>3.3968674864919679</v>
      </c>
      <c r="I29" s="107">
        <f ca="1">OFFSET(IND!R$28,$E29,0)</f>
        <v>3.3859007705131794</v>
      </c>
      <c r="J29" s="175">
        <f ca="1">OFFSET(IND!S$28,$E29,0)</f>
        <v>3.3346455089136815</v>
      </c>
      <c r="K29" s="107">
        <f ca="1">OFFSET(IND!T$28,$E29,0)</f>
        <v>3.3837510523197643</v>
      </c>
      <c r="L29" s="107">
        <f ca="1">OFFSET(IND!U$28,$E29,0)</f>
        <v>3.4259634256391029</v>
      </c>
      <c r="M29" s="107">
        <f ca="1">OFFSET(IND!V$28,$E29,0)</f>
        <v>3.4026900531689357</v>
      </c>
      <c r="N29" s="107">
        <f ca="1">OFFSET(IND!W$28,$E29,0)</f>
        <v>3.4078624912361737</v>
      </c>
      <c r="O29" s="175">
        <f ca="1">OFFSET(IND!X$28,$E29,0)</f>
        <v>3.4147206141744602</v>
      </c>
      <c r="P29" s="107">
        <f ca="1">OFFSET(IND!Y$28,$E29,0)</f>
        <v>3.4685473402775999</v>
      </c>
      <c r="Q29" s="107">
        <f ca="1">OFFSET(IND!Z$28,$E29,0)</f>
        <v>3.5293996473593108</v>
      </c>
      <c r="R29" s="107">
        <f ca="1">OFFSET(IND!AA$28,$E29,0)</f>
        <v>3.596036004536002</v>
      </c>
      <c r="S29" s="107">
        <f ca="1">OFFSET(IND!AB$28,$E29,0)</f>
        <v>3.680001657834957</v>
      </c>
      <c r="T29" s="107">
        <f ca="1">OFFSET(IND!AC$28,$E29,0)</f>
        <v>3.7821795184518932</v>
      </c>
      <c r="U29" s="107">
        <f ca="1">OFFSET(IND!AD$28,$E29,0)</f>
        <v>3.9031517923077184</v>
      </c>
      <c r="V29" s="107">
        <f ca="1">OFFSET(IND!AE$28,$E29,0)</f>
        <v>4.0295546484784523</v>
      </c>
      <c r="W29" s="107">
        <f ca="1">OFFSET(IND!AF$28,$E29,0)</f>
        <v>4.1670747673400461</v>
      </c>
      <c r="X29" s="107">
        <f ca="1">OFFSET(IND!AG$28,$E29,0)</f>
        <v>4.3212131272208811</v>
      </c>
      <c r="Y29" s="107">
        <f ca="1">OFFSET(IND!AH$28,$E29,0)</f>
        <v>4.4886358174720691</v>
      </c>
      <c r="Z29" s="107">
        <f ca="1">OFFSET(IND!AI$28,$E29,0)</f>
        <v>4.665717692804539</v>
      </c>
      <c r="AA29" s="107">
        <f ca="1">OFFSET(IND!AJ$28,$E29,0)</f>
        <v>4.8513821205488243</v>
      </c>
      <c r="AB29" s="107">
        <f ca="1">OFFSET(IND!AK$28,$E29,0)</f>
        <v>5.0481158891551923</v>
      </c>
      <c r="AC29" s="107">
        <f ca="1">OFFSET(IND!AL$28,$E29,0)</f>
        <v>5.2477977617642004</v>
      </c>
      <c r="AD29" s="107">
        <f ca="1">OFFSET(IND!AM$28,$E29,0)</f>
        <v>5.4483088639169281</v>
      </c>
      <c r="AE29" s="107">
        <f ca="1">OFFSET(IND!AN$28,$E29,0)</f>
        <v>6.5249254311748901</v>
      </c>
      <c r="AF29" s="107">
        <f ca="1">OFFSET(IND!AO$28,$E29,0)</f>
        <v>7.8192853065413495</v>
      </c>
      <c r="AG29" s="107">
        <f ca="1">OFFSET(IND!AP$28,$E29,0)</f>
        <v>9.1663220203401465</v>
      </c>
      <c r="AH29" s="107">
        <f ca="1">OFFSET(IND!AQ$28,$E29,0)</f>
        <v>10.264269923011906</v>
      </c>
      <c r="AJ29">
        <f t="shared" ca="1" si="1"/>
        <v>3.0646491161633613</v>
      </c>
    </row>
    <row r="30" spans="1:36">
      <c r="A30" s="26" t="s">
        <v>314</v>
      </c>
      <c r="B30">
        <v>28.205650466129999</v>
      </c>
      <c r="C30" t="s">
        <v>731</v>
      </c>
      <c r="D30" t="s">
        <v>272</v>
      </c>
      <c r="E30" s="110">
        <f>MATCH(F30,IND!$D$29:$D$137,0)</f>
        <v>96</v>
      </c>
      <c r="F30" t="str">
        <f t="shared" si="0"/>
        <v>IFBS</v>
      </c>
      <c r="G30" s="107">
        <f ca="1">OFFSET(IND!P$28,$E30,0)</f>
        <v>40.544747177343801</v>
      </c>
      <c r="H30" s="107">
        <f ca="1">OFFSET(IND!Q$28,$E30,0)</f>
        <v>41.121210921005598</v>
      </c>
      <c r="I30" s="107">
        <f ca="1">OFFSET(IND!R$28,$E30,0)</f>
        <v>40.988451947431315</v>
      </c>
      <c r="J30" s="175">
        <f ca="1">OFFSET(IND!S$28,$E30,0)</f>
        <v>40.367974866289437</v>
      </c>
      <c r="K30" s="107">
        <f ca="1">OFFSET(IND!T$28,$E30,0)</f>
        <v>40.962428260724757</v>
      </c>
      <c r="L30" s="107">
        <f ca="1">OFFSET(IND!U$28,$E30,0)</f>
        <v>41.473435508915465</v>
      </c>
      <c r="M30" s="107">
        <f ca="1">OFFSET(IND!V$28,$E30,0)</f>
        <v>41.191696741655747</v>
      </c>
      <c r="N30" s="107">
        <f ca="1">OFFSET(IND!W$28,$E30,0)</f>
        <v>41.25431234782365</v>
      </c>
      <c r="O30" s="175">
        <f ca="1">OFFSET(IND!X$28,$E30,0)</f>
        <v>41.337334226359957</v>
      </c>
      <c r="P30" s="107">
        <f ca="1">OFFSET(IND!Y$28,$E30,0)</f>
        <v>41.988940497748622</v>
      </c>
      <c r="Q30" s="107">
        <f ca="1">OFFSET(IND!Z$28,$E30,0)</f>
        <v>42.725595832255372</v>
      </c>
      <c r="R30" s="107">
        <f ca="1">OFFSET(IND!AA$28,$E30,0)</f>
        <v>43.532270720035591</v>
      </c>
      <c r="S30" s="107">
        <f ca="1">OFFSET(IND!AB$28,$E30,0)</f>
        <v>44.548727603666372</v>
      </c>
      <c r="T30" s="107">
        <f ca="1">OFFSET(IND!AC$28,$E30,0)</f>
        <v>45.785654676799076</v>
      </c>
      <c r="U30" s="107">
        <f ca="1">OFFSET(IND!AD$28,$E30,0)</f>
        <v>47.25009990717701</v>
      </c>
      <c r="V30" s="107">
        <f ca="1">OFFSET(IND!AE$28,$E30,0)</f>
        <v>48.780285741709584</v>
      </c>
      <c r="W30" s="107">
        <f ca="1">OFFSET(IND!AF$28,$E30,0)</f>
        <v>50.445053012165992</v>
      </c>
      <c r="X30" s="107">
        <f ca="1">OFFSET(IND!AG$28,$E30,0)</f>
        <v>52.310994510585608</v>
      </c>
      <c r="Y30" s="107">
        <f ca="1">OFFSET(IND!AH$28,$E30,0)</f>
        <v>54.337751158043531</v>
      </c>
      <c r="Z30" s="107">
        <f ca="1">OFFSET(IND!AI$28,$E30,0)</f>
        <v>56.481438297677535</v>
      </c>
      <c r="AA30" s="107">
        <f ca="1">OFFSET(IND!AJ$28,$E30,0)</f>
        <v>58.729022615923974</v>
      </c>
      <c r="AB30" s="107">
        <f ca="1">OFFSET(IND!AK$28,$E30,0)</f>
        <v>61.110608246307649</v>
      </c>
      <c r="AC30" s="107">
        <f ca="1">OFFSET(IND!AL$28,$E30,0)</f>
        <v>63.527882524244312</v>
      </c>
      <c r="AD30" s="107">
        <f ca="1">OFFSET(IND!AM$28,$E30,0)</f>
        <v>65.955195145773956</v>
      </c>
      <c r="AE30" s="107">
        <f ca="1">OFFSET(IND!AN$28,$E30,0)</f>
        <v>78.988313782080922</v>
      </c>
      <c r="AF30" s="107">
        <f ca="1">OFFSET(IND!AO$28,$E30,0)</f>
        <v>94.657351698422545</v>
      </c>
      <c r="AG30" s="107">
        <f ca="1">OFFSET(IND!AP$28,$E30,0)</f>
        <v>110.96407577486367</v>
      </c>
      <c r="AH30" s="107">
        <f ca="1">OFFSET(IND!AQ$28,$E30,0)</f>
        <v>124.25542360211367</v>
      </c>
      <c r="AJ30">
        <f t="shared" ca="1" si="1"/>
        <v>3.0646491161633627</v>
      </c>
    </row>
    <row r="31" spans="1:36">
      <c r="A31" s="26" t="s">
        <v>315</v>
      </c>
      <c r="B31">
        <v>1.0975498905550001</v>
      </c>
      <c r="C31" t="s">
        <v>731</v>
      </c>
      <c r="D31" t="s">
        <v>272</v>
      </c>
      <c r="E31" s="110">
        <f>MATCH(F31,IND!$D$29:$D$137,0)</f>
        <v>53</v>
      </c>
      <c r="F31" t="str">
        <f t="shared" si="0"/>
        <v>IMIA</v>
      </c>
      <c r="G31" s="107">
        <f ca="1">OFFSET(IND!P$28,$E31,0)</f>
        <v>0.71939570019765298</v>
      </c>
      <c r="H31" s="107">
        <f ca="1">OFFSET(IND!Q$28,$E31,0)</f>
        <v>0.71721143396735521</v>
      </c>
      <c r="I31" s="107">
        <f ca="1">OFFSET(IND!R$28,$E31,0)</f>
        <v>0.70991521323736106</v>
      </c>
      <c r="J31" s="175">
        <f ca="1">OFFSET(IND!S$28,$E31,0)</f>
        <v>0.68333358670962918</v>
      </c>
      <c r="K31" s="107">
        <f ca="1">OFFSET(IND!T$28,$E31,0)</f>
        <v>0.76303079975243426</v>
      </c>
      <c r="L31" s="107">
        <f ca="1">OFFSET(IND!U$28,$E31,0)</f>
        <v>0.77376486374990383</v>
      </c>
      <c r="M31" s="107">
        <f ca="1">OFFSET(IND!V$28,$E31,0)</f>
        <v>0.77146178415517641</v>
      </c>
      <c r="N31" s="107">
        <f ca="1">OFFSET(IND!W$28,$E31,0)</f>
        <v>0.77528728658127866</v>
      </c>
      <c r="O31" s="175">
        <f ca="1">OFFSET(IND!X$28,$E31,0)</f>
        <v>0.77988355104865315</v>
      </c>
      <c r="P31" s="107">
        <f ca="1">OFFSET(IND!Y$28,$E31,0)</f>
        <v>0.79080192076333444</v>
      </c>
      <c r="Q31" s="107">
        <f ca="1">OFFSET(IND!Z$28,$E31,0)</f>
        <v>0.80345475149554779</v>
      </c>
      <c r="R31" s="107">
        <f ca="1">OFFSET(IND!AA$28,$E31,0)</f>
        <v>0.81791693702246782</v>
      </c>
      <c r="S31" s="107">
        <f ca="1">OFFSET(IND!AB$28,$E31,0)</f>
        <v>0.83593705575978949</v>
      </c>
      <c r="T31" s="107">
        <f ca="1">OFFSET(IND!AC$28,$E31,0)</f>
        <v>0.85785394985146091</v>
      </c>
      <c r="U31" s="107">
        <f ca="1">OFFSET(IND!AD$28,$E31,0)</f>
        <v>0.88305634033096891</v>
      </c>
      <c r="V31" s="107">
        <f ca="1">OFFSET(IND!AE$28,$E31,0)</f>
        <v>0.9096165020516791</v>
      </c>
      <c r="W31" s="107">
        <f ca="1">OFFSET(IND!AF$28,$E31,0)</f>
        <v>0.93779433394753786</v>
      </c>
      <c r="X31" s="107">
        <f ca="1">OFFSET(IND!AG$28,$E31,0)</f>
        <v>0.97002250454009187</v>
      </c>
      <c r="Y31" s="107">
        <f ca="1">OFFSET(IND!AH$28,$E31,0)</f>
        <v>1.0041718499045744</v>
      </c>
      <c r="Z31" s="107">
        <f ca="1">OFFSET(IND!AI$28,$E31,0)</f>
        <v>1.0403656797480041</v>
      </c>
      <c r="AA31" s="107">
        <f ca="1">OFFSET(IND!AJ$28,$E31,0)</f>
        <v>1.0788665114691582</v>
      </c>
      <c r="AB31" s="107">
        <f ca="1">OFFSET(IND!AK$28,$E31,0)</f>
        <v>1.1191685875841535</v>
      </c>
      <c r="AC31" s="107">
        <f ca="1">OFFSET(IND!AL$28,$E31,0)</f>
        <v>1.1600915548839195</v>
      </c>
      <c r="AD31" s="107">
        <f ca="1">OFFSET(IND!AM$28,$E31,0)</f>
        <v>1.2011687776983586</v>
      </c>
      <c r="AE31" s="107">
        <f ca="1">OFFSET(IND!AN$28,$E31,0)</f>
        <v>1.4249557381925173</v>
      </c>
      <c r="AF31" s="107">
        <f ca="1">OFFSET(IND!AO$28,$E31,0)</f>
        <v>1.6946417241110787</v>
      </c>
      <c r="AG31" s="107">
        <f ca="1">OFFSET(IND!AP$28,$E31,0)</f>
        <v>1.9755343359208741</v>
      </c>
      <c r="AH31" s="107">
        <f ca="1">OFFSET(IND!AQ$28,$E31,0)</f>
        <v>2.2041312865743414</v>
      </c>
      <c r="AJ31">
        <f t="shared" ca="1" si="1"/>
        <v>3.0638649716265465</v>
      </c>
    </row>
    <row r="32" spans="1:36">
      <c r="A32" s="26" t="s">
        <v>316</v>
      </c>
      <c r="B32">
        <v>19.17682172608</v>
      </c>
      <c r="C32" t="s">
        <v>731</v>
      </c>
      <c r="D32" t="s">
        <v>272</v>
      </c>
      <c r="E32" s="110">
        <f>MATCH(F32,IND!$D$29:$D$137,0)</f>
        <v>55</v>
      </c>
      <c r="F32" t="str">
        <f t="shared" si="0"/>
        <v>IMIC</v>
      </c>
      <c r="G32" s="107">
        <f ca="1">OFFSET(IND!P$28,$E32,0)</f>
        <v>12.569563545045501</v>
      </c>
      <c r="H32" s="107">
        <f ca="1">OFFSET(IND!Q$28,$E32,0)</f>
        <v>12.531399189637925</v>
      </c>
      <c r="I32" s="107">
        <f ca="1">OFFSET(IND!R$28,$E32,0)</f>
        <v>12.403916762262918</v>
      </c>
      <c r="J32" s="175">
        <f ca="1">OFFSET(IND!S$28,$E32,0)</f>
        <v>11.93947216844731</v>
      </c>
      <c r="K32" s="107">
        <f ca="1">OFFSET(IND!T$28,$E32,0)</f>
        <v>13.331973101423882</v>
      </c>
      <c r="L32" s="107">
        <f ca="1">OFFSET(IND!U$28,$E32,0)</f>
        <v>13.519522873372351</v>
      </c>
      <c r="M32" s="107">
        <f ca="1">OFFSET(IND!V$28,$E32,0)</f>
        <v>13.479282564308409</v>
      </c>
      <c r="N32" s="107">
        <f ca="1">OFFSET(IND!W$28,$E32,0)</f>
        <v>13.546123241592701</v>
      </c>
      <c r="O32" s="175">
        <f ca="1">OFFSET(IND!X$28,$E32,0)</f>
        <v>13.626430975259479</v>
      </c>
      <c r="P32" s="107">
        <f ca="1">OFFSET(IND!Y$28,$E32,0)</f>
        <v>13.817201008913115</v>
      </c>
      <c r="Q32" s="107">
        <f ca="1">OFFSET(IND!Z$28,$E32,0)</f>
        <v>14.038276225055725</v>
      </c>
      <c r="R32" s="107">
        <f ca="1">OFFSET(IND!AA$28,$E32,0)</f>
        <v>14.290965197106731</v>
      </c>
      <c r="S32" s="107">
        <f ca="1">OFFSET(IND!AB$28,$E32,0)</f>
        <v>14.605819772267242</v>
      </c>
      <c r="T32" s="107">
        <f ca="1">OFFSET(IND!AC$28,$E32,0)</f>
        <v>14.9887603332403</v>
      </c>
      <c r="U32" s="107">
        <f ca="1">OFFSET(IND!AD$28,$E32,0)</f>
        <v>15.429106374413731</v>
      </c>
      <c r="V32" s="107">
        <f ca="1">OFFSET(IND!AE$28,$E32,0)</f>
        <v>15.893175926710786</v>
      </c>
      <c r="W32" s="107">
        <f ca="1">OFFSET(IND!AF$28,$E32,0)</f>
        <v>16.385510046138098</v>
      </c>
      <c r="X32" s="107">
        <f ca="1">OFFSET(IND!AG$28,$E32,0)</f>
        <v>16.94861327026409</v>
      </c>
      <c r="Y32" s="107">
        <f ca="1">OFFSET(IND!AH$28,$E32,0)</f>
        <v>17.545284012753424</v>
      </c>
      <c r="Z32" s="107">
        <f ca="1">OFFSET(IND!AI$28,$E32,0)</f>
        <v>18.177676789121918</v>
      </c>
      <c r="AA32" s="107">
        <f ca="1">OFFSET(IND!AJ$28,$E32,0)</f>
        <v>18.850378406219697</v>
      </c>
      <c r="AB32" s="107">
        <f ca="1">OFFSET(IND!AK$28,$E32,0)</f>
        <v>19.55455207112416</v>
      </c>
      <c r="AC32" s="107">
        <f ca="1">OFFSET(IND!AL$28,$E32,0)</f>
        <v>20.269574190084423</v>
      </c>
      <c r="AD32" s="107">
        <f ca="1">OFFSET(IND!AM$28,$E32,0)</f>
        <v>20.987291521836926</v>
      </c>
      <c r="AE32" s="107">
        <f ca="1">OFFSET(IND!AN$28,$E32,0)</f>
        <v>24.897384979041451</v>
      </c>
      <c r="AF32" s="107">
        <f ca="1">OFFSET(IND!AO$28,$E32,0)</f>
        <v>29.609444192462171</v>
      </c>
      <c r="AG32" s="107">
        <f ca="1">OFFSET(IND!AP$28,$E32,0)</f>
        <v>34.517309964396816</v>
      </c>
      <c r="AH32" s="107">
        <f ca="1">OFFSET(IND!AQ$28,$E32,0)</f>
        <v>38.511445454298872</v>
      </c>
      <c r="AJ32">
        <f t="shared" ca="1" si="1"/>
        <v>3.0638649716265438</v>
      </c>
    </row>
    <row r="33" spans="1:36">
      <c r="A33" s="26" t="s">
        <v>317</v>
      </c>
      <c r="B33">
        <v>0.20646280210080001</v>
      </c>
      <c r="C33" t="s">
        <v>731</v>
      </c>
      <c r="D33" t="s">
        <v>272</v>
      </c>
      <c r="E33" s="110">
        <f>MATCH(F33,IND!$D$29:$D$137,0)</f>
        <v>60</v>
      </c>
      <c r="F33" t="str">
        <f t="shared" si="0"/>
        <v>IMIE</v>
      </c>
      <c r="G33" s="107">
        <f ca="1">OFFSET(IND!P$28,$E33,0)</f>
        <v>0.13532728977530001</v>
      </c>
      <c r="H33" s="107">
        <f ca="1">OFFSET(IND!Q$28,$E33,0)</f>
        <v>0.13491640209691566</v>
      </c>
      <c r="I33" s="107">
        <f ca="1">OFFSET(IND!R$28,$E33,0)</f>
        <v>0.13354389211844181</v>
      </c>
      <c r="J33" s="175">
        <f ca="1">OFFSET(IND!S$28,$E33,0)</f>
        <v>0.12854355715003868</v>
      </c>
      <c r="K33" s="107">
        <f ca="1">OFFSET(IND!T$28,$E33,0)</f>
        <v>0.14353559538541355</v>
      </c>
      <c r="L33" s="107">
        <f ca="1">OFFSET(IND!U$28,$E33,0)</f>
        <v>0.1455548064936438</v>
      </c>
      <c r="M33" s="107">
        <f ca="1">OFFSET(IND!V$28,$E33,0)</f>
        <v>0.14512156854183839</v>
      </c>
      <c r="N33" s="107">
        <f ca="1">OFFSET(IND!W$28,$E33,0)</f>
        <v>0.14584119318681613</v>
      </c>
      <c r="O33" s="175">
        <f ca="1">OFFSET(IND!X$28,$E33,0)</f>
        <v>0.1467058077699856</v>
      </c>
      <c r="P33" s="107">
        <f ca="1">OFFSET(IND!Y$28,$E33,0)</f>
        <v>0.14875968907876544</v>
      </c>
      <c r="Q33" s="107">
        <f ca="1">OFFSET(IND!Z$28,$E33,0)</f>
        <v>0.1511398441040257</v>
      </c>
      <c r="R33" s="107">
        <f ca="1">OFFSET(IND!AA$28,$E33,0)</f>
        <v>0.15386036129789821</v>
      </c>
      <c r="S33" s="107">
        <f ca="1">OFFSET(IND!AB$28,$E33,0)</f>
        <v>0.15725017003526048</v>
      </c>
      <c r="T33" s="107">
        <f ca="1">OFFSET(IND!AC$28,$E33,0)</f>
        <v>0.16137301074295901</v>
      </c>
      <c r="U33" s="107">
        <f ca="1">OFFSET(IND!AD$28,$E33,0)</f>
        <v>0.16611389423519227</v>
      </c>
      <c r="V33" s="107">
        <f ca="1">OFFSET(IND!AE$28,$E33,0)</f>
        <v>0.17111019140609535</v>
      </c>
      <c r="W33" s="107">
        <f ca="1">OFFSET(IND!AF$28,$E33,0)</f>
        <v>0.17641079248164096</v>
      </c>
      <c r="X33" s="107">
        <f ca="1">OFFSET(IND!AG$28,$E33,0)</f>
        <v>0.18247331270452816</v>
      </c>
      <c r="Y33" s="107">
        <f ca="1">OFFSET(IND!AH$28,$E33,0)</f>
        <v>0.18889722982622686</v>
      </c>
      <c r="Z33" s="107">
        <f ca="1">OFFSET(IND!AI$28,$E33,0)</f>
        <v>0.19570573993819163</v>
      </c>
      <c r="AA33" s="107">
        <f ca="1">OFFSET(IND!AJ$28,$E33,0)</f>
        <v>0.2029482258322374</v>
      </c>
      <c r="AB33" s="107">
        <f ca="1">OFFSET(IND!AK$28,$E33,0)</f>
        <v>0.21052954822749453</v>
      </c>
      <c r="AC33" s="107">
        <f ca="1">OFFSET(IND!AL$28,$E33,0)</f>
        <v>0.21822766798650756</v>
      </c>
      <c r="AD33" s="107">
        <f ca="1">OFFSET(IND!AM$28,$E33,0)</f>
        <v>0.22595480512876023</v>
      </c>
      <c r="AE33" s="107">
        <f ca="1">OFFSET(IND!AN$28,$E33,0)</f>
        <v>0.26805191919603366</v>
      </c>
      <c r="AF33" s="107">
        <f ca="1">OFFSET(IND!AO$28,$E33,0)</f>
        <v>0.31878321152195588</v>
      </c>
      <c r="AG33" s="107">
        <f ca="1">OFFSET(IND!AP$28,$E33,0)</f>
        <v>0.37162260973309497</v>
      </c>
      <c r="AH33" s="107">
        <f ca="1">OFFSET(IND!AQ$28,$E33,0)</f>
        <v>0.41462454284769695</v>
      </c>
      <c r="AJ33">
        <f t="shared" ca="1" si="1"/>
        <v>3.063864971626546</v>
      </c>
    </row>
    <row r="34" spans="1:36">
      <c r="A34" s="26" t="s">
        <v>318</v>
      </c>
      <c r="B34">
        <v>6.5077475668130003</v>
      </c>
      <c r="C34" t="s">
        <v>731</v>
      </c>
      <c r="D34" t="s">
        <v>272</v>
      </c>
      <c r="E34" s="110">
        <f>MATCH(F34,IND!$D$29:$D$137,0)</f>
        <v>58</v>
      </c>
      <c r="F34" t="str">
        <f t="shared" si="0"/>
        <v>IMIF</v>
      </c>
      <c r="G34" s="107">
        <f ca="1">OFFSET(IND!P$28,$E34,0)</f>
        <v>4.2655424211891404</v>
      </c>
      <c r="H34" s="107">
        <f ca="1">OFFSET(IND!Q$28,$E34,0)</f>
        <v>4.2525911618725418</v>
      </c>
      <c r="I34" s="107">
        <f ca="1">OFFSET(IND!R$28,$E34,0)</f>
        <v>4.2093293811451913</v>
      </c>
      <c r="J34" s="175">
        <f ca="1">OFFSET(IND!S$28,$E34,0)</f>
        <v>4.0517178530986726</v>
      </c>
      <c r="K34" s="107">
        <f ca="1">OFFSET(IND!T$28,$E34,0)</f>
        <v>4.5242698060659086</v>
      </c>
      <c r="L34" s="107">
        <f ca="1">OFFSET(IND!U$28,$E34,0)</f>
        <v>4.5879157318344195</v>
      </c>
      <c r="M34" s="107">
        <f ca="1">OFFSET(IND!V$28,$E34,0)</f>
        <v>4.5742599875646306</v>
      </c>
      <c r="N34" s="107">
        <f ca="1">OFFSET(IND!W$28,$E34,0)</f>
        <v>4.5969426959494841</v>
      </c>
      <c r="O34" s="175">
        <f ca="1">OFFSET(IND!X$28,$E34,0)</f>
        <v>4.6241955153077372</v>
      </c>
      <c r="P34" s="107">
        <f ca="1">OFFSET(IND!Y$28,$E34,0)</f>
        <v>4.6889342525220465</v>
      </c>
      <c r="Q34" s="107">
        <f ca="1">OFFSET(IND!Z$28,$E34,0)</f>
        <v>4.7639572005623991</v>
      </c>
      <c r="R34" s="107">
        <f ca="1">OFFSET(IND!AA$28,$E34,0)</f>
        <v>4.8497084301725231</v>
      </c>
      <c r="S34" s="107">
        <f ca="1">OFFSET(IND!AB$28,$E34,0)</f>
        <v>4.9565558590462189</v>
      </c>
      <c r="T34" s="107">
        <f ca="1">OFFSET(IND!AC$28,$E34,0)</f>
        <v>5.0865085978004929</v>
      </c>
      <c r="U34" s="107">
        <f ca="1">OFFSET(IND!AD$28,$E34,0)</f>
        <v>5.2359421649960964</v>
      </c>
      <c r="V34" s="107">
        <f ca="1">OFFSET(IND!AE$28,$E34,0)</f>
        <v>5.3934264208822604</v>
      </c>
      <c r="W34" s="107">
        <f ca="1">OFFSET(IND!AF$28,$E34,0)</f>
        <v>5.5605023948641712</v>
      </c>
      <c r="X34" s="107">
        <f ca="1">OFFSET(IND!AG$28,$E34,0)</f>
        <v>5.7515942081486955</v>
      </c>
      <c r="Y34" s="107">
        <f ca="1">OFFSET(IND!AH$28,$E34,0)</f>
        <v>5.9540773217786738</v>
      </c>
      <c r="Z34" s="107">
        <f ca="1">OFFSET(IND!AI$28,$E34,0)</f>
        <v>6.168682881055763</v>
      </c>
      <c r="AA34" s="107">
        <f ca="1">OFFSET(IND!AJ$28,$E34,0)</f>
        <v>6.3969674411560336</v>
      </c>
      <c r="AB34" s="107">
        <f ca="1">OFFSET(IND!AK$28,$E34,0)</f>
        <v>6.6359321934936881</v>
      </c>
      <c r="AC34" s="107">
        <f ca="1">OFFSET(IND!AL$28,$E34,0)</f>
        <v>6.8785784213904195</v>
      </c>
      <c r="AD34" s="107">
        <f ca="1">OFFSET(IND!AM$28,$E34,0)</f>
        <v>7.1221392828349455</v>
      </c>
      <c r="AE34" s="107">
        <f ca="1">OFFSET(IND!AN$28,$E34,0)</f>
        <v>8.4490484832020645</v>
      </c>
      <c r="AF34" s="107">
        <f ca="1">OFFSET(IND!AO$28,$E34,0)</f>
        <v>10.048108656928125</v>
      </c>
      <c r="AG34" s="107">
        <f ca="1">OFFSET(IND!AP$28,$E34,0)</f>
        <v>11.713616737034947</v>
      </c>
      <c r="AH34" s="107">
        <f ca="1">OFFSET(IND!AQ$28,$E34,0)</f>
        <v>13.06904600926849</v>
      </c>
      <c r="AJ34">
        <f t="shared" ca="1" si="1"/>
        <v>3.0638649716265451</v>
      </c>
    </row>
    <row r="35" spans="1:36">
      <c r="A35" s="26" t="s">
        <v>319</v>
      </c>
      <c r="B35">
        <v>8.5041886448849997</v>
      </c>
      <c r="C35" t="s">
        <v>731</v>
      </c>
      <c r="D35" t="s">
        <v>272</v>
      </c>
      <c r="E35" s="110">
        <f>MATCH(F35,IND!$D$29:$D$137,0)</f>
        <v>56</v>
      </c>
      <c r="F35" t="str">
        <f t="shared" si="0"/>
        <v>IMIH</v>
      </c>
      <c r="G35" s="107">
        <f ca="1">OFFSET(IND!P$28,$E35,0)</f>
        <v>5.5741217756416299</v>
      </c>
      <c r="H35" s="107">
        <f ca="1">OFFSET(IND!Q$28,$E35,0)</f>
        <v>5.5571973403763701</v>
      </c>
      <c r="I35" s="107">
        <f ca="1">OFFSET(IND!R$28,$E35,0)</f>
        <v>5.5006637485856853</v>
      </c>
      <c r="J35" s="175">
        <f ca="1">OFFSET(IND!S$28,$E35,0)</f>
        <v>5.2947002945095845</v>
      </c>
      <c r="K35" s="107">
        <f ca="1">OFFSET(IND!T$28,$E35,0)</f>
        <v>5.9122213202229643</v>
      </c>
      <c r="L35" s="107">
        <f ca="1">OFFSET(IND!U$28,$E35,0)</f>
        <v>5.9953924871523565</v>
      </c>
      <c r="M35" s="107">
        <f ca="1">OFFSET(IND!V$28,$E35,0)</f>
        <v>5.9775474456592272</v>
      </c>
      <c r="N35" s="107">
        <f ca="1">OFFSET(IND!W$28,$E35,0)</f>
        <v>6.0071887353837106</v>
      </c>
      <c r="O35" s="175">
        <f ca="1">OFFSET(IND!X$28,$E35,0)</f>
        <v>6.042802150708769</v>
      </c>
      <c r="P35" s="107">
        <f ca="1">OFFSET(IND!Y$28,$E35,0)</f>
        <v>6.1274013808186929</v>
      </c>
      <c r="Q35" s="107">
        <f ca="1">OFFSET(IND!Z$28,$E35,0)</f>
        <v>6.2254398029117919</v>
      </c>
      <c r="R35" s="107">
        <f ca="1">OFFSET(IND!AA$28,$E35,0)</f>
        <v>6.3374977193642055</v>
      </c>
      <c r="S35" s="107">
        <f ca="1">OFFSET(IND!AB$28,$E35,0)</f>
        <v>6.4771237085461753</v>
      </c>
      <c r="T35" s="107">
        <f ca="1">OFFSET(IND!AC$28,$E35,0)</f>
        <v>6.646943234263734</v>
      </c>
      <c r="U35" s="107">
        <f ca="1">OFFSET(IND!AD$28,$E35,0)</f>
        <v>6.842219899847712</v>
      </c>
      <c r="V35" s="107">
        <f ca="1">OFFSET(IND!AE$28,$E35,0)</f>
        <v>7.0480170373219799</v>
      </c>
      <c r="W35" s="107">
        <f ca="1">OFFSET(IND!AF$28,$E35,0)</f>
        <v>7.2663484317380451</v>
      </c>
      <c r="X35" s="107">
        <f ca="1">OFFSET(IND!AG$28,$E35,0)</f>
        <v>7.516063223527448</v>
      </c>
      <c r="Y35" s="107">
        <f ca="1">OFFSET(IND!AH$28,$E35,0)</f>
        <v>7.7806639287690418</v>
      </c>
      <c r="Z35" s="107">
        <f ca="1">OFFSET(IND!AI$28,$E35,0)</f>
        <v>8.0611059928774296</v>
      </c>
      <c r="AA35" s="107">
        <f ca="1">OFFSET(IND!AJ$28,$E35,0)</f>
        <v>8.3594234896573454</v>
      </c>
      <c r="AB35" s="107">
        <f ca="1">OFFSET(IND!AK$28,$E35,0)</f>
        <v>8.6716976386610707</v>
      </c>
      <c r="AC35" s="107">
        <f ca="1">OFFSET(IND!AL$28,$E35,0)</f>
        <v>8.9887826630597765</v>
      </c>
      <c r="AD35" s="107">
        <f ca="1">OFFSET(IND!AM$28,$E35,0)</f>
        <v>9.3070629114820829</v>
      </c>
      <c r="AE35" s="107">
        <f ca="1">OFFSET(IND!AN$28,$E35,0)</f>
        <v>11.041040149951005</v>
      </c>
      <c r="AF35" s="107">
        <f ca="1">OFFSET(IND!AO$28,$E35,0)</f>
        <v>13.13065859815832</v>
      </c>
      <c r="AG35" s="107">
        <f ca="1">OFFSET(IND!AP$28,$E35,0)</f>
        <v>15.30710978305649</v>
      </c>
      <c r="AH35" s="107">
        <f ca="1">OFFSET(IND!AQ$28,$E35,0)</f>
        <v>17.07835645596915</v>
      </c>
      <c r="AJ35">
        <f t="shared" ca="1" si="1"/>
        <v>3.0638649716265451</v>
      </c>
    </row>
    <row r="36" spans="1:36">
      <c r="A36" s="26" t="s">
        <v>320</v>
      </c>
      <c r="B36">
        <v>2.3622746235790002</v>
      </c>
      <c r="C36" t="s">
        <v>731</v>
      </c>
      <c r="D36" t="s">
        <v>272</v>
      </c>
      <c r="E36" s="110">
        <f>MATCH(F36,IND!$D$29:$D$137,0)</f>
        <v>52</v>
      </c>
      <c r="F36" t="str">
        <f t="shared" si="0"/>
        <v>IMIK</v>
      </c>
      <c r="G36" s="107">
        <f ca="1">OFFSET(IND!P$28,$E36,0)</f>
        <v>1.54836715990045</v>
      </c>
      <c r="H36" s="107">
        <f ca="1">OFFSET(IND!Q$28,$E36,0)</f>
        <v>1.5436659278823224</v>
      </c>
      <c r="I36" s="107">
        <f ca="1">OFFSET(IND!R$28,$E36,0)</f>
        <v>1.5279621523849098</v>
      </c>
      <c r="J36" s="175">
        <f ca="1">OFFSET(IND!S$28,$E36,0)</f>
        <v>1.4707500818082153</v>
      </c>
      <c r="K36" s="107">
        <f ca="1">OFFSET(IND!T$28,$E36,0)</f>
        <v>1.6422837000619317</v>
      </c>
      <c r="L36" s="107">
        <f ca="1">OFFSET(IND!U$28,$E36,0)</f>
        <v>1.6653868019867628</v>
      </c>
      <c r="M36" s="107">
        <f ca="1">OFFSET(IND!V$28,$E36,0)</f>
        <v>1.6604298460164491</v>
      </c>
      <c r="N36" s="107">
        <f ca="1">OFFSET(IND!W$28,$E36,0)</f>
        <v>1.6686635376065835</v>
      </c>
      <c r="O36" s="175">
        <f ca="1">OFFSET(IND!X$28,$E36,0)</f>
        <v>1.6785561529746553</v>
      </c>
      <c r="P36" s="107">
        <f ca="1">OFFSET(IND!Y$28,$E36,0)</f>
        <v>1.7020559391163008</v>
      </c>
      <c r="Q36" s="107">
        <f ca="1">OFFSET(IND!Z$28,$E36,0)</f>
        <v>1.7292888341421617</v>
      </c>
      <c r="R36" s="107">
        <f ca="1">OFFSET(IND!AA$28,$E36,0)</f>
        <v>1.7604160331567211</v>
      </c>
      <c r="S36" s="107">
        <f ca="1">OFFSET(IND!AB$28,$E36,0)</f>
        <v>1.7992010301517125</v>
      </c>
      <c r="T36" s="107">
        <f ca="1">OFFSET(IND!AC$28,$E36,0)</f>
        <v>1.8463731206288121</v>
      </c>
      <c r="U36" s="107">
        <f ca="1">OFFSET(IND!AD$28,$E36,0)</f>
        <v>1.9006166388465837</v>
      </c>
      <c r="V36" s="107">
        <f ca="1">OFFSET(IND!AE$28,$E36,0)</f>
        <v>1.9577825103672137</v>
      </c>
      <c r="W36" s="107">
        <f ca="1">OFFSET(IND!AF$28,$E36,0)</f>
        <v>2.0184301199272316</v>
      </c>
      <c r="X36" s="107">
        <f ca="1">OFFSET(IND!AG$28,$E36,0)</f>
        <v>2.0877953398687321</v>
      </c>
      <c r="Y36" s="107">
        <f ca="1">OFFSET(IND!AH$28,$E36,0)</f>
        <v>2.1612955357691748</v>
      </c>
      <c r="Z36" s="107">
        <f ca="1">OFFSET(IND!AI$28,$E36,0)</f>
        <v>2.2391961091326156</v>
      </c>
      <c r="AA36" s="107">
        <f ca="1">OFFSET(IND!AJ$28,$E36,0)</f>
        <v>2.3220620804603698</v>
      </c>
      <c r="AB36" s="107">
        <f ca="1">OFFSET(IND!AK$28,$E36,0)</f>
        <v>2.4088048996280711</v>
      </c>
      <c r="AC36" s="107">
        <f ca="1">OFFSET(IND!AL$28,$E36,0)</f>
        <v>2.4968840730721555</v>
      </c>
      <c r="AD36" s="107">
        <f ca="1">OFFSET(IND!AM$28,$E36,0)</f>
        <v>2.5852952531894626</v>
      </c>
      <c r="AE36" s="107">
        <f ca="1">OFFSET(IND!AN$28,$E36,0)</f>
        <v>3.0669555972086067</v>
      </c>
      <c r="AF36" s="107">
        <f ca="1">OFFSET(IND!AO$28,$E36,0)</f>
        <v>3.6474051661550821</v>
      </c>
      <c r="AG36" s="107">
        <f ca="1">OFFSET(IND!AP$28,$E36,0)</f>
        <v>4.2519749397379059</v>
      </c>
      <c r="AH36" s="107">
        <f ca="1">OFFSET(IND!AQ$28,$E36,0)</f>
        <v>4.7439879044358664</v>
      </c>
      <c r="AJ36">
        <f t="shared" ca="1" si="1"/>
        <v>3.0638649716265451</v>
      </c>
    </row>
    <row r="37" spans="1:36">
      <c r="A37" s="26" t="s">
        <v>321</v>
      </c>
      <c r="B37">
        <v>1.594535370916</v>
      </c>
      <c r="C37" t="s">
        <v>731</v>
      </c>
      <c r="D37" t="s">
        <v>272</v>
      </c>
      <c r="E37" s="110">
        <f>MATCH(F37,IND!$D$29:$D$137,0)</f>
        <v>54</v>
      </c>
      <c r="F37" t="str">
        <f t="shared" si="0"/>
        <v>IMIL</v>
      </c>
      <c r="G37" s="107">
        <f ca="1">OFFSET(IND!P$28,$E37,0)</f>
        <v>1.0451478329328101</v>
      </c>
      <c r="H37" s="107">
        <f ca="1">OFFSET(IND!Q$28,$E37,0)</f>
        <v>1.0419745013205739</v>
      </c>
      <c r="I37" s="107">
        <f ca="1">OFFSET(IND!R$28,$E37,0)</f>
        <v>1.0313744528598203</v>
      </c>
      <c r="J37" s="175">
        <f ca="1">OFFSET(IND!S$28,$E37,0)</f>
        <v>0.99275630522055125</v>
      </c>
      <c r="K37" s="107">
        <f ca="1">OFFSET(IND!T$28,$E37,0)</f>
        <v>1.1085414975418104</v>
      </c>
      <c r="L37" s="107">
        <f ca="1">OFFSET(IND!U$28,$E37,0)</f>
        <v>1.1241360913410716</v>
      </c>
      <c r="M37" s="107">
        <f ca="1">OFFSET(IND!V$28,$E37,0)</f>
        <v>1.1207901460611098</v>
      </c>
      <c r="N37" s="107">
        <f ca="1">OFFSET(IND!W$28,$E37,0)</f>
        <v>1.1263478878844506</v>
      </c>
      <c r="O37" s="175">
        <f ca="1">OFFSET(IND!X$28,$E37,0)</f>
        <v>1.133025403257899</v>
      </c>
      <c r="P37" s="107">
        <f ca="1">OFFSET(IND!Y$28,$E37,0)</f>
        <v>1.1488877589035098</v>
      </c>
      <c r="Q37" s="107">
        <f ca="1">OFFSET(IND!Z$28,$E37,0)</f>
        <v>1.167269963045966</v>
      </c>
      <c r="R37" s="107">
        <f ca="1">OFFSET(IND!AA$28,$E37,0)</f>
        <v>1.1882808223807937</v>
      </c>
      <c r="S37" s="107">
        <f ca="1">OFFSET(IND!AB$28,$E37,0)</f>
        <v>1.2144606953524131</v>
      </c>
      <c r="T37" s="107">
        <f ca="1">OFFSET(IND!AC$28,$E37,0)</f>
        <v>1.2463018564244555</v>
      </c>
      <c r="U37" s="107">
        <f ca="1">OFFSET(IND!AD$28,$E37,0)</f>
        <v>1.2829162312214515</v>
      </c>
      <c r="V37" s="107">
        <f ca="1">OFFSET(IND!AE$28,$E37,0)</f>
        <v>1.321503194497877</v>
      </c>
      <c r="W37" s="107">
        <f ca="1">OFFSET(IND!AF$28,$E37,0)</f>
        <v>1.3624403309508895</v>
      </c>
      <c r="X37" s="107">
        <f ca="1">OFFSET(IND!AG$28,$E37,0)</f>
        <v>1.4092618544114026</v>
      </c>
      <c r="Y37" s="107">
        <f ca="1">OFFSET(IND!AH$28,$E37,0)</f>
        <v>1.4588744866442016</v>
      </c>
      <c r="Z37" s="107">
        <f ca="1">OFFSET(IND!AI$28,$E37,0)</f>
        <v>1.5114573736645245</v>
      </c>
      <c r="AA37" s="107">
        <f ca="1">OFFSET(IND!AJ$28,$E37,0)</f>
        <v>1.5673919043107589</v>
      </c>
      <c r="AB37" s="107">
        <f ca="1">OFFSET(IND!AK$28,$E37,0)</f>
        <v>1.6259433072489577</v>
      </c>
      <c r="AC37" s="107">
        <f ca="1">OFFSET(IND!AL$28,$E37,0)</f>
        <v>1.6853967493237152</v>
      </c>
      <c r="AD37" s="107">
        <f ca="1">OFFSET(IND!AM$28,$E37,0)</f>
        <v>1.7450742959028978</v>
      </c>
      <c r="AE37" s="107">
        <f ca="1">OFFSET(IND!AN$28,$E37,0)</f>
        <v>2.0701950281158217</v>
      </c>
      <c r="AF37" s="107">
        <f ca="1">OFFSET(IND!AO$28,$E37,0)</f>
        <v>2.4619984871546947</v>
      </c>
      <c r="AG37" s="107">
        <f ca="1">OFFSET(IND!AP$28,$E37,0)</f>
        <v>2.8700830843231033</v>
      </c>
      <c r="AH37" s="107">
        <f ca="1">OFFSET(IND!AQ$28,$E37,0)</f>
        <v>3.2021918354942289</v>
      </c>
      <c r="AJ37">
        <f t="shared" ca="1" si="1"/>
        <v>3.0638649716265447</v>
      </c>
    </row>
    <row r="38" spans="1:36">
      <c r="A38" s="26" t="s">
        <v>322</v>
      </c>
      <c r="B38">
        <v>31.93143244434</v>
      </c>
      <c r="C38" t="s">
        <v>731</v>
      </c>
      <c r="D38" t="s">
        <v>272</v>
      </c>
      <c r="E38" s="110">
        <f>MATCH(F38,IND!$D$29:$D$137,0)</f>
        <v>59</v>
      </c>
      <c r="F38" t="str">
        <f t="shared" si="0"/>
        <v>IMIO</v>
      </c>
      <c r="G38" s="107">
        <f ca="1">OFFSET(IND!P$28,$E38,0)</f>
        <v>20.9296501227637</v>
      </c>
      <c r="H38" s="107">
        <f ca="1">OFFSET(IND!Q$28,$E38,0)</f>
        <v>20.866102442450156</v>
      </c>
      <c r="I38" s="107">
        <f ca="1">OFFSET(IND!R$28,$E38,0)</f>
        <v>20.653830744057636</v>
      </c>
      <c r="J38" s="175">
        <f ca="1">OFFSET(IND!S$28,$E38,0)</f>
        <v>19.880481469428183</v>
      </c>
      <c r="K38" s="107">
        <f ca="1">OFFSET(IND!T$28,$E38,0)</f>
        <v>22.199142512699613</v>
      </c>
      <c r="L38" s="107">
        <f ca="1">OFFSET(IND!U$28,$E38,0)</f>
        <v>22.511432680406575</v>
      </c>
      <c r="M38" s="107">
        <f ca="1">OFFSET(IND!V$28,$E38,0)</f>
        <v>22.444428318121286</v>
      </c>
      <c r="N38" s="107">
        <f ca="1">OFFSET(IND!W$28,$E38,0)</f>
        <v>22.555725101379938</v>
      </c>
      <c r="O38" s="175">
        <f ca="1">OFFSET(IND!X$28,$E38,0)</f>
        <v>22.689445955073406</v>
      </c>
      <c r="P38" s="107">
        <f ca="1">OFFSET(IND!Y$28,$E38,0)</f>
        <v>23.007098198444439</v>
      </c>
      <c r="Q38" s="107">
        <f ca="1">OFFSET(IND!Z$28,$E38,0)</f>
        <v>23.37521176961955</v>
      </c>
      <c r="R38" s="107">
        <f ca="1">OFFSET(IND!AA$28,$E38,0)</f>
        <v>23.795965581472707</v>
      </c>
      <c r="S38" s="107">
        <f ca="1">OFFSET(IND!AB$28,$E38,0)</f>
        <v>24.320231684591171</v>
      </c>
      <c r="T38" s="107">
        <f ca="1">OFFSET(IND!AC$28,$E38,0)</f>
        <v>24.957868141120336</v>
      </c>
      <c r="U38" s="107">
        <f ca="1">OFFSET(IND!AD$28,$E38,0)</f>
        <v>25.691090781801186</v>
      </c>
      <c r="V38" s="107">
        <f ca="1">OFFSET(IND!AE$28,$E38,0)</f>
        <v>26.46381557271355</v>
      </c>
      <c r="W38" s="107">
        <f ca="1">OFFSET(IND!AF$28,$E38,0)</f>
        <v>27.283603851454082</v>
      </c>
      <c r="X38" s="107">
        <f ca="1">OFFSET(IND!AG$28,$E38,0)</f>
        <v>28.221230159775875</v>
      </c>
      <c r="Y38" s="107">
        <f ca="1">OFFSET(IND!AH$28,$E38,0)</f>
        <v>29.214749929498812</v>
      </c>
      <c r="Z38" s="107">
        <f ca="1">OFFSET(IND!AI$28,$E38,0)</f>
        <v>30.267750656383466</v>
      </c>
      <c r="AA38" s="107">
        <f ca="1">OFFSET(IND!AJ$28,$E38,0)</f>
        <v>31.387869858010276</v>
      </c>
      <c r="AB38" s="107">
        <f ca="1">OFFSET(IND!AK$28,$E38,0)</f>
        <v>32.560393341367337</v>
      </c>
      <c r="AC38" s="107">
        <f ca="1">OFFSET(IND!AL$28,$E38,0)</f>
        <v>33.750980645870378</v>
      </c>
      <c r="AD38" s="107">
        <f ca="1">OFFSET(IND!AM$28,$E38,0)</f>
        <v>34.946055764174261</v>
      </c>
      <c r="AE38" s="107">
        <f ca="1">OFFSET(IND!AN$28,$E38,0)</f>
        <v>41.456774112772422</v>
      </c>
      <c r="AF38" s="107">
        <f ca="1">OFFSET(IND!AO$28,$E38,0)</f>
        <v>49.302850099516945</v>
      </c>
      <c r="AG38" s="107">
        <f ca="1">OFFSET(IND!AP$28,$E38,0)</f>
        <v>57.474964675171279</v>
      </c>
      <c r="AH38" s="107">
        <f ca="1">OFFSET(IND!AQ$28,$E38,0)</f>
        <v>64.125621879534933</v>
      </c>
      <c r="AJ38">
        <f t="shared" ca="1" si="1"/>
        <v>3.0638649716265456</v>
      </c>
    </row>
    <row r="39" spans="1:36">
      <c r="A39" s="26" t="s">
        <v>323</v>
      </c>
      <c r="B39">
        <v>16.901755910559999</v>
      </c>
      <c r="C39" t="s">
        <v>731</v>
      </c>
      <c r="D39" t="s">
        <v>272</v>
      </c>
      <c r="E39" s="110">
        <f>MATCH(F39,IND!$D$29:$D$137,0)</f>
        <v>57</v>
      </c>
      <c r="F39" t="str">
        <f t="shared" si="0"/>
        <v>IMIP</v>
      </c>
      <c r="G39" s="107">
        <f ca="1">OFFSET(IND!P$28,$E39,0)</f>
        <v>11.078357924751099</v>
      </c>
      <c r="H39" s="107">
        <f ca="1">OFFSET(IND!Q$28,$E39,0)</f>
        <v>11.044721244554738</v>
      </c>
      <c r="I39" s="107">
        <f ca="1">OFFSET(IND!R$28,$E39,0)</f>
        <v>10.932362851638773</v>
      </c>
      <c r="J39" s="175">
        <f ca="1">OFFSET(IND!S$28,$E39,0)</f>
        <v>10.523018213054799</v>
      </c>
      <c r="K39" s="107">
        <f ca="1">OFFSET(IND!T$28,$E39,0)</f>
        <v>11.750318086338385</v>
      </c>
      <c r="L39" s="107">
        <f ca="1">OFFSET(IND!U$28,$E39,0)</f>
        <v>11.915617660576153</v>
      </c>
      <c r="M39" s="107">
        <f ca="1">OFFSET(IND!V$28,$E39,0)</f>
        <v>11.880151310036984</v>
      </c>
      <c r="N39" s="107">
        <f ca="1">OFFSET(IND!W$28,$E39,0)</f>
        <v>11.93906226141843</v>
      </c>
      <c r="O39" s="175">
        <f ca="1">OFFSET(IND!X$28,$E39,0)</f>
        <v>12.009842588396198</v>
      </c>
      <c r="P39" s="107">
        <f ca="1">OFFSET(IND!Y$28,$E39,0)</f>
        <v>12.177980384633749</v>
      </c>
      <c r="Q39" s="107">
        <f ca="1">OFFSET(IND!Z$28,$E39,0)</f>
        <v>12.372828070787889</v>
      </c>
      <c r="R39" s="107">
        <f ca="1">OFFSET(IND!AA$28,$E39,0)</f>
        <v>12.595538976062075</v>
      </c>
      <c r="S39" s="107">
        <f ca="1">OFFSET(IND!AB$28,$E39,0)</f>
        <v>12.873040391713733</v>
      </c>
      <c r="T39" s="107">
        <f ca="1">OFFSET(IND!AC$28,$E39,0)</f>
        <v>13.210550328567246</v>
      </c>
      <c r="U39" s="107">
        <f ca="1">OFFSET(IND!AD$28,$E39,0)</f>
        <v>13.598655375921044</v>
      </c>
      <c r="V39" s="107">
        <f ca="1">OFFSET(IND!AE$28,$E39,0)</f>
        <v>14.00766946649798</v>
      </c>
      <c r="W39" s="107">
        <f ca="1">OFFSET(IND!AF$28,$E39,0)</f>
        <v>14.44159492254397</v>
      </c>
      <c r="X39" s="107">
        <f ca="1">OFFSET(IND!AG$28,$E39,0)</f>
        <v>14.937893703571097</v>
      </c>
      <c r="Y39" s="107">
        <f ca="1">OFFSET(IND!AH$28,$E39,0)</f>
        <v>15.463777679163021</v>
      </c>
      <c r="Z39" s="107">
        <f ca="1">OFFSET(IND!AI$28,$E39,0)</f>
        <v>16.02114576123925</v>
      </c>
      <c r="AA39" s="107">
        <f ca="1">OFFSET(IND!AJ$28,$E39,0)</f>
        <v>16.614040595181638</v>
      </c>
      <c r="AB39" s="107">
        <f ca="1">OFFSET(IND!AK$28,$E39,0)</f>
        <v>17.234673751857176</v>
      </c>
      <c r="AC39" s="107">
        <f ca="1">OFFSET(IND!AL$28,$E39,0)</f>
        <v>17.864868342907879</v>
      </c>
      <c r="AD39" s="107">
        <f ca="1">OFFSET(IND!AM$28,$E39,0)</f>
        <v>18.497438396868557</v>
      </c>
      <c r="AE39" s="107">
        <f ca="1">OFFSET(IND!AN$28,$E39,0)</f>
        <v>21.943653110919904</v>
      </c>
      <c r="AF39" s="107">
        <f ca="1">OFFSET(IND!AO$28,$E39,0)</f>
        <v>26.096691388010449</v>
      </c>
      <c r="AG39" s="107">
        <f ca="1">OFFSET(IND!AP$28,$E39,0)</f>
        <v>30.42230647188169</v>
      </c>
      <c r="AH39" s="107">
        <f ca="1">OFFSET(IND!AQ$28,$E39,0)</f>
        <v>33.942592788786257</v>
      </c>
      <c r="AJ39">
        <f t="shared" ca="1" si="1"/>
        <v>3.0638649716265469</v>
      </c>
    </row>
    <row r="40" spans="1:36">
      <c r="A40" s="26" t="s">
        <v>324</v>
      </c>
      <c r="B40">
        <v>28.149155918999998</v>
      </c>
      <c r="C40" t="s">
        <v>731</v>
      </c>
      <c r="D40" t="s">
        <v>272</v>
      </c>
      <c r="E40" s="110">
        <f>MATCH(F40,IND!$D$29:$D$137,0)</f>
        <v>62</v>
      </c>
      <c r="F40" t="str">
        <f t="shared" si="0"/>
        <v>IMIR</v>
      </c>
      <c r="G40" s="107">
        <f ca="1">OFFSET(IND!P$28,$E40,0)</f>
        <v>25.406351025250501</v>
      </c>
      <c r="H40" s="107">
        <f ca="1">OFFSET(IND!Q$28,$E40,0)</f>
        <v>25.329210955377555</v>
      </c>
      <c r="I40" s="107">
        <f ca="1">OFFSET(IND!R$28,$E40,0)</f>
        <v>25.071535874788374</v>
      </c>
      <c r="J40" s="175">
        <f ca="1">OFFSET(IND!S$28,$E40,0)</f>
        <v>24.132772779317943</v>
      </c>
      <c r="K40" s="107">
        <f ca="1">OFFSET(IND!T$28,$E40,0)</f>
        <v>26.94737866276062</v>
      </c>
      <c r="L40" s="107">
        <f ca="1">OFFSET(IND!U$28,$E40,0)</f>
        <v>27.326465440416211</v>
      </c>
      <c r="M40" s="107">
        <f ca="1">OFFSET(IND!V$28,$E40,0)</f>
        <v>27.245129329279237</v>
      </c>
      <c r="N40" s="107">
        <f ca="1">OFFSET(IND!W$28,$E40,0)</f>
        <v>27.380231690134046</v>
      </c>
      <c r="O40" s="175">
        <f ca="1">OFFSET(IND!X$28,$E40,0)</f>
        <v>27.542554468030715</v>
      </c>
      <c r="P40" s="107">
        <f ca="1">OFFSET(IND!Y$28,$E40,0)</f>
        <v>27.928150230583153</v>
      </c>
      <c r="Q40" s="107">
        <f ca="1">OFFSET(IND!Z$28,$E40,0)</f>
        <v>28.375000634272485</v>
      </c>
      <c r="R40" s="107">
        <f ca="1">OFFSET(IND!AA$28,$E40,0)</f>
        <v>28.885750645689395</v>
      </c>
      <c r="S40" s="107">
        <f ca="1">OFFSET(IND!AB$28,$E40,0)</f>
        <v>29.52215347938899</v>
      </c>
      <c r="T40" s="107">
        <f ca="1">OFFSET(IND!AC$28,$E40,0)</f>
        <v>30.296175765765256</v>
      </c>
      <c r="U40" s="107">
        <f ca="1">OFFSET(IND!AD$28,$E40,0)</f>
        <v>31.186229430281028</v>
      </c>
      <c r="V40" s="107">
        <f ca="1">OFFSET(IND!AE$28,$E40,0)</f>
        <v>32.124234469480434</v>
      </c>
      <c r="W40" s="107">
        <f ca="1">OFFSET(IND!AF$28,$E40,0)</f>
        <v>33.119369536426198</v>
      </c>
      <c r="X40" s="107">
        <f ca="1">OFFSET(IND!AG$28,$E40,0)</f>
        <v>34.257547335864139</v>
      </c>
      <c r="Y40" s="107">
        <f ca="1">OFFSET(IND!AH$28,$E40,0)</f>
        <v>35.463573804154372</v>
      </c>
      <c r="Z40" s="107">
        <f ca="1">OFFSET(IND!AI$28,$E40,0)</f>
        <v>36.741803776473795</v>
      </c>
      <c r="AA40" s="107">
        <f ca="1">OFFSET(IND!AJ$28,$E40,0)</f>
        <v>38.101508380216892</v>
      </c>
      <c r="AB40" s="107">
        <f ca="1">OFFSET(IND!AK$28,$E40,0)</f>
        <v>39.524826162826116</v>
      </c>
      <c r="AC40" s="107">
        <f ca="1">OFFSET(IND!AL$28,$E40,0)</f>
        <v>40.970071487377048</v>
      </c>
      <c r="AD40" s="107">
        <f ca="1">OFFSET(IND!AM$28,$E40,0)</f>
        <v>42.420764536667349</v>
      </c>
      <c r="AE40" s="107">
        <f ca="1">OFFSET(IND!AN$28,$E40,0)</f>
        <v>50.324078487009764</v>
      </c>
      <c r="AF40" s="107">
        <f ca="1">OFFSET(IND!AO$28,$E40,0)</f>
        <v>59.848373423656213</v>
      </c>
      <c r="AG40" s="107">
        <f ca="1">OFFSET(IND!AP$28,$E40,0)</f>
        <v>69.768444247096426</v>
      </c>
      <c r="AH40" s="107">
        <f ca="1">OFFSET(IND!AQ$28,$E40,0)</f>
        <v>77.84162896311318</v>
      </c>
      <c r="AJ40">
        <f t="shared" ca="1" si="1"/>
        <v>3.0638649716265456</v>
      </c>
    </row>
    <row r="41" spans="1:36">
      <c r="A41" s="26" t="s">
        <v>325</v>
      </c>
      <c r="B41">
        <v>5.2585839407999997E-2</v>
      </c>
      <c r="C41" t="s">
        <v>731</v>
      </c>
      <c r="D41" t="s">
        <v>272</v>
      </c>
      <c r="E41" s="110">
        <f>MATCH(F41,IND!$D$29:$D$137,0)</f>
        <v>61</v>
      </c>
      <c r="F41" t="str">
        <f t="shared" si="0"/>
        <v>IMIS</v>
      </c>
      <c r="G41" s="107">
        <f ca="1">OFFSET(IND!P$28,$E41,0)</f>
        <v>25.233177191199999</v>
      </c>
      <c r="H41" s="107">
        <f ca="1">OFFSET(IND!Q$28,$E41,0)</f>
        <v>25.156562920629973</v>
      </c>
      <c r="I41" s="107">
        <f ca="1">OFFSET(IND!R$28,$E41,0)</f>
        <v>24.900644195433998</v>
      </c>
      <c r="J41" s="175">
        <f ca="1">OFFSET(IND!S$28,$E41,0)</f>
        <v>23.968279862396869</v>
      </c>
      <c r="K41" s="107">
        <f ca="1">OFFSET(IND!T$28,$E41,0)</f>
        <v>26.763700932888938</v>
      </c>
      <c r="L41" s="107">
        <f ca="1">OFFSET(IND!U$28,$E41,0)</f>
        <v>27.140203793213811</v>
      </c>
      <c r="M41" s="107">
        <f ca="1">OFFSET(IND!V$28,$E41,0)</f>
        <v>27.059422082281667</v>
      </c>
      <c r="N41" s="107">
        <f ca="1">OFFSET(IND!W$28,$E41,0)</f>
        <v>27.193603563400728</v>
      </c>
      <c r="O41" s="175">
        <f ca="1">OFFSET(IND!X$28,$E41,0)</f>
        <v>27.354819922757635</v>
      </c>
      <c r="P41" s="107">
        <f ca="1">OFFSET(IND!Y$28,$E41,0)</f>
        <v>27.737787401676247</v>
      </c>
      <c r="Q41" s="107">
        <f ca="1">OFFSET(IND!Z$28,$E41,0)</f>
        <v>28.181592000103066</v>
      </c>
      <c r="R41" s="107">
        <f ca="1">OFFSET(IND!AA$28,$E41,0)</f>
        <v>28.688860656104929</v>
      </c>
      <c r="S41" s="107">
        <f ca="1">OFFSET(IND!AB$28,$E41,0)</f>
        <v>29.320925664250478</v>
      </c>
      <c r="T41" s="107">
        <f ca="1">OFFSET(IND!AC$28,$E41,0)</f>
        <v>30.089672088428387</v>
      </c>
      <c r="U41" s="107">
        <f ca="1">OFFSET(IND!AD$28,$E41,0)</f>
        <v>30.973659001939982</v>
      </c>
      <c r="V41" s="107">
        <f ca="1">OFFSET(IND!AE$28,$E41,0)</f>
        <v>31.905270445741316</v>
      </c>
      <c r="W41" s="107">
        <f ca="1">OFFSET(IND!AF$28,$E41,0)</f>
        <v>32.89362250969819</v>
      </c>
      <c r="X41" s="107">
        <f ca="1">OFFSET(IND!AG$28,$E41,0)</f>
        <v>34.024042303542807</v>
      </c>
      <c r="Y41" s="107">
        <f ca="1">OFFSET(IND!AH$28,$E41,0)</f>
        <v>35.2218482986422</v>
      </c>
      <c r="Z41" s="107">
        <f ca="1">OFFSET(IND!AI$28,$E41,0)</f>
        <v>36.491365646906132</v>
      </c>
      <c r="AA41" s="107">
        <f ca="1">OFFSET(IND!AJ$28,$E41,0)</f>
        <v>37.841802282212036</v>
      </c>
      <c r="AB41" s="107">
        <f ca="1">OFFSET(IND!AK$28,$E41,0)</f>
        <v>39.255418498577377</v>
      </c>
      <c r="AC41" s="107">
        <f ca="1">OFFSET(IND!AL$28,$E41,0)</f>
        <v>40.690812795180719</v>
      </c>
      <c r="AD41" s="107">
        <f ca="1">OFFSET(IND!AM$28,$E41,0)</f>
        <v>42.131617683942721</v>
      </c>
      <c r="AE41" s="107">
        <f ca="1">OFFSET(IND!AN$28,$E41,0)</f>
        <v>49.98106135684445</v>
      </c>
      <c r="AF41" s="107">
        <f ca="1">OFFSET(IND!AO$28,$E41,0)</f>
        <v>59.440437145157958</v>
      </c>
      <c r="AG41" s="107">
        <f ca="1">OFFSET(IND!AP$28,$E41,0)</f>
        <v>69.292891147243537</v>
      </c>
      <c r="AH41" s="107">
        <f ca="1">OFFSET(IND!AQ$28,$E41,0)</f>
        <v>77.311047718963565</v>
      </c>
      <c r="AJ41">
        <f t="shared" ca="1" si="1"/>
        <v>3.0638649716265447</v>
      </c>
    </row>
    <row r="42" spans="1:36">
      <c r="A42" s="26" t="s">
        <v>326</v>
      </c>
      <c r="B42" t="s">
        <v>370</v>
      </c>
      <c r="C42" t="s">
        <v>731</v>
      </c>
      <c r="D42" t="s">
        <v>272</v>
      </c>
      <c r="E42" s="110">
        <f>MATCH(F42,IND!$D$29:$D$137,0)</f>
        <v>77</v>
      </c>
      <c r="F42" t="str">
        <f t="shared" si="0"/>
        <v>INFA</v>
      </c>
      <c r="G42" s="107">
        <f ca="1">OFFSET(IND!P$28,$E42,0)</f>
        <v>0</v>
      </c>
      <c r="H42" s="107">
        <f ca="1">OFFSET(IND!Q$28,$E42,0)</f>
        <v>0</v>
      </c>
      <c r="I42" s="107">
        <f ca="1">OFFSET(IND!R$28,$E42,0)</f>
        <v>0</v>
      </c>
      <c r="J42" s="175">
        <f ca="1">OFFSET(IND!S$28,$E42,0)</f>
        <v>0</v>
      </c>
      <c r="K42" s="107">
        <f ca="1">OFFSET(IND!T$28,$E42,0)</f>
        <v>0</v>
      </c>
      <c r="L42" s="107">
        <f ca="1">OFFSET(IND!U$28,$E42,0)</f>
        <v>0</v>
      </c>
      <c r="M42" s="107">
        <f ca="1">OFFSET(IND!V$28,$E42,0)</f>
        <v>0</v>
      </c>
      <c r="N42" s="107">
        <f ca="1">OFFSET(IND!W$28,$E42,0)</f>
        <v>0</v>
      </c>
      <c r="O42" s="175">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6" t="s">
        <v>327</v>
      </c>
      <c r="B43" t="s">
        <v>370</v>
      </c>
      <c r="C43" t="s">
        <v>731</v>
      </c>
      <c r="D43" t="s">
        <v>272</v>
      </c>
      <c r="E43" s="110">
        <f>MATCH(F43,IND!$D$29:$D$137,0)</f>
        <v>79</v>
      </c>
      <c r="F43" t="str">
        <f t="shared" si="0"/>
        <v>INFC</v>
      </c>
      <c r="G43" s="107">
        <f ca="1">OFFSET(IND!P$28,$E43,0)</f>
        <v>0</v>
      </c>
      <c r="H43" s="107">
        <f ca="1">OFFSET(IND!Q$28,$E43,0)</f>
        <v>0</v>
      </c>
      <c r="I43" s="107">
        <f ca="1">OFFSET(IND!R$28,$E43,0)</f>
        <v>0</v>
      </c>
      <c r="J43" s="175">
        <f ca="1">OFFSET(IND!S$28,$E43,0)</f>
        <v>0</v>
      </c>
      <c r="K43" s="107">
        <f ca="1">OFFSET(IND!T$28,$E43,0)</f>
        <v>0</v>
      </c>
      <c r="L43" s="107">
        <f ca="1">OFFSET(IND!U$28,$E43,0)</f>
        <v>0</v>
      </c>
      <c r="M43" s="107">
        <f ca="1">OFFSET(IND!V$28,$E43,0)</f>
        <v>0</v>
      </c>
      <c r="N43" s="107">
        <f ca="1">OFFSET(IND!W$28,$E43,0)</f>
        <v>0</v>
      </c>
      <c r="O43" s="175">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6" t="s">
        <v>328</v>
      </c>
      <c r="B44">
        <v>55.015944485879999</v>
      </c>
      <c r="C44" t="s">
        <v>731</v>
      </c>
      <c r="D44" t="s">
        <v>272</v>
      </c>
      <c r="E44" s="110">
        <f>MATCH(F44,IND!$D$29:$D$137,0)</f>
        <v>84</v>
      </c>
      <c r="F44" t="str">
        <f t="shared" si="0"/>
        <v>INFE</v>
      </c>
      <c r="G44" s="107">
        <f ca="1">OFFSET(IND!P$28,$E44,0)</f>
        <v>6.8830524422467798</v>
      </c>
      <c r="H44" s="107">
        <f ca="1">OFFSET(IND!Q$28,$E44,0)</f>
        <v>6.7561504733716884</v>
      </c>
      <c r="I44" s="107">
        <f ca="1">OFFSET(IND!R$28,$E44,0)</f>
        <v>6.4876332638678713</v>
      </c>
      <c r="J44" s="175">
        <f ca="1">OFFSET(IND!S$28,$E44,0)</f>
        <v>6.1156359436919612</v>
      </c>
      <c r="K44" s="107">
        <f ca="1">OFFSET(IND!T$28,$E44,0)</f>
        <v>6.4835142467422093</v>
      </c>
      <c r="L44" s="107">
        <f ca="1">OFFSET(IND!U$28,$E44,0)</f>
        <v>6.5643962382282854</v>
      </c>
      <c r="M44" s="107">
        <f ca="1">OFFSET(IND!V$28,$E44,0)</f>
        <v>6.5198027561290006</v>
      </c>
      <c r="N44" s="107">
        <f ca="1">OFFSET(IND!W$28,$E44,0)</f>
        <v>6.5297135253850094</v>
      </c>
      <c r="O44" s="175">
        <f ca="1">OFFSET(IND!X$28,$E44,0)</f>
        <v>6.5428541900168886</v>
      </c>
      <c r="P44" s="107">
        <f ca="1">OFFSET(IND!Y$28,$E44,0)</f>
        <v>6.6459901300281805</v>
      </c>
      <c r="Q44" s="107">
        <f ca="1">OFFSET(IND!Z$28,$E44,0)</f>
        <v>6.7625875965116933</v>
      </c>
      <c r="R44" s="107">
        <f ca="1">OFFSET(IND!AA$28,$E44,0)</f>
        <v>6.8902677255832137</v>
      </c>
      <c r="S44" s="107">
        <f ca="1">OFFSET(IND!AB$28,$E44,0)</f>
        <v>7.0511520521732516</v>
      </c>
      <c r="T44" s="107">
        <f ca="1">OFFSET(IND!AC$28,$E44,0)</f>
        <v>7.2469322986418501</v>
      </c>
      <c r="U44" s="107">
        <f ca="1">OFFSET(IND!AD$28,$E44,0)</f>
        <v>7.4787240140717861</v>
      </c>
      <c r="V44" s="107">
        <f ca="1">OFFSET(IND!AE$28,$E44,0)</f>
        <v>7.7209211219973275</v>
      </c>
      <c r="W44" s="107">
        <f ca="1">OFFSET(IND!AF$28,$E44,0)</f>
        <v>7.9844197175106029</v>
      </c>
      <c r="X44" s="107">
        <f ca="1">OFFSET(IND!AG$28,$E44,0)</f>
        <v>8.2797600770124493</v>
      </c>
      <c r="Y44" s="107">
        <f ca="1">OFFSET(IND!AH$28,$E44,0)</f>
        <v>8.6005541841106403</v>
      </c>
      <c r="Z44" s="107">
        <f ca="1">OFFSET(IND!AI$28,$E44,0)</f>
        <v>8.9398559955635832</v>
      </c>
      <c r="AA44" s="107">
        <f ca="1">OFFSET(IND!AJ$28,$E44,0)</f>
        <v>9.2956026045134532</v>
      </c>
      <c r="AB44" s="107">
        <f ca="1">OFFSET(IND!AK$28,$E44,0)</f>
        <v>9.6725588793257558</v>
      </c>
      <c r="AC44" s="107">
        <f ca="1">OFFSET(IND!AL$28,$E44,0)</f>
        <v>10.055163936807485</v>
      </c>
      <c r="AD44" s="107">
        <f ca="1">OFFSET(IND!AM$28,$E44,0)</f>
        <v>10.439357858681838</v>
      </c>
      <c r="AE44" s="107">
        <f ca="1">OFFSET(IND!AN$28,$E44,0)</f>
        <v>12.502233863496171</v>
      </c>
      <c r="AF44" s="107">
        <f ca="1">OFFSET(IND!AO$28,$E44,0)</f>
        <v>14.982321955850569</v>
      </c>
      <c r="AG44" s="107">
        <f ca="1">OFFSET(IND!AP$28,$E44,0)</f>
        <v>17.563342719423574</v>
      </c>
      <c r="AH44" s="107">
        <f ca="1">OFFSET(IND!AQ$28,$E44,0)</f>
        <v>19.667091121444127</v>
      </c>
      <c r="AJ44">
        <f t="shared" ca="1" si="1"/>
        <v>2.8573211211833156</v>
      </c>
    </row>
    <row r="45" spans="1:36">
      <c r="A45" s="26" t="s">
        <v>329</v>
      </c>
      <c r="B45" t="s">
        <v>370</v>
      </c>
      <c r="C45" t="s">
        <v>731</v>
      </c>
      <c r="D45" t="s">
        <v>272</v>
      </c>
      <c r="E45" s="110">
        <f>MATCH(F45,IND!$D$29:$D$137,0)</f>
        <v>82</v>
      </c>
      <c r="F45" t="str">
        <f t="shared" si="0"/>
        <v>INFF</v>
      </c>
      <c r="G45" s="107">
        <f ca="1">OFFSET(IND!P$28,$E45,0)</f>
        <v>0</v>
      </c>
      <c r="H45" s="107">
        <f ca="1">OFFSET(IND!Q$28,$E45,0)</f>
        <v>0</v>
      </c>
      <c r="I45" s="107">
        <f ca="1">OFFSET(IND!R$28,$E45,0)</f>
        <v>0</v>
      </c>
      <c r="J45" s="175">
        <f ca="1">OFFSET(IND!S$28,$E45,0)</f>
        <v>0</v>
      </c>
      <c r="K45" s="107">
        <f ca="1">OFFSET(IND!T$28,$E45,0)</f>
        <v>0</v>
      </c>
      <c r="L45" s="107">
        <f ca="1">OFFSET(IND!U$28,$E45,0)</f>
        <v>0</v>
      </c>
      <c r="M45" s="107">
        <f ca="1">OFFSET(IND!V$28,$E45,0)</f>
        <v>0</v>
      </c>
      <c r="N45" s="107">
        <f ca="1">OFFSET(IND!W$28,$E45,0)</f>
        <v>0</v>
      </c>
      <c r="O45" s="175">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6" t="s">
        <v>330</v>
      </c>
      <c r="B46">
        <v>0.72389400639309998</v>
      </c>
      <c r="C46" t="s">
        <v>731</v>
      </c>
      <c r="D46" t="s">
        <v>272</v>
      </c>
      <c r="E46" s="110">
        <f>MATCH(F46,IND!$D$29:$D$137,0)</f>
        <v>80</v>
      </c>
      <c r="F46" t="str">
        <f t="shared" si="0"/>
        <v>INFH</v>
      </c>
      <c r="G46" s="107">
        <f ca="1">OFFSET(IND!P$28,$E46,0)</f>
        <v>9.0566479503247102E-2</v>
      </c>
      <c r="H46" s="107">
        <f ca="1">OFFSET(IND!Q$28,$E46,0)</f>
        <v>8.8896716754890637E-2</v>
      </c>
      <c r="I46" s="107">
        <f ca="1">OFFSET(IND!R$28,$E46,0)</f>
        <v>8.5363595577208837E-2</v>
      </c>
      <c r="J46" s="175">
        <f ca="1">OFFSET(IND!S$28,$E46,0)</f>
        <v>8.0468893995946852E-2</v>
      </c>
      <c r="K46" s="107">
        <f ca="1">OFFSET(IND!T$28,$E46,0)</f>
        <v>8.5309397983450122E-2</v>
      </c>
      <c r="L46" s="107">
        <f ca="1">OFFSET(IND!U$28,$E46,0)</f>
        <v>8.6373634713530073E-2</v>
      </c>
      <c r="M46" s="107">
        <f ca="1">OFFSET(IND!V$28,$E46,0)</f>
        <v>8.5786878370118433E-2</v>
      </c>
      <c r="N46" s="107">
        <f ca="1">OFFSET(IND!W$28,$E46,0)</f>
        <v>8.5917283228750127E-2</v>
      </c>
      <c r="O46" s="175">
        <f ca="1">OFFSET(IND!X$28,$E46,0)</f>
        <v>8.6090186710748529E-2</v>
      </c>
      <c r="P46" s="107">
        <f ca="1">OFFSET(IND!Y$28,$E46,0)</f>
        <v>8.7447238553002377E-2</v>
      </c>
      <c r="Q46" s="107">
        <f ca="1">OFFSET(IND!Z$28,$E46,0)</f>
        <v>8.8981415743574918E-2</v>
      </c>
      <c r="R46" s="107">
        <f ca="1">OFFSET(IND!AA$28,$E46,0)</f>
        <v>9.0661417441884398E-2</v>
      </c>
      <c r="S46" s="107">
        <f ca="1">OFFSET(IND!AB$28,$E46,0)</f>
        <v>9.2778316475963837E-2</v>
      </c>
      <c r="T46" s="107">
        <f ca="1">OFFSET(IND!AC$28,$E46,0)</f>
        <v>9.5354372350550651E-2</v>
      </c>
      <c r="U46" s="107">
        <f ca="1">OFFSET(IND!AD$28,$E46,0)</f>
        <v>9.8404263343049803E-2</v>
      </c>
      <c r="V46" s="107">
        <f ca="1">OFFSET(IND!AE$28,$E46,0)</f>
        <v>0.10159106739470165</v>
      </c>
      <c r="W46" s="107">
        <f ca="1">OFFSET(IND!AF$28,$E46,0)</f>
        <v>0.10505815417777106</v>
      </c>
      <c r="X46" s="107">
        <f ca="1">OFFSET(IND!AG$28,$E46,0)</f>
        <v>0.10894421153963747</v>
      </c>
      <c r="Y46" s="107">
        <f ca="1">OFFSET(IND!AH$28,$E46,0)</f>
        <v>0.11316518663303472</v>
      </c>
      <c r="Z46" s="107">
        <f ca="1">OFFSET(IND!AI$28,$E46,0)</f>
        <v>0.1176296841521524</v>
      </c>
      <c r="AA46" s="107">
        <f ca="1">OFFSET(IND!AJ$28,$E46,0)</f>
        <v>0.12231056058570333</v>
      </c>
      <c r="AB46" s="107">
        <f ca="1">OFFSET(IND!AK$28,$E46,0)</f>
        <v>0.12727051157007574</v>
      </c>
      <c r="AC46" s="107">
        <f ca="1">OFFSET(IND!AL$28,$E46,0)</f>
        <v>0.13230478864220377</v>
      </c>
      <c r="AD46" s="107">
        <f ca="1">OFFSET(IND!AM$28,$E46,0)</f>
        <v>0.13735997182476103</v>
      </c>
      <c r="AE46" s="107">
        <f ca="1">OFFSET(IND!AN$28,$E46,0)</f>
        <v>0.16450307715126541</v>
      </c>
      <c r="AF46" s="107">
        <f ca="1">OFFSET(IND!AO$28,$E46,0)</f>
        <v>0.19713581520856013</v>
      </c>
      <c r="AG46" s="107">
        <f ca="1">OFFSET(IND!AP$28,$E46,0)</f>
        <v>0.23109661472925758</v>
      </c>
      <c r="AH46" s="107">
        <f ca="1">OFFSET(IND!AQ$28,$E46,0)</f>
        <v>0.25877751475584382</v>
      </c>
      <c r="AJ46">
        <f t="shared" ca="1" si="1"/>
        <v>2.857321121183316</v>
      </c>
    </row>
    <row r="47" spans="1:36">
      <c r="A47" s="26" t="s">
        <v>331</v>
      </c>
      <c r="B47">
        <v>0.80432667377019995</v>
      </c>
      <c r="C47" t="s">
        <v>731</v>
      </c>
      <c r="D47" t="s">
        <v>272</v>
      </c>
      <c r="E47" s="110">
        <f>MATCH(F47,IND!$D$29:$D$137,0)</f>
        <v>76</v>
      </c>
      <c r="F47" t="str">
        <f t="shared" si="0"/>
        <v>INFK</v>
      </c>
      <c r="G47" s="107">
        <f ca="1">OFFSET(IND!P$28,$E47,0)</f>
        <v>0.100629421670275</v>
      </c>
      <c r="H47" s="107">
        <f ca="1">OFFSET(IND!Q$28,$E47,0)</f>
        <v>9.8774129727656701E-2</v>
      </c>
      <c r="I47" s="107">
        <f ca="1">OFFSET(IND!R$28,$E47,0)</f>
        <v>9.4848439530232462E-2</v>
      </c>
      <c r="J47" s="175">
        <f ca="1">OFFSET(IND!S$28,$E47,0)</f>
        <v>8.940988221771913E-2</v>
      </c>
      <c r="K47" s="107">
        <f ca="1">OFFSET(IND!T$28,$E47,0)</f>
        <v>9.4788219981611674E-2</v>
      </c>
      <c r="L47" s="107">
        <f ca="1">OFFSET(IND!U$28,$E47,0)</f>
        <v>9.5970705237256065E-2</v>
      </c>
      <c r="M47" s="107">
        <f ca="1">OFFSET(IND!V$28,$E47,0)</f>
        <v>9.5318753744576462E-2</v>
      </c>
      <c r="N47" s="107">
        <f ca="1">OFFSET(IND!W$28,$E47,0)</f>
        <v>9.5463648031945014E-2</v>
      </c>
      <c r="O47" s="175">
        <f ca="1">OFFSET(IND!X$28,$E47,0)</f>
        <v>9.5655763011943243E-2</v>
      </c>
      <c r="P47" s="107">
        <f ca="1">OFFSET(IND!Y$28,$E47,0)</f>
        <v>9.7163598392225298E-2</v>
      </c>
      <c r="Q47" s="107">
        <f ca="1">OFFSET(IND!Z$28,$E47,0)</f>
        <v>9.8868239715083683E-2</v>
      </c>
      <c r="R47" s="107">
        <f ca="1">OFFSET(IND!AA$28,$E47,0)</f>
        <v>0.10073490826876089</v>
      </c>
      <c r="S47" s="107">
        <f ca="1">OFFSET(IND!AB$28,$E47,0)</f>
        <v>0.10308701830662695</v>
      </c>
      <c r="T47" s="107">
        <f ca="1">OFFSET(IND!AC$28,$E47,0)</f>
        <v>0.10594930261172342</v>
      </c>
      <c r="U47" s="107">
        <f ca="1">OFFSET(IND!AD$28,$E47,0)</f>
        <v>0.10933807038116694</v>
      </c>
      <c r="V47" s="107">
        <f ca="1">OFFSET(IND!AE$28,$E47,0)</f>
        <v>0.11287896377189124</v>
      </c>
      <c r="W47" s="107">
        <f ca="1">OFFSET(IND!AF$28,$E47,0)</f>
        <v>0.11673128241974616</v>
      </c>
      <c r="X47" s="107">
        <f ca="1">OFFSET(IND!AG$28,$E47,0)</f>
        <v>0.12104912393293107</v>
      </c>
      <c r="Y47" s="107">
        <f ca="1">OFFSET(IND!AH$28,$E47,0)</f>
        <v>0.12573909625892804</v>
      </c>
      <c r="Z47" s="107">
        <f ca="1">OFFSET(IND!AI$28,$E47,0)</f>
        <v>0.1306996490579477</v>
      </c>
      <c r="AA47" s="107">
        <f ca="1">OFFSET(IND!AJ$28,$E47,0)</f>
        <v>0.13590062287300431</v>
      </c>
      <c r="AB47" s="107">
        <f ca="1">OFFSET(IND!AK$28,$E47,0)</f>
        <v>0.14141167952230699</v>
      </c>
      <c r="AC47" s="107">
        <f ca="1">OFFSET(IND!AL$28,$E47,0)</f>
        <v>0.14700532071356037</v>
      </c>
      <c r="AD47" s="107">
        <f ca="1">OFFSET(IND!AM$28,$E47,0)</f>
        <v>0.15262219091640181</v>
      </c>
      <c r="AE47" s="107">
        <f ca="1">OFFSET(IND!AN$28,$E47,0)</f>
        <v>0.18278119683474015</v>
      </c>
      <c r="AF47" s="107">
        <f ca="1">OFFSET(IND!AO$28,$E47,0)</f>
        <v>0.21903979467617887</v>
      </c>
      <c r="AG47" s="107">
        <f ca="1">OFFSET(IND!AP$28,$E47,0)</f>
        <v>0.25677401636584285</v>
      </c>
      <c r="AH47" s="107">
        <f ca="1">OFFSET(IND!AQ$28,$E47,0)</f>
        <v>0.28753057195093878</v>
      </c>
      <c r="AJ47">
        <f t="shared" ca="1" si="1"/>
        <v>2.8573211211833156</v>
      </c>
    </row>
    <row r="48" spans="1:36">
      <c r="A48" s="26" t="s">
        <v>332</v>
      </c>
      <c r="B48">
        <v>0.241298002131</v>
      </c>
      <c r="C48" t="s">
        <v>731</v>
      </c>
      <c r="D48" t="s">
        <v>272</v>
      </c>
      <c r="E48" s="110">
        <f>MATCH(F48,IND!$D$29:$D$137,0)</f>
        <v>78</v>
      </c>
      <c r="F48" t="str">
        <f t="shared" si="0"/>
        <v>INFL</v>
      </c>
      <c r="G48" s="107">
        <f ca="1">OFFSET(IND!P$28,$E48,0)</f>
        <v>3.01888265010824E-2</v>
      </c>
      <c r="H48" s="107">
        <f ca="1">OFFSET(IND!Q$28,$E48,0)</f>
        <v>2.9632238918296912E-2</v>
      </c>
      <c r="I48" s="107">
        <f ca="1">OFFSET(IND!R$28,$E48,0)</f>
        <v>2.8454531859069643E-2</v>
      </c>
      <c r="J48" s="175">
        <f ca="1">OFFSET(IND!S$28,$E48,0)</f>
        <v>2.6822964665315648E-2</v>
      </c>
      <c r="K48" s="107">
        <f ca="1">OFFSET(IND!T$28,$E48,0)</f>
        <v>2.8436465994483406E-2</v>
      </c>
      <c r="L48" s="107">
        <f ca="1">OFFSET(IND!U$28,$E48,0)</f>
        <v>2.8791211571176725E-2</v>
      </c>
      <c r="M48" s="107">
        <f ca="1">OFFSET(IND!V$28,$E48,0)</f>
        <v>2.8595626123372842E-2</v>
      </c>
      <c r="N48" s="107">
        <f ca="1">OFFSET(IND!W$28,$E48,0)</f>
        <v>2.8639094409583409E-2</v>
      </c>
      <c r="O48" s="175">
        <f ca="1">OFFSET(IND!X$28,$E48,0)</f>
        <v>2.8696728903582876E-2</v>
      </c>
      <c r="P48" s="107">
        <f ca="1">OFFSET(IND!Y$28,$E48,0)</f>
        <v>2.914907951766749E-2</v>
      </c>
      <c r="Q48" s="107">
        <f ca="1">OFFSET(IND!Z$28,$E48,0)</f>
        <v>2.9660471914525002E-2</v>
      </c>
      <c r="R48" s="107">
        <f ca="1">OFFSET(IND!AA$28,$E48,0)</f>
        <v>3.022047248062816E-2</v>
      </c>
      <c r="S48" s="107">
        <f ca="1">OFFSET(IND!AB$28,$E48,0)</f>
        <v>3.0926105491987977E-2</v>
      </c>
      <c r="T48" s="107">
        <f ca="1">OFFSET(IND!AC$28,$E48,0)</f>
        <v>3.1784790783516918E-2</v>
      </c>
      <c r="U48" s="107">
        <f ca="1">OFFSET(IND!AD$28,$E48,0)</f>
        <v>3.2801421114349971E-2</v>
      </c>
      <c r="V48" s="107">
        <f ca="1">OFFSET(IND!AE$28,$E48,0)</f>
        <v>3.3863689131567259E-2</v>
      </c>
      <c r="W48" s="107">
        <f ca="1">OFFSET(IND!AF$28,$E48,0)</f>
        <v>3.5019384725923731E-2</v>
      </c>
      <c r="X48" s="107">
        <f ca="1">OFFSET(IND!AG$28,$E48,0)</f>
        <v>3.6314737179879202E-2</v>
      </c>
      <c r="Y48" s="107">
        <f ca="1">OFFSET(IND!AH$28,$E48,0)</f>
        <v>3.7721728877678287E-2</v>
      </c>
      <c r="Z48" s="107">
        <f ca="1">OFFSET(IND!AI$28,$E48,0)</f>
        <v>3.9209894717384182E-2</v>
      </c>
      <c r="AA48" s="107">
        <f ca="1">OFFSET(IND!AJ$28,$E48,0)</f>
        <v>4.0770186861901161E-2</v>
      </c>
      <c r="AB48" s="107">
        <f ca="1">OFFSET(IND!AK$28,$E48,0)</f>
        <v>4.2423503856691962E-2</v>
      </c>
      <c r="AC48" s="107">
        <f ca="1">OFFSET(IND!AL$28,$E48,0)</f>
        <v>4.4101596214067972E-2</v>
      </c>
      <c r="AD48" s="107">
        <f ca="1">OFFSET(IND!AM$28,$E48,0)</f>
        <v>4.57866572749204E-2</v>
      </c>
      <c r="AE48" s="107">
        <f ca="1">OFFSET(IND!AN$28,$E48,0)</f>
        <v>5.4834359050421874E-2</v>
      </c>
      <c r="AF48" s="107">
        <f ca="1">OFFSET(IND!AO$28,$E48,0)</f>
        <v>6.5711938402853456E-2</v>
      </c>
      <c r="AG48" s="107">
        <f ca="1">OFFSET(IND!AP$28,$E48,0)</f>
        <v>7.7032204909752613E-2</v>
      </c>
      <c r="AH48" s="107">
        <f ca="1">OFFSET(IND!AQ$28,$E48,0)</f>
        <v>8.6259171585281375E-2</v>
      </c>
      <c r="AJ48">
        <f t="shared" ca="1" si="1"/>
        <v>2.8573211211833165</v>
      </c>
    </row>
    <row r="49" spans="1:36">
      <c r="A49" s="26" t="s">
        <v>333</v>
      </c>
      <c r="B49">
        <v>4.5042293731129996</v>
      </c>
      <c r="C49" t="s">
        <v>731</v>
      </c>
      <c r="D49" t="s">
        <v>272</v>
      </c>
      <c r="E49" s="110">
        <f>MATCH(F49,IND!$D$29:$D$137,0)</f>
        <v>83</v>
      </c>
      <c r="F49" t="str">
        <f t="shared" si="0"/>
        <v>INFO</v>
      </c>
      <c r="G49" s="107">
        <f ca="1">OFFSET(IND!P$28,$E49,0)</f>
        <v>0.56352476135353802</v>
      </c>
      <c r="H49" s="107">
        <f ca="1">OFFSET(IND!Q$28,$E49,0)</f>
        <v>0.55313512647487562</v>
      </c>
      <c r="I49" s="107">
        <f ca="1">OFFSET(IND!R$28,$E49,0)</f>
        <v>0.53115126136929991</v>
      </c>
      <c r="J49" s="175">
        <f ca="1">OFFSET(IND!S$28,$E49,0)</f>
        <v>0.50069534041922537</v>
      </c>
      <c r="K49" s="107">
        <f ca="1">OFFSET(IND!T$28,$E49,0)</f>
        <v>0.53081403189702348</v>
      </c>
      <c r="L49" s="107">
        <f ca="1">OFFSET(IND!U$28,$E49,0)</f>
        <v>0.53743594932863203</v>
      </c>
      <c r="M49" s="107">
        <f ca="1">OFFSET(IND!V$28,$E49,0)</f>
        <v>0.53378502096962621</v>
      </c>
      <c r="N49" s="107">
        <f ca="1">OFFSET(IND!W$28,$E49,0)</f>
        <v>0.53459642897889015</v>
      </c>
      <c r="O49" s="175">
        <f ca="1">OFFSET(IND!X$28,$E49,0)</f>
        <v>0.53567227286688024</v>
      </c>
      <c r="P49" s="107">
        <f ca="1">OFFSET(IND!Y$28,$E49,0)</f>
        <v>0.54411615099645971</v>
      </c>
      <c r="Q49" s="107">
        <f ca="1">OFFSET(IND!Z$28,$E49,0)</f>
        <v>0.55366214240446665</v>
      </c>
      <c r="R49" s="107">
        <f ca="1">OFFSET(IND!AA$28,$E49,0)</f>
        <v>0.56411548630505892</v>
      </c>
      <c r="S49" s="107">
        <f ca="1">OFFSET(IND!AB$28,$E49,0)</f>
        <v>0.5772873025171088</v>
      </c>
      <c r="T49" s="107">
        <f ca="1">OFFSET(IND!AC$28,$E49,0)</f>
        <v>0.59331609462564905</v>
      </c>
      <c r="U49" s="107">
        <f ca="1">OFFSET(IND!AD$28,$E49,0)</f>
        <v>0.61229319413453265</v>
      </c>
      <c r="V49" s="107">
        <f ca="1">OFFSET(IND!AE$28,$E49,0)</f>
        <v>0.63212219712258866</v>
      </c>
      <c r="W49" s="107">
        <f ca="1">OFFSET(IND!AF$28,$E49,0)</f>
        <v>0.65369518155057615</v>
      </c>
      <c r="X49" s="107">
        <f ca="1">OFFSET(IND!AG$28,$E49,0)</f>
        <v>0.6778750940244116</v>
      </c>
      <c r="Y49" s="107">
        <f ca="1">OFFSET(IND!AH$28,$E49,0)</f>
        <v>0.70413893904999447</v>
      </c>
      <c r="Z49" s="107">
        <f ca="1">OFFSET(IND!AI$28,$E49,0)</f>
        <v>0.73191803472450445</v>
      </c>
      <c r="AA49" s="107">
        <f ca="1">OFFSET(IND!AJ$28,$E49,0)</f>
        <v>0.76104348808882138</v>
      </c>
      <c r="AB49" s="107">
        <f ca="1">OFFSET(IND!AK$28,$E49,0)</f>
        <v>0.79190540532491638</v>
      </c>
      <c r="AC49" s="107">
        <f ca="1">OFFSET(IND!AL$28,$E49,0)</f>
        <v>0.82322979599593527</v>
      </c>
      <c r="AD49" s="107">
        <f ca="1">OFFSET(IND!AM$28,$E49,0)</f>
        <v>0.85468426913184725</v>
      </c>
      <c r="AE49" s="107">
        <f ca="1">OFFSET(IND!AN$28,$E49,0)</f>
        <v>1.0235747022745414</v>
      </c>
      <c r="AF49" s="107">
        <f ca="1">OFFSET(IND!AO$28,$E49,0)</f>
        <v>1.2266228501865977</v>
      </c>
      <c r="AG49" s="107">
        <f ca="1">OFFSET(IND!AP$28,$E49,0)</f>
        <v>1.4379344916487153</v>
      </c>
      <c r="AH49" s="107">
        <f ca="1">OFFSET(IND!AQ$28,$E49,0)</f>
        <v>1.6101712029252522</v>
      </c>
      <c r="AJ49">
        <f t="shared" ca="1" si="1"/>
        <v>2.8573211211833165</v>
      </c>
    </row>
    <row r="50" spans="1:36">
      <c r="A50" s="26" t="s">
        <v>334</v>
      </c>
      <c r="B50" t="s">
        <v>370</v>
      </c>
      <c r="C50" t="s">
        <v>731</v>
      </c>
      <c r="D50" t="s">
        <v>272</v>
      </c>
      <c r="E50" s="110">
        <f>MATCH(F50,IND!$D$29:$D$137,0)</f>
        <v>81</v>
      </c>
      <c r="F50" t="str">
        <f t="shared" si="0"/>
        <v>INFP</v>
      </c>
      <c r="G50" s="107">
        <f ca="1">OFFSET(IND!P$28,$E50,0)</f>
        <v>0</v>
      </c>
      <c r="H50" s="107">
        <f ca="1">OFFSET(IND!Q$28,$E50,0)</f>
        <v>0</v>
      </c>
      <c r="I50" s="107">
        <f ca="1">OFFSET(IND!R$28,$E50,0)</f>
        <v>0</v>
      </c>
      <c r="J50" s="175">
        <f ca="1">OFFSET(IND!S$28,$E50,0)</f>
        <v>0</v>
      </c>
      <c r="K50" s="107">
        <f ca="1">OFFSET(IND!T$28,$E50,0)</f>
        <v>0</v>
      </c>
      <c r="L50" s="107">
        <f ca="1">OFFSET(IND!U$28,$E50,0)</f>
        <v>0</v>
      </c>
      <c r="M50" s="107">
        <f ca="1">OFFSET(IND!V$28,$E50,0)</f>
        <v>0</v>
      </c>
      <c r="N50" s="107">
        <f ca="1">OFFSET(IND!W$28,$E50,0)</f>
        <v>0</v>
      </c>
      <c r="O50" s="175">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6" t="s">
        <v>335</v>
      </c>
      <c r="B51">
        <v>0.51839999999999997</v>
      </c>
      <c r="C51" t="s">
        <v>731</v>
      </c>
      <c r="D51" t="s">
        <v>272</v>
      </c>
      <c r="E51" s="110">
        <f>MATCH(F51,IND!$D$29:$D$137,0)</f>
        <v>85</v>
      </c>
      <c r="F51" t="str">
        <f t="shared" si="0"/>
        <v>INFS</v>
      </c>
      <c r="G51" s="107">
        <f ca="1">OFFSET(IND!P$28,$E51,0)</f>
        <v>1.9115200000000001</v>
      </c>
      <c r="H51" s="107">
        <f ca="1">OFFSET(IND!Q$28,$E51,0)</f>
        <v>1.8762775470941884</v>
      </c>
      <c r="I51" s="107">
        <f ca="1">OFFSET(IND!R$28,$E51,0)</f>
        <v>1.8017065597862387</v>
      </c>
      <c r="J51" s="175">
        <f ca="1">OFFSET(IND!S$28,$E51,0)</f>
        <v>1.6983976974131745</v>
      </c>
      <c r="K51" s="107">
        <f ca="1">OFFSET(IND!T$28,$E51,0)</f>
        <v>1.8005626510797295</v>
      </c>
      <c r="L51" s="107">
        <f ca="1">OFFSET(IND!U$28,$E51,0)</f>
        <v>1.8230247121584036</v>
      </c>
      <c r="M51" s="107">
        <f ca="1">OFFSET(IND!V$28,$E51,0)</f>
        <v>1.8106404780387808</v>
      </c>
      <c r="N51" s="107">
        <f ca="1">OFFSET(IND!W$28,$E51,0)</f>
        <v>1.8133928373745849</v>
      </c>
      <c r="O51" s="175">
        <f ca="1">OFFSET(IND!X$28,$E51,0)</f>
        <v>1.8170421838626278</v>
      </c>
      <c r="P51" s="107">
        <f ca="1">OFFSET(IND!Y$28,$E51,0)</f>
        <v>1.845684477918146</v>
      </c>
      <c r="Q51" s="107">
        <f ca="1">OFFSET(IND!Z$28,$E51,0)</f>
        <v>1.8780652262856266</v>
      </c>
      <c r="R51" s="107">
        <f ca="1">OFFSET(IND!AA$28,$E51,0)</f>
        <v>1.9135237851692959</v>
      </c>
      <c r="S51" s="107">
        <f ca="1">OFFSET(IND!AB$28,$E51,0)</f>
        <v>1.9582036144374575</v>
      </c>
      <c r="T51" s="107">
        <f ca="1">OFFSET(IND!AC$28,$E51,0)</f>
        <v>2.0125745290672312</v>
      </c>
      <c r="U51" s="107">
        <f ca="1">OFFSET(IND!AD$28,$E51,0)</f>
        <v>2.076946332652386</v>
      </c>
      <c r="V51" s="107">
        <f ca="1">OFFSET(IND!AE$28,$E51,0)</f>
        <v>2.1442078593698417</v>
      </c>
      <c r="W51" s="107">
        <f ca="1">OFFSET(IND!AF$28,$E51,0)</f>
        <v>2.2173851073309399</v>
      </c>
      <c r="X51" s="107">
        <f ca="1">OFFSET(IND!AG$28,$E51,0)</f>
        <v>2.2994052588163307</v>
      </c>
      <c r="Y51" s="107">
        <f ca="1">OFFSET(IND!AH$28,$E51,0)</f>
        <v>2.388494272265743</v>
      </c>
      <c r="Z51" s="107">
        <f ca="1">OFFSET(IND!AI$28,$E51,0)</f>
        <v>2.4827231342525651</v>
      </c>
      <c r="AA51" s="107">
        <f ca="1">OFFSET(IND!AJ$28,$E51,0)</f>
        <v>2.5815189466694588</v>
      </c>
      <c r="AB51" s="107">
        <f ca="1">OFFSET(IND!AK$28,$E51,0)</f>
        <v>2.6862049801517207</v>
      </c>
      <c r="AC51" s="107">
        <f ca="1">OFFSET(IND!AL$28,$E51,0)</f>
        <v>2.7924597596429468</v>
      </c>
      <c r="AD51" s="107">
        <f ca="1">OFFSET(IND!AM$28,$E51,0)</f>
        <v>2.8991557890141166</v>
      </c>
      <c r="AE51" s="107">
        <f ca="1">OFFSET(IND!AN$28,$E51,0)</f>
        <v>3.4720453280389765</v>
      </c>
      <c r="AF51" s="107">
        <f ca="1">OFFSET(IND!AO$28,$E51,0)</f>
        <v>4.1608005031702291</v>
      </c>
      <c r="AG51" s="107">
        <f ca="1">OFFSET(IND!AP$28,$E51,0)</f>
        <v>4.8775860937758138</v>
      </c>
      <c r="AH51" s="107">
        <f ca="1">OFFSET(IND!AQ$28,$E51,0)</f>
        <v>5.4618264695643308</v>
      </c>
      <c r="AJ51">
        <f t="shared" ca="1" si="1"/>
        <v>2.8573211211833152</v>
      </c>
    </row>
    <row r="52" spans="1:36">
      <c r="A52" s="26" t="s">
        <v>336</v>
      </c>
      <c r="B52">
        <v>0.24189876324029999</v>
      </c>
      <c r="C52" t="s">
        <v>731</v>
      </c>
      <c r="D52" t="s">
        <v>272</v>
      </c>
      <c r="E52" s="110">
        <f>MATCH(F52,IND!$D$29:$D$137,0)</f>
        <v>99</v>
      </c>
      <c r="F52" t="str">
        <f t="shared" si="0"/>
        <v>IOTA</v>
      </c>
      <c r="G52" s="107">
        <f ca="1">OFFSET(IND!P$28,$E52,0)</f>
        <v>0.12355272</v>
      </c>
      <c r="H52" s="107">
        <f ca="1">OFFSET(IND!Q$28,$E52,0)</f>
        <v>0.12497625693493029</v>
      </c>
      <c r="I52" s="107">
        <f ca="1">OFFSET(IND!R$28,$E52,0)</f>
        <v>0.12484234548501866</v>
      </c>
      <c r="J52" s="175">
        <f ca="1">OFFSET(IND!S$28,$E52,0)</f>
        <v>0.11580423199500285</v>
      </c>
      <c r="K52" s="107">
        <f ca="1">OFFSET(IND!T$28,$E52,0)</f>
        <v>0.12476308271874542</v>
      </c>
      <c r="L52" s="107">
        <f ca="1">OFFSET(IND!U$28,$E52,0)</f>
        <v>0.12631950508633788</v>
      </c>
      <c r="M52" s="107">
        <f ca="1">OFFSET(IND!V$28,$E52,0)</f>
        <v>0.12546138708364116</v>
      </c>
      <c r="N52" s="107">
        <f ca="1">OFFSET(IND!W$28,$E52,0)</f>
        <v>0.12565210126694315</v>
      </c>
      <c r="O52" s="175">
        <f ca="1">OFFSET(IND!X$28,$E52,0)</f>
        <v>0.12590496873450061</v>
      </c>
      <c r="P52" s="107">
        <f ca="1">OFFSET(IND!Y$28,$E52,0)</f>
        <v>0.1278896266414945</v>
      </c>
      <c r="Q52" s="107">
        <f ca="1">OFFSET(IND!Z$28,$E52,0)</f>
        <v>0.13013332640092484</v>
      </c>
      <c r="R52" s="107">
        <f ca="1">OFFSET(IND!AA$28,$E52,0)</f>
        <v>0.13259029123491042</v>
      </c>
      <c r="S52" s="107">
        <f ca="1">OFFSET(IND!AB$28,$E52,0)</f>
        <v>0.13568620863134218</v>
      </c>
      <c r="T52" s="107">
        <f ca="1">OFFSET(IND!AC$28,$E52,0)</f>
        <v>0.13945363261705052</v>
      </c>
      <c r="U52" s="107">
        <f ca="1">OFFSET(IND!AD$28,$E52,0)</f>
        <v>0.14391402984379154</v>
      </c>
      <c r="V52" s="107">
        <f ca="1">OFFSET(IND!AE$28,$E52,0)</f>
        <v>0.148574659351244</v>
      </c>
      <c r="W52" s="107">
        <f ca="1">OFFSET(IND!AF$28,$E52,0)</f>
        <v>0.15364519607209948</v>
      </c>
      <c r="X52" s="107">
        <f ca="1">OFFSET(IND!AG$28,$E52,0)</f>
        <v>0.15932846787507696</v>
      </c>
      <c r="Y52" s="107">
        <f ca="1">OFFSET(IND!AH$28,$E52,0)</f>
        <v>0.16550154935472178</v>
      </c>
      <c r="Z52" s="107">
        <f ca="1">OFFSET(IND!AI$28,$E52,0)</f>
        <v>0.17203077692450683</v>
      </c>
      <c r="AA52" s="107">
        <f ca="1">OFFSET(IND!AJ$28,$E52,0)</f>
        <v>0.17887645380747622</v>
      </c>
      <c r="AB52" s="107">
        <f ca="1">OFFSET(IND!AK$28,$E52,0)</f>
        <v>0.18613027096680285</v>
      </c>
      <c r="AC52" s="107">
        <f ca="1">OFFSET(IND!AL$28,$E52,0)</f>
        <v>0.19349278836378231</v>
      </c>
      <c r="AD52" s="107">
        <f ca="1">OFFSET(IND!AM$28,$E52,0)</f>
        <v>0.20088588047874667</v>
      </c>
      <c r="AE52" s="107">
        <f ca="1">OFFSET(IND!AN$28,$E52,0)</f>
        <v>0.24058206372635615</v>
      </c>
      <c r="AF52" s="107">
        <f ca="1">OFFSET(IND!AO$28,$E52,0)</f>
        <v>0.28830671181695983</v>
      </c>
      <c r="AG52" s="107">
        <f ca="1">OFFSET(IND!AP$28,$E52,0)</f>
        <v>0.33797362003517845</v>
      </c>
      <c r="AH52" s="107">
        <f ca="1">OFFSET(IND!AQ$28,$E52,0)</f>
        <v>0.37845631597937301</v>
      </c>
      <c r="AJ52">
        <f t="shared" ca="1" si="1"/>
        <v>3.0631160202654626</v>
      </c>
    </row>
    <row r="53" spans="1:36">
      <c r="A53" s="26" t="s">
        <v>337</v>
      </c>
      <c r="B53">
        <v>4.5502640185010002</v>
      </c>
      <c r="C53" t="s">
        <v>731</v>
      </c>
      <c r="D53" t="s">
        <v>272</v>
      </c>
      <c r="E53" s="110">
        <f>MATCH(F53,IND!$D$29:$D$137,0)</f>
        <v>101</v>
      </c>
      <c r="F53" t="str">
        <f t="shared" si="0"/>
        <v>IOTC</v>
      </c>
      <c r="G53" s="107">
        <f ca="1">OFFSET(IND!P$28,$E53,0)</f>
        <v>2.3241024000000001</v>
      </c>
      <c r="H53" s="107">
        <f ca="1">OFFSET(IND!Q$28,$E53,0)</f>
        <v>2.3508800023624583</v>
      </c>
      <c r="I53" s="107">
        <f ca="1">OFFSET(IND!R$28,$E53,0)</f>
        <v>2.3483610459030042</v>
      </c>
      <c r="J53" s="175">
        <f ca="1">OFFSET(IND!S$28,$E53,0)</f>
        <v>2.1783485908666593</v>
      </c>
      <c r="K53" s="107">
        <f ca="1">OFFSET(IND!T$28,$E53,0)</f>
        <v>2.3468700646819816</v>
      </c>
      <c r="L53" s="107">
        <f ca="1">OFFSET(IND!U$28,$E53,0)</f>
        <v>2.3761473234904913</v>
      </c>
      <c r="M53" s="107">
        <f ca="1">OFFSET(IND!V$28,$E53,0)</f>
        <v>2.3600055978404963</v>
      </c>
      <c r="N53" s="107">
        <f ca="1">OFFSET(IND!W$28,$E53,0)</f>
        <v>2.3635930485346308</v>
      </c>
      <c r="O53" s="175">
        <f ca="1">OFFSET(IND!X$28,$E53,0)</f>
        <v>2.3683496406050621</v>
      </c>
      <c r="P53" s="107">
        <f ca="1">OFFSET(IND!Y$28,$E53,0)</f>
        <v>2.4056822724145723</v>
      </c>
      <c r="Q53" s="107">
        <f ca="1">OFFSET(IND!Z$28,$E53,0)</f>
        <v>2.4478876402589345</v>
      </c>
      <c r="R53" s="107">
        <f ca="1">OFFSET(IND!AA$28,$E53,0)</f>
        <v>2.4941046548854153</v>
      </c>
      <c r="S53" s="107">
        <f ca="1">OFFSET(IND!AB$28,$E53,0)</f>
        <v>2.5523407588841684</v>
      </c>
      <c r="T53" s="107">
        <f ca="1">OFFSET(IND!AC$28,$E53,0)</f>
        <v>2.6232083134552235</v>
      </c>
      <c r="U53" s="107">
        <f ca="1">OFFSET(IND!AD$28,$E53,0)</f>
        <v>2.7071111194769939</v>
      </c>
      <c r="V53" s="107">
        <f ca="1">OFFSET(IND!AE$28,$E53,0)</f>
        <v>2.7947804174396862</v>
      </c>
      <c r="W53" s="107">
        <f ca="1">OFFSET(IND!AF$28,$E53,0)</f>
        <v>2.8901603213562357</v>
      </c>
      <c r="X53" s="107">
        <f ca="1">OFFSET(IND!AG$28,$E53,0)</f>
        <v>2.9970661477690599</v>
      </c>
      <c r="Y53" s="107">
        <f ca="1">OFFSET(IND!AH$28,$E53,0)</f>
        <v>3.1131855944492957</v>
      </c>
      <c r="Z53" s="107">
        <f ca="1">OFFSET(IND!AI$28,$E53,0)</f>
        <v>3.2360043673996897</v>
      </c>
      <c r="AA53" s="107">
        <f ca="1">OFFSET(IND!AJ$28,$E53,0)</f>
        <v>3.3647757459119045</v>
      </c>
      <c r="AB53" s="107">
        <f ca="1">OFFSET(IND!AK$28,$E53,0)</f>
        <v>3.501224493209028</v>
      </c>
      <c r="AC53" s="107">
        <f ca="1">OFFSET(IND!AL$28,$E53,0)</f>
        <v>3.6397179586087516</v>
      </c>
      <c r="AD53" s="107">
        <f ca="1">OFFSET(IND!AM$28,$E53,0)</f>
        <v>3.7787865531958214</v>
      </c>
      <c r="AE53" s="107">
        <f ca="1">OFFSET(IND!AN$28,$E53,0)</f>
        <v>4.5254960935168196</v>
      </c>
      <c r="AF53" s="107">
        <f ca="1">OFFSET(IND!AO$28,$E53,0)</f>
        <v>5.4232259789173787</v>
      </c>
      <c r="AG53" s="107">
        <f ca="1">OFFSET(IND!AP$28,$E53,0)</f>
        <v>6.3574909679078404</v>
      </c>
      <c r="AH53" s="107">
        <f ca="1">OFFSET(IND!AQ$28,$E53,0)</f>
        <v>7.1189952941774113</v>
      </c>
      <c r="AJ53">
        <f t="shared" ca="1" si="1"/>
        <v>3.063116020265463</v>
      </c>
    </row>
    <row r="54" spans="1:36">
      <c r="A54" s="26" t="s">
        <v>338</v>
      </c>
      <c r="B54">
        <v>0.43799389606880001</v>
      </c>
      <c r="C54" t="s">
        <v>731</v>
      </c>
      <c r="D54" t="s">
        <v>272</v>
      </c>
      <c r="E54" s="110">
        <f>MATCH(F54,IND!$D$29:$D$137,0)</f>
        <v>106</v>
      </c>
      <c r="F54" t="str">
        <f t="shared" si="0"/>
        <v>IOTE</v>
      </c>
      <c r="G54" s="107">
        <f ca="1">OFFSET(IND!P$28,$E54,0)</f>
        <v>0.22371068159999999</v>
      </c>
      <c r="H54" s="107">
        <f ca="1">OFFSET(IND!Q$28,$E54,0)</f>
        <v>0.22628820816514586</v>
      </c>
      <c r="I54" s="107">
        <f ca="1">OFFSET(IND!R$28,$E54,0)</f>
        <v>0.22604574145349615</v>
      </c>
      <c r="J54" s="175">
        <f ca="1">OFFSET(IND!S$28,$E54,0)</f>
        <v>0.20968088498388876</v>
      </c>
      <c r="K54" s="107">
        <f ca="1">OFFSET(IND!T$28,$E54,0)</f>
        <v>0.22590222435837687</v>
      </c>
      <c r="L54" s="107">
        <f ca="1">OFFSET(IND!U$28,$E54,0)</f>
        <v>0.22872035987746214</v>
      </c>
      <c r="M54" s="107">
        <f ca="1">OFFSET(IND!V$28,$E54,0)</f>
        <v>0.22716660886917583</v>
      </c>
      <c r="N54" s="107">
        <f ca="1">OFFSET(IND!W$28,$E54,0)</f>
        <v>0.22751192542665247</v>
      </c>
      <c r="O54" s="175">
        <f ca="1">OFFSET(IND!X$28,$E54,0)</f>
        <v>0.22796977980267707</v>
      </c>
      <c r="P54" s="107">
        <f ca="1">OFFSET(IND!Y$28,$E54,0)</f>
        <v>0.23156329982487034</v>
      </c>
      <c r="Q54" s="107">
        <f ca="1">OFFSET(IND!Z$28,$E54,0)</f>
        <v>0.23562585387052726</v>
      </c>
      <c r="R54" s="107">
        <f ca="1">OFFSET(IND!AA$28,$E54,0)</f>
        <v>0.24007455623562407</v>
      </c>
      <c r="S54" s="107">
        <f ca="1">OFFSET(IND!AB$28,$E54,0)</f>
        <v>0.24568017779485032</v>
      </c>
      <c r="T54" s="107">
        <f ca="1">OFFSET(IND!AC$28,$E54,0)</f>
        <v>0.25250166248348366</v>
      </c>
      <c r="U54" s="107">
        <f ca="1">OFFSET(IND!AD$28,$E54,0)</f>
        <v>0.26057787888568817</v>
      </c>
      <c r="V54" s="107">
        <f ca="1">OFFSET(IND!AE$28,$E54,0)</f>
        <v>0.26901664578452505</v>
      </c>
      <c r="W54" s="107">
        <f ca="1">OFFSET(IND!AF$28,$E54,0)</f>
        <v>0.27819761101054685</v>
      </c>
      <c r="X54" s="107">
        <f ca="1">OFFSET(IND!AG$28,$E54,0)</f>
        <v>0.28848802476074314</v>
      </c>
      <c r="Y54" s="107">
        <f ca="1">OFFSET(IND!AH$28,$E54,0)</f>
        <v>0.29966531220033721</v>
      </c>
      <c r="Z54" s="107">
        <f ca="1">OFFSET(IND!AI$28,$E54,0)</f>
        <v>0.31148745541141443</v>
      </c>
      <c r="AA54" s="107">
        <f ca="1">OFFSET(IND!AJ$28,$E54,0)</f>
        <v>0.32388257744112325</v>
      </c>
      <c r="AB54" s="107">
        <f ca="1">OFFSET(IND!AK$28,$E54,0)</f>
        <v>0.33701669849418253</v>
      </c>
      <c r="AC54" s="107">
        <f ca="1">OFFSET(IND!AL$28,$E54,0)</f>
        <v>0.3503476375877948</v>
      </c>
      <c r="AD54" s="107">
        <f ca="1">OFFSET(IND!AM$28,$E54,0)</f>
        <v>0.36373393678193849</v>
      </c>
      <c r="AE54" s="107">
        <f ca="1">OFFSET(IND!AN$28,$E54,0)</f>
        <v>0.43560981463587178</v>
      </c>
      <c r="AF54" s="107">
        <f ca="1">OFFSET(IND!AO$28,$E54,0)</f>
        <v>0.52202242905236607</v>
      </c>
      <c r="AG54" s="107">
        <f ca="1">OFFSET(IND!AP$28,$E54,0)</f>
        <v>0.61195179596927674</v>
      </c>
      <c r="AH54" s="107">
        <f ca="1">OFFSET(IND!AQ$28,$E54,0)</f>
        <v>0.68525177271346605</v>
      </c>
      <c r="AJ54">
        <f t="shared" ca="1" si="1"/>
        <v>3.0631160202654626</v>
      </c>
    </row>
    <row r="55" spans="1:36">
      <c r="A55" s="26" t="s">
        <v>339</v>
      </c>
      <c r="B55">
        <v>1.959977536374</v>
      </c>
      <c r="C55" t="s">
        <v>731</v>
      </c>
      <c r="D55" t="s">
        <v>272</v>
      </c>
      <c r="E55" s="110">
        <f>MATCH(F55,IND!$D$29:$D$137,0)</f>
        <v>104</v>
      </c>
      <c r="F55" t="str">
        <f t="shared" si="0"/>
        <v>IOTF</v>
      </c>
      <c r="G55" s="107">
        <f ca="1">OFFSET(IND!P$28,$E55,0)</f>
        <v>1.0010822399999999</v>
      </c>
      <c r="H55" s="107">
        <f ca="1">OFFSET(IND!Q$28,$E55,0)</f>
        <v>1.0126164056868643</v>
      </c>
      <c r="I55" s="107">
        <f ca="1">OFFSET(IND!R$28,$E55,0)</f>
        <v>1.0115313921457687</v>
      </c>
      <c r="J55" s="175">
        <f ca="1">OFFSET(IND!S$28,$E55,0)</f>
        <v>0.93830034633828474</v>
      </c>
      <c r="K55" s="107">
        <f ca="1">OFFSET(IND!T$28,$E55,0)</f>
        <v>1.0108891679388925</v>
      </c>
      <c r="L55" s="107">
        <f ca="1">OFFSET(IND!U$28,$E55,0)</f>
        <v>1.0235000338925968</v>
      </c>
      <c r="M55" s="107">
        <f ca="1">OFFSET(IND!V$28,$E55,0)</f>
        <v>1.0165471582916068</v>
      </c>
      <c r="N55" s="107">
        <f ca="1">OFFSET(IND!W$28,$E55,0)</f>
        <v>1.0180924142909868</v>
      </c>
      <c r="O55" s="175">
        <f ca="1">OFFSET(IND!X$28,$E55,0)</f>
        <v>1.0201412654279391</v>
      </c>
      <c r="P55" s="107">
        <f ca="1">OFFSET(IND!Y$28,$E55,0)</f>
        <v>1.0362218971061989</v>
      </c>
      <c r="Q55" s="107">
        <f ca="1">OFFSET(IND!Z$28,$E55,0)</f>
        <v>1.0544014076912998</v>
      </c>
      <c r="R55" s="107">
        <f ca="1">OFFSET(IND!AA$28,$E55,0)</f>
        <v>1.0743088922016166</v>
      </c>
      <c r="S55" s="107">
        <f ca="1">OFFSET(IND!AB$28,$E55,0)</f>
        <v>1.0993934708501067</v>
      </c>
      <c r="T55" s="107">
        <f ca="1">OFFSET(IND!AC$28,$E55,0)</f>
        <v>1.1299189116711799</v>
      </c>
      <c r="U55" s="107">
        <f ca="1">OFFSET(IND!AD$28,$E55,0)</f>
        <v>1.166059147572386</v>
      </c>
      <c r="V55" s="107">
        <f ca="1">OFFSET(IND!AE$28,$E55,0)</f>
        <v>1.2038217595742151</v>
      </c>
      <c r="W55" s="107">
        <f ca="1">OFFSET(IND!AF$28,$E55,0)</f>
        <v>1.2449056325841841</v>
      </c>
      <c r="X55" s="107">
        <f ca="1">OFFSET(IND!AG$28,$E55,0)</f>
        <v>1.290954173377568</v>
      </c>
      <c r="Y55" s="107">
        <f ca="1">OFFSET(IND!AH$28,$E55,0)</f>
        <v>1.3409713825118175</v>
      </c>
      <c r="Z55" s="107">
        <f ca="1">OFFSET(IND!AI$28,$E55,0)</f>
        <v>1.3938742547515399</v>
      </c>
      <c r="AA55" s="107">
        <f ca="1">OFFSET(IND!AJ$28,$E55,0)</f>
        <v>1.4493411481418208</v>
      </c>
      <c r="AB55" s="107">
        <f ca="1">OFFSET(IND!AK$28,$E55,0)</f>
        <v>1.5081149859853678</v>
      </c>
      <c r="AC55" s="107">
        <f ca="1">OFFSET(IND!AL$28,$E55,0)</f>
        <v>1.5677695642723304</v>
      </c>
      <c r="AD55" s="107">
        <f ca="1">OFFSET(IND!AM$28,$E55,0)</f>
        <v>1.6276718733026363</v>
      </c>
      <c r="AE55" s="107">
        <f ca="1">OFFSET(IND!AN$28,$E55,0)</f>
        <v>1.9493090177132766</v>
      </c>
      <c r="AF55" s="107">
        <f ca="1">OFFSET(IND!AO$28,$E55,0)</f>
        <v>2.3359965597904826</v>
      </c>
      <c r="AG55" s="107">
        <f ca="1">OFFSET(IND!AP$28,$E55,0)</f>
        <v>2.7384212067992149</v>
      </c>
      <c r="AH55" s="107">
        <f ca="1">OFFSET(IND!AQ$28,$E55,0)</f>
        <v>3.0664310469472364</v>
      </c>
      <c r="AJ55">
        <f t="shared" ca="1" si="1"/>
        <v>3.0631160202654648</v>
      </c>
    </row>
    <row r="56" spans="1:36">
      <c r="A56" s="26" t="s">
        <v>340</v>
      </c>
      <c r="B56">
        <v>3.382156358499</v>
      </c>
      <c r="C56" t="s">
        <v>731</v>
      </c>
      <c r="D56" t="s">
        <v>272</v>
      </c>
      <c r="E56" s="110">
        <f>MATCH(F56,IND!$D$29:$D$137,0)</f>
        <v>102</v>
      </c>
      <c r="F56" t="str">
        <f t="shared" si="0"/>
        <v>IOTH</v>
      </c>
      <c r="G56" s="107">
        <f ca="1">OFFSET(IND!P$28,$E56,0)</f>
        <v>1.72747728</v>
      </c>
      <c r="H56" s="107">
        <f ca="1">OFFSET(IND!Q$28,$E56,0)</f>
        <v>1.7473807488376987</v>
      </c>
      <c r="I56" s="107">
        <f ca="1">OFFSET(IND!R$28,$E56,0)</f>
        <v>1.7455084388856863</v>
      </c>
      <c r="J56" s="175">
        <f ca="1">OFFSET(IND!S$28,$E56,0)</f>
        <v>1.6191402317910646</v>
      </c>
      <c r="K56" s="107">
        <f ca="1">OFFSET(IND!T$28,$E56,0)</f>
        <v>1.7444002105286986</v>
      </c>
      <c r="L56" s="107">
        <f ca="1">OFFSET(IND!U$28,$E56,0)</f>
        <v>1.7661616438512495</v>
      </c>
      <c r="M56" s="107">
        <f ca="1">OFFSET(IND!V$28,$E56,0)</f>
        <v>1.7541636938812484</v>
      </c>
      <c r="N56" s="107">
        <f ca="1">OFFSET(IND!W$28,$E56,0)</f>
        <v>1.7568302027094469</v>
      </c>
      <c r="O56" s="175">
        <f ca="1">OFFSET(IND!X$28,$E56,0)</f>
        <v>1.7603657202201632</v>
      </c>
      <c r="P56" s="107">
        <f ca="1">OFFSET(IND!Y$28,$E56,0)</f>
        <v>1.78811461512838</v>
      </c>
      <c r="Q56" s="107">
        <f ca="1">OFFSET(IND!Z$28,$E56,0)</f>
        <v>1.8194853559551087</v>
      </c>
      <c r="R56" s="107">
        <f ca="1">OFFSET(IND!AA$28,$E56,0)</f>
        <v>1.8538379054454726</v>
      </c>
      <c r="S56" s="107">
        <f ca="1">OFFSET(IND!AB$28,$E56,0)</f>
        <v>1.8971240990889036</v>
      </c>
      <c r="T56" s="107">
        <f ca="1">OFFSET(IND!AC$28,$E56,0)</f>
        <v>1.9497990975789261</v>
      </c>
      <c r="U56" s="107">
        <f ca="1">OFFSET(IND!AD$28,$E56,0)</f>
        <v>2.0121630412377147</v>
      </c>
      <c r="V56" s="107">
        <f ca="1">OFFSET(IND!AE$28,$E56,0)</f>
        <v>2.0773265729237975</v>
      </c>
      <c r="W56" s="107">
        <f ca="1">OFFSET(IND!AF$28,$E56,0)</f>
        <v>2.1482213050080734</v>
      </c>
      <c r="X56" s="107">
        <f ca="1">OFFSET(IND!AG$28,$E56,0)</f>
        <v>2.2276831162551929</v>
      </c>
      <c r="Y56" s="107">
        <f ca="1">OFFSET(IND!AH$28,$E56,0)</f>
        <v>2.3139933003100257</v>
      </c>
      <c r="Z56" s="107">
        <f ca="1">OFFSET(IND!AI$28,$E56,0)</f>
        <v>2.4052830127724736</v>
      </c>
      <c r="AA56" s="107">
        <f ca="1">OFFSET(IND!AJ$28,$E56,0)</f>
        <v>2.5009972251471657</v>
      </c>
      <c r="AB56" s="107">
        <f ca="1">OFFSET(IND!AK$28,$E56,0)</f>
        <v>2.6024179331332862</v>
      </c>
      <c r="AC56" s="107">
        <f ca="1">OFFSET(IND!AL$28,$E56,0)</f>
        <v>2.7053584554211545</v>
      </c>
      <c r="AD56" s="107">
        <f ca="1">OFFSET(IND!AM$28,$E56,0)</f>
        <v>2.8087264642966212</v>
      </c>
      <c r="AE56" s="107">
        <f ca="1">OFFSET(IND!AN$28,$E56,0)</f>
        <v>3.363746658614982</v>
      </c>
      <c r="AF56" s="107">
        <f ca="1">OFFSET(IND!AO$28,$E56,0)</f>
        <v>4.0310184537847951</v>
      </c>
      <c r="AG56" s="107">
        <f ca="1">OFFSET(IND!AP$28,$E56,0)</f>
        <v>4.7254463507571804</v>
      </c>
      <c r="AH56" s="107">
        <f ca="1">OFFSET(IND!AQ$28,$E56,0)</f>
        <v>5.2914633310126078</v>
      </c>
      <c r="AJ56">
        <f t="shared" ca="1" si="1"/>
        <v>3.0631160202654635</v>
      </c>
    </row>
    <row r="57" spans="1:36">
      <c r="A57" s="26" t="s">
        <v>341</v>
      </c>
      <c r="B57">
        <v>4.2714054259280001</v>
      </c>
      <c r="C57" t="s">
        <v>731</v>
      </c>
      <c r="D57" t="s">
        <v>272</v>
      </c>
      <c r="E57" s="110">
        <f>MATCH(F57,IND!$D$29:$D$137,0)</f>
        <v>98</v>
      </c>
      <c r="F57" t="str">
        <f t="shared" si="0"/>
        <v>IOTK</v>
      </c>
      <c r="G57" s="107">
        <f ca="1">OFFSET(IND!P$28,$E57,0)</f>
        <v>2.1816719999999998</v>
      </c>
      <c r="H57" s="107">
        <f ca="1">OFFSET(IND!Q$28,$E57,0)</f>
        <v>2.2068085625289613</v>
      </c>
      <c r="I57" s="107">
        <f ca="1">OFFSET(IND!R$28,$E57,0)</f>
        <v>2.2044439779147851</v>
      </c>
      <c r="J57" s="175">
        <f ca="1">OFFSET(IND!S$28,$E57,0)</f>
        <v>2.0448505741112126</v>
      </c>
      <c r="K57" s="107">
        <f ca="1">OFFSET(IND!T$28,$E57,0)</f>
        <v>2.2030443700565296</v>
      </c>
      <c r="L57" s="107">
        <f ca="1">OFFSET(IND!U$28,$E57,0)</f>
        <v>2.230527399969187</v>
      </c>
      <c r="M57" s="107">
        <f ca="1">OFFSET(IND!V$28,$E57,0)</f>
        <v>2.2153749045876254</v>
      </c>
      <c r="N57" s="107">
        <f ca="1">OFFSET(IND!W$28,$E57,0)</f>
        <v>2.218742501785913</v>
      </c>
      <c r="O57" s="175">
        <f ca="1">OFFSET(IND!X$28,$E57,0)</f>
        <v>2.2232075906458024</v>
      </c>
      <c r="P57" s="107">
        <f ca="1">OFFSET(IND!Y$28,$E57,0)</f>
        <v>2.2582523277043407</v>
      </c>
      <c r="Q57" s="107">
        <f ca="1">OFFSET(IND!Z$28,$E57,0)</f>
        <v>2.2978711798150502</v>
      </c>
      <c r="R57" s="107">
        <f ca="1">OFFSET(IND!AA$28,$E57,0)</f>
        <v>2.3412558287591687</v>
      </c>
      <c r="S57" s="107">
        <f ca="1">OFFSET(IND!AB$28,$E57,0)</f>
        <v>2.3959229886412663</v>
      </c>
      <c r="T57" s="107">
        <f ca="1">OFFSET(IND!AC$28,$E57,0)</f>
        <v>2.4624474926889981</v>
      </c>
      <c r="U57" s="107">
        <f ca="1">OFFSET(IND!AD$28,$E57,0)</f>
        <v>2.5412083952288897</v>
      </c>
      <c r="V57" s="107">
        <f ca="1">OFFSET(IND!AE$28,$E57,0)</f>
        <v>2.6235049638417283</v>
      </c>
      <c r="W57" s="107">
        <f ca="1">OFFSET(IND!AF$28,$E57,0)</f>
        <v>2.7130396012731195</v>
      </c>
      <c r="X57" s="107">
        <f ca="1">OFFSET(IND!AG$28,$E57,0)</f>
        <v>2.8133938060283485</v>
      </c>
      <c r="Y57" s="107">
        <f ca="1">OFFSET(IND!AH$28,$E57,0)</f>
        <v>2.9223969831163128</v>
      </c>
      <c r="Z57" s="107">
        <f ca="1">OFFSET(IND!AI$28,$E57,0)</f>
        <v>3.0376889246504861</v>
      </c>
      <c r="AA57" s="107">
        <f ca="1">OFFSET(IND!AJ$28,$E57,0)</f>
        <v>3.1585686719892867</v>
      </c>
      <c r="AB57" s="107">
        <f ca="1">OFFSET(IND!AK$28,$E57,0)</f>
        <v>3.2866552878859054</v>
      </c>
      <c r="AC57" s="107">
        <f ca="1">OFFSET(IND!AL$28,$E57,0)</f>
        <v>3.4166613132854513</v>
      </c>
      <c r="AD57" s="107">
        <f ca="1">OFFSET(IND!AM$28,$E57,0)</f>
        <v>3.5472072216283714</v>
      </c>
      <c r="AE57" s="107">
        <f ca="1">OFFSET(IND!AN$28,$E57,0)</f>
        <v>4.2481553796145226</v>
      </c>
      <c r="AF57" s="107">
        <f ca="1">OFFSET(IND!AO$28,$E57,0)</f>
        <v>5.0908687448008454</v>
      </c>
      <c r="AG57" s="107">
        <f ca="1">OFFSET(IND!AP$28,$E57,0)</f>
        <v>5.9678781945827479</v>
      </c>
      <c r="AH57" s="107">
        <f ca="1">OFFSET(IND!AQ$28,$E57,0)</f>
        <v>6.682714454164592</v>
      </c>
      <c r="AJ57">
        <f t="shared" ca="1" si="1"/>
        <v>3.0631160202654626</v>
      </c>
    </row>
    <row r="58" spans="1:36">
      <c r="A58" s="26" t="s">
        <v>342</v>
      </c>
      <c r="B58">
        <v>1.0716137343180001</v>
      </c>
      <c r="C58" t="s">
        <v>731</v>
      </c>
      <c r="D58" t="s">
        <v>272</v>
      </c>
      <c r="E58" s="110">
        <f>MATCH(F58,IND!$D$29:$D$137,0)</f>
        <v>100</v>
      </c>
      <c r="F58" t="str">
        <f t="shared" si="0"/>
        <v>IOTL</v>
      </c>
      <c r="G58" s="107">
        <f ca="1">OFFSET(IND!P$28,$E58,0)</f>
        <v>0.54733968</v>
      </c>
      <c r="H58" s="107">
        <f ca="1">OFFSET(IND!Q$28,$E58,0)</f>
        <v>0.55364596164586688</v>
      </c>
      <c r="I58" s="107">
        <f ca="1">OFFSET(IND!R$28,$E58,0)</f>
        <v>0.55305273269758493</v>
      </c>
      <c r="J58" s="175">
        <f ca="1">OFFSET(IND!S$28,$E58,0)</f>
        <v>0.51301380724593215</v>
      </c>
      <c r="K58" s="107">
        <f ca="1">OFFSET(IND!T$28,$E58,0)</f>
        <v>0.55270159791780915</v>
      </c>
      <c r="L58" s="107">
        <f ca="1">OFFSET(IND!U$28,$E58,0)</f>
        <v>0.5595965632461557</v>
      </c>
      <c r="M58" s="107">
        <f ca="1">OFFSET(IND!V$28,$E58,0)</f>
        <v>0.55579509264317528</v>
      </c>
      <c r="N58" s="107">
        <f ca="1">OFFSET(IND!W$28,$E58,0)</f>
        <v>0.55663995822007206</v>
      </c>
      <c r="O58" s="175">
        <f ca="1">OFFSET(IND!X$28,$E58,0)</f>
        <v>0.55776016341486911</v>
      </c>
      <c r="P58" s="107">
        <f ca="1">OFFSET(IND!Y$28,$E58,0)</f>
        <v>0.56655221610074702</v>
      </c>
      <c r="Q58" s="107">
        <f ca="1">OFFSET(IND!Z$28,$E58,0)</f>
        <v>0.57649182656292608</v>
      </c>
      <c r="R58" s="107">
        <f ca="1">OFFSET(IND!AA$28,$E58,0)</f>
        <v>0.58737620325657491</v>
      </c>
      <c r="S58" s="107">
        <f ca="1">OFFSET(IND!AB$28,$E58,0)</f>
        <v>0.60109114564772093</v>
      </c>
      <c r="T58" s="107">
        <f ca="1">OFFSET(IND!AC$28,$E58,0)</f>
        <v>0.61778086837306379</v>
      </c>
      <c r="U58" s="107">
        <f ca="1">OFFSET(IND!AD$28,$E58,0)</f>
        <v>0.63754046889628424</v>
      </c>
      <c r="V58" s="107">
        <f ca="1">OFFSET(IND!AE$28,$E58,0)</f>
        <v>0.65818710025500782</v>
      </c>
      <c r="W58" s="107">
        <f ca="1">OFFSET(IND!AF$28,$E58,0)</f>
        <v>0.68064962431940146</v>
      </c>
      <c r="X58" s="107">
        <f ca="1">OFFSET(IND!AG$28,$E58,0)</f>
        <v>0.70582657040358898</v>
      </c>
      <c r="Y58" s="107">
        <f ca="1">OFFSET(IND!AH$28,$E58,0)</f>
        <v>0.73317337783674563</v>
      </c>
      <c r="Z58" s="107">
        <f ca="1">OFFSET(IND!AI$28,$E58,0)</f>
        <v>0.76209791570765073</v>
      </c>
      <c r="AA58" s="107">
        <f ca="1">OFFSET(IND!AJ$28,$E58,0)</f>
        <v>0.79242432693119857</v>
      </c>
      <c r="AB58" s="107">
        <f ca="1">OFFSET(IND!AK$28,$E58,0)</f>
        <v>0.8245588033131378</v>
      </c>
      <c r="AC58" s="107">
        <f ca="1">OFFSET(IND!AL$28,$E58,0)</f>
        <v>0.85717482274239176</v>
      </c>
      <c r="AD58" s="107">
        <f ca="1">OFFSET(IND!AM$28,$E58,0)</f>
        <v>0.88992628845205091</v>
      </c>
      <c r="AE58" s="107">
        <f ca="1">OFFSET(IND!AN$28,$E58,0)</f>
        <v>1.0657807434245352</v>
      </c>
      <c r="AF58" s="107">
        <f ca="1">OFFSET(IND!AO$28,$E58,0)</f>
        <v>1.2772013711049588</v>
      </c>
      <c r="AG58" s="107">
        <f ca="1">OFFSET(IND!AP$28,$E58,0)</f>
        <v>1.4972262289207088</v>
      </c>
      <c r="AH58" s="107">
        <f ca="1">OFFSET(IND!AQ$28,$E58,0)</f>
        <v>1.6765649423349724</v>
      </c>
      <c r="AJ58">
        <f t="shared" ca="1" si="1"/>
        <v>3.0631160202654639</v>
      </c>
    </row>
    <row r="59" spans="1:36">
      <c r="A59" s="26" t="s">
        <v>343</v>
      </c>
      <c r="B59">
        <v>13.06049710462</v>
      </c>
      <c r="C59" t="s">
        <v>731</v>
      </c>
      <c r="D59" t="s">
        <v>272</v>
      </c>
      <c r="E59" s="110">
        <f>MATCH(F59,IND!$D$29:$D$137,0)</f>
        <v>105</v>
      </c>
      <c r="F59" t="str">
        <f t="shared" si="0"/>
        <v>IOTO</v>
      </c>
      <c r="G59" s="107">
        <f ca="1">OFFSET(IND!P$28,$E59,0)</f>
        <v>6.6708069119999998</v>
      </c>
      <c r="H59" s="107">
        <f ca="1">OFFSET(IND!Q$28,$E59,0)</f>
        <v>6.7476659242906258</v>
      </c>
      <c r="I59" s="107">
        <f ca="1">OFFSET(IND!R$28,$E59,0)</f>
        <v>6.740435833154903</v>
      </c>
      <c r="J59" s="175">
        <f ca="1">OFFSET(IND!S$28,$E59,0)</f>
        <v>6.2524537803062259</v>
      </c>
      <c r="K59" s="107">
        <f ca="1">OFFSET(IND!T$28,$E59,0)</f>
        <v>6.7361563109467344</v>
      </c>
      <c r="L59" s="107">
        <f ca="1">OFFSET(IND!U$28,$E59,0)</f>
        <v>6.8201900180778052</v>
      </c>
      <c r="M59" s="107">
        <f ca="1">OFFSET(IND!V$28,$E59,0)</f>
        <v>6.7738588688833481</v>
      </c>
      <c r="N59" s="107">
        <f ca="1">OFFSET(IND!W$28,$E59,0)</f>
        <v>6.7841558295021622</v>
      </c>
      <c r="O59" s="175">
        <f ca="1">OFFSET(IND!X$28,$E59,0)</f>
        <v>6.7978085443141243</v>
      </c>
      <c r="P59" s="107">
        <f ca="1">OFFSET(IND!Y$28,$E59,0)</f>
        <v>6.9049633660285341</v>
      </c>
      <c r="Q59" s="107">
        <f ca="1">OFFSET(IND!Z$28,$E59,0)</f>
        <v>7.0261042673673364</v>
      </c>
      <c r="R59" s="107">
        <f ca="1">OFFSET(IND!AA$28,$E59,0)</f>
        <v>7.1587596876372581</v>
      </c>
      <c r="S59" s="107">
        <f ca="1">OFFSET(IND!AB$28,$E59,0)</f>
        <v>7.3259131680875305</v>
      </c>
      <c r="T59" s="107">
        <f ca="1">OFFSET(IND!AC$28,$E59,0)</f>
        <v>7.5293223521532289</v>
      </c>
      <c r="U59" s="107">
        <f ca="1">OFFSET(IND!AD$28,$E59,0)</f>
        <v>7.7701462583400742</v>
      </c>
      <c r="V59" s="107">
        <f ca="1">OFFSET(IND!AE$28,$E59,0)</f>
        <v>8.0217810222901118</v>
      </c>
      <c r="W59" s="107">
        <f ca="1">OFFSET(IND!AF$28,$E59,0)</f>
        <v>8.2955473254927661</v>
      </c>
      <c r="X59" s="107">
        <f ca="1">OFFSET(IND!AG$28,$E59,0)</f>
        <v>8.6023961656160495</v>
      </c>
      <c r="Y59" s="107">
        <f ca="1">OFFSET(IND!AH$28,$E59,0)</f>
        <v>8.9356906054531802</v>
      </c>
      <c r="Z59" s="107">
        <f ca="1">OFFSET(IND!AI$28,$E59,0)</f>
        <v>9.2882139364048832</v>
      </c>
      <c r="AA59" s="107">
        <f ca="1">OFFSET(IND!AJ$28,$E59,0)</f>
        <v>9.6578228666512658</v>
      </c>
      <c r="AB59" s="107">
        <f ca="1">OFFSET(IND!AK$28,$E59,0)</f>
        <v>10.049467936422456</v>
      </c>
      <c r="AC59" s="107">
        <f ca="1">OFFSET(IND!AL$28,$E59,0)</f>
        <v>10.446981904075219</v>
      </c>
      <c r="AD59" s="107">
        <f ca="1">OFFSET(IND!AM$28,$E59,0)</f>
        <v>10.846146649145638</v>
      </c>
      <c r="AE59" s="107">
        <f ca="1">OFFSET(IND!AN$28,$E59,0)</f>
        <v>12.989406413788391</v>
      </c>
      <c r="AF59" s="107">
        <f ca="1">OFFSET(IND!AO$28,$E59,0)</f>
        <v>15.566135702755615</v>
      </c>
      <c r="AG59" s="107">
        <f ca="1">OFFSET(IND!AP$28,$E59,0)</f>
        <v>18.247730690221388</v>
      </c>
      <c r="AH59" s="107">
        <f ca="1">OFFSET(IND!AQ$28,$E59,0)</f>
        <v>20.433455520244781</v>
      </c>
      <c r="AJ59">
        <f t="shared" ca="1" si="1"/>
        <v>3.063116020265463</v>
      </c>
    </row>
    <row r="60" spans="1:36">
      <c r="A60" s="26" t="s">
        <v>344</v>
      </c>
      <c r="B60">
        <v>4.6033799408959997</v>
      </c>
      <c r="C60" t="s">
        <v>731</v>
      </c>
      <c r="D60" t="s">
        <v>272</v>
      </c>
      <c r="E60" s="110">
        <f>MATCH(F60,IND!$D$29:$D$137,0)</f>
        <v>103</v>
      </c>
      <c r="F60" t="str">
        <f t="shared" si="0"/>
        <v>IOTP</v>
      </c>
      <c r="G60" s="107">
        <f ca="1">OFFSET(IND!P$28,$E60,0)</f>
        <v>2.351232</v>
      </c>
      <c r="H60" s="107">
        <f ca="1">OFFSET(IND!Q$28,$E60,0)</f>
        <v>2.3783221813783624</v>
      </c>
      <c r="I60" s="107">
        <f ca="1">OFFSET(IND!R$28,$E60,0)</f>
        <v>2.3757738207579031</v>
      </c>
      <c r="J60" s="175">
        <f ca="1">OFFSET(IND!S$28,$E60,0)</f>
        <v>2.2037767845343637</v>
      </c>
      <c r="K60" s="107">
        <f ca="1">OFFSET(IND!T$28,$E60,0)</f>
        <v>2.37426543508683</v>
      </c>
      <c r="L60" s="107">
        <f ca="1">OFFSET(IND!U$28,$E60,0)</f>
        <v>2.403884451780264</v>
      </c>
      <c r="M60" s="107">
        <f ca="1">OFFSET(IND!V$28,$E60,0)</f>
        <v>2.387554301317234</v>
      </c>
      <c r="N60" s="107">
        <f ca="1">OFFSET(IND!W$28,$E60,0)</f>
        <v>2.39118362886772</v>
      </c>
      <c r="O60" s="175">
        <f ca="1">OFFSET(IND!X$28,$E60,0)</f>
        <v>2.3959957453592069</v>
      </c>
      <c r="P60" s="107">
        <f ca="1">OFFSET(IND!Y$28,$E60,0)</f>
        <v>2.4337641666450929</v>
      </c>
      <c r="Q60" s="107">
        <f ca="1">OFFSET(IND!Z$28,$E60,0)</f>
        <v>2.476462204153008</v>
      </c>
      <c r="R60" s="107">
        <f ca="1">OFFSET(IND!AA$28,$E60,0)</f>
        <v>2.5232187170047009</v>
      </c>
      <c r="S60" s="107">
        <f ca="1">OFFSET(IND!AB$28,$E60,0)</f>
        <v>2.5821346198828166</v>
      </c>
      <c r="T60" s="107">
        <f ca="1">OFFSET(IND!AC$28,$E60,0)</f>
        <v>2.6538294221726</v>
      </c>
      <c r="U60" s="107">
        <f ca="1">OFFSET(IND!AD$28,$E60,0)</f>
        <v>2.7387116383813952</v>
      </c>
      <c r="V60" s="107">
        <f ca="1">OFFSET(IND!AE$28,$E60,0)</f>
        <v>2.8274043133631075</v>
      </c>
      <c r="W60" s="107">
        <f ca="1">OFFSET(IND!AF$28,$E60,0)</f>
        <v>2.9238976013720683</v>
      </c>
      <c r="X60" s="107">
        <f ca="1">OFFSET(IND!AG$28,$E60,0)</f>
        <v>3.0320513557196729</v>
      </c>
      <c r="Y60" s="107">
        <f ca="1">OFFSET(IND!AH$28,$E60,0)</f>
        <v>3.1495262823222459</v>
      </c>
      <c r="Z60" s="107">
        <f ca="1">OFFSET(IND!AI$28,$E60,0)</f>
        <v>3.2737787374471585</v>
      </c>
      <c r="AA60" s="107">
        <f ca="1">OFFSET(IND!AJ$28,$E60,0)</f>
        <v>3.4040532838019284</v>
      </c>
      <c r="AB60" s="107">
        <f ca="1">OFFSET(IND!AK$28,$E60,0)</f>
        <v>3.5420948180324814</v>
      </c>
      <c r="AC60" s="107">
        <f ca="1">OFFSET(IND!AL$28,$E60,0)</f>
        <v>3.6822049386703339</v>
      </c>
      <c r="AD60" s="107">
        <f ca="1">OFFSET(IND!AM$28,$E60,0)</f>
        <v>3.8228969020658128</v>
      </c>
      <c r="AE60" s="107">
        <f ca="1">OFFSET(IND!AN$28,$E60,0)</f>
        <v>4.5783228961648774</v>
      </c>
      <c r="AF60" s="107">
        <f ca="1">OFFSET(IND!AO$28,$E60,0)</f>
        <v>5.4865321187491016</v>
      </c>
      <c r="AG60" s="107">
        <f ca="1">OFFSET(IND!AP$28,$E60,0)</f>
        <v>6.4317029247316704</v>
      </c>
      <c r="AH60" s="107">
        <f ca="1">OFFSET(IND!AQ$28,$E60,0)</f>
        <v>7.2020964065608082</v>
      </c>
      <c r="AJ60">
        <f t="shared" ca="1" si="1"/>
        <v>3.0631160202654644</v>
      </c>
    </row>
    <row r="61" spans="1:36">
      <c r="A61" s="26" t="s">
        <v>345</v>
      </c>
      <c r="B61">
        <v>109.842732955</v>
      </c>
      <c r="C61" t="s">
        <v>731</v>
      </c>
      <c r="D61" t="s">
        <v>272</v>
      </c>
      <c r="E61" s="110">
        <f>MATCH(F61,IND!$D$29:$D$137,0)</f>
        <v>107</v>
      </c>
      <c r="F61" t="str">
        <f t="shared" si="0"/>
        <v>IOTS</v>
      </c>
      <c r="G61" s="107">
        <f ca="1">OFFSET(IND!P$28,$E61,0)</f>
        <v>68.533420800000002</v>
      </c>
      <c r="H61" s="107">
        <f ca="1">OFFSET(IND!Q$28,$E61,0)</f>
        <v>69.323042070870599</v>
      </c>
      <c r="I61" s="107">
        <f ca="1">OFFSET(IND!R$28,$E61,0)</f>
        <v>69.248762769316315</v>
      </c>
      <c r="J61" s="175">
        <f ca="1">OFFSET(IND!S$28,$E61,0)</f>
        <v>64.23541433757471</v>
      </c>
      <c r="K61" s="107">
        <f ca="1">OFFSET(IND!T$28,$E61,0)</f>
        <v>69.204796529521872</v>
      </c>
      <c r="L61" s="107">
        <f ca="1">OFFSET(IND!U$28,$E61,0)</f>
        <v>70.068127980749708</v>
      </c>
      <c r="M61" s="107">
        <f ca="1">OFFSET(IND!V$28,$E61,0)</f>
        <v>69.592138765984785</v>
      </c>
      <c r="N61" s="107">
        <f ca="1">OFFSET(IND!W$28,$E61,0)</f>
        <v>69.697925958502793</v>
      </c>
      <c r="O61" s="175">
        <f ca="1">OFFSET(IND!X$28,$E61,0)</f>
        <v>69.838188937421791</v>
      </c>
      <c r="P61" s="107">
        <f ca="1">OFFSET(IND!Y$28,$E61,0)</f>
        <v>70.939058230174396</v>
      </c>
      <c r="Q61" s="107">
        <f ca="1">OFFSET(IND!Z$28,$E61,0)</f>
        <v>72.18361536952267</v>
      </c>
      <c r="R61" s="107">
        <f ca="1">OFFSET(IND!AA$28,$E61,0)</f>
        <v>73.546468448421592</v>
      </c>
      <c r="S61" s="107">
        <f ca="1">OFFSET(IND!AB$28,$E61,0)</f>
        <v>75.263741930476044</v>
      </c>
      <c r="T61" s="107">
        <f ca="1">OFFSET(IND!AC$28,$E61,0)</f>
        <v>77.353493198959342</v>
      </c>
      <c r="U61" s="107">
        <f ca="1">OFFSET(IND!AD$28,$E61,0)</f>
        <v>79.827629584426163</v>
      </c>
      <c r="V61" s="107">
        <f ca="1">OFFSET(IND!AE$28,$E61,0)</f>
        <v>82.412832752977508</v>
      </c>
      <c r="W61" s="107">
        <f ca="1">OFFSET(IND!AF$28,$E61,0)</f>
        <v>85.22540722946205</v>
      </c>
      <c r="X61" s="107">
        <f ca="1">OFFSET(IND!AG$28,$E61,0)</f>
        <v>88.377859542889311</v>
      </c>
      <c r="Y61" s="107">
        <f ca="1">OFFSET(IND!AH$28,$E61,0)</f>
        <v>91.802004237374263</v>
      </c>
      <c r="Z61" s="107">
        <f ca="1">OFFSET(IND!AI$28,$E61,0)</f>
        <v>95.423699498628253</v>
      </c>
      <c r="AA61" s="107">
        <f ca="1">OFFSET(IND!AJ$28,$E61,0)</f>
        <v>99.220925933476252</v>
      </c>
      <c r="AB61" s="107">
        <f ca="1">OFFSET(IND!AK$28,$E61,0)</f>
        <v>103.24454357448322</v>
      </c>
      <c r="AC61" s="107">
        <f ca="1">OFFSET(IND!AL$28,$E61,0)</f>
        <v>107.32845611735976</v>
      </c>
      <c r="AD61" s="107">
        <f ca="1">OFFSET(IND!AM$28,$E61,0)</f>
        <v>111.42932814128618</v>
      </c>
      <c r="AE61" s="107">
        <f ca="1">OFFSET(IND!AN$28,$E61,0)</f>
        <v>133.4483919924287</v>
      </c>
      <c r="AF61" s="107">
        <f ca="1">OFFSET(IND!AO$28,$E61,0)</f>
        <v>159.92076257338601</v>
      </c>
      <c r="AG61" s="107">
        <f ca="1">OFFSET(IND!AP$28,$E61,0)</f>
        <v>187.47048483570575</v>
      </c>
      <c r="AH61" s="107">
        <f ca="1">OFFSET(IND!AQ$28,$E61,0)</f>
        <v>209.9258191760743</v>
      </c>
      <c r="AJ61">
        <f t="shared" ca="1" si="1"/>
        <v>3.063116020265463</v>
      </c>
    </row>
    <row r="62" spans="1:36">
      <c r="A62" s="26" t="s">
        <v>346</v>
      </c>
      <c r="B62">
        <v>9.3435013244270007</v>
      </c>
      <c r="C62" t="s">
        <v>731</v>
      </c>
      <c r="D62" t="s">
        <v>272</v>
      </c>
      <c r="E62" s="109">
        <f>MATCH(F62,RES!$D$96:$D$125,0)</f>
        <v>21</v>
      </c>
      <c r="F62" t="str">
        <f t="shared" si="0"/>
        <v>RHEH</v>
      </c>
      <c r="G62" s="107">
        <f ca="1">OFFSET(RES!L$95,$E62,0)</f>
        <v>5.1732793164602802</v>
      </c>
      <c r="H62" s="107">
        <f ca="1">OFFSET(RES!M$95,$E62,0)</f>
        <v>5.3645209692701856</v>
      </c>
      <c r="I62" s="107">
        <f ca="1">OFFSET(RES!N$95,$E62,0)</f>
        <v>5.4438514175288821</v>
      </c>
      <c r="J62" s="175">
        <f ca="1">OFFSET(RES!O$95,$E62,0)</f>
        <v>4.5975048523171873</v>
      </c>
      <c r="K62" s="107">
        <f ca="1">OFFSET(RES!P$95,$E62,0)</f>
        <v>5.2583700973319498</v>
      </c>
      <c r="L62" s="107">
        <f ca="1">OFFSET(RES!Q$95,$E62,0)</f>
        <v>5.4012591803646162</v>
      </c>
      <c r="M62" s="107">
        <f ca="1">OFFSET(RES!R$95,$E62,0)</f>
        <v>5.4587959869725431</v>
      </c>
      <c r="N62" s="107">
        <f ca="1">OFFSET(RES!S$95,$E62,0)</f>
        <v>5.5676330156006335</v>
      </c>
      <c r="O62" s="175">
        <f ca="1">OFFSET(RES!T$95,$E62,0)</f>
        <v>5.6838853082058227</v>
      </c>
      <c r="P62" s="107">
        <f ca="1">OFFSET(RES!U$95,$E62,0)</f>
        <v>5.8138144022245051</v>
      </c>
      <c r="Q62" s="107">
        <f ca="1">OFFSET(RES!V$95,$E62,0)</f>
        <v>5.9485249835940843</v>
      </c>
      <c r="R62" s="107">
        <f ca="1">OFFSET(RES!W$95,$E62,0)</f>
        <v>6.0883837921757511</v>
      </c>
      <c r="S62" s="107">
        <f ca="1">OFFSET(RES!X$95,$E62,0)</f>
        <v>6.2445461350025164</v>
      </c>
      <c r="T62" s="107">
        <f ca="1">OFFSET(RES!Y$95,$E62,0)</f>
        <v>6.4091487647122811</v>
      </c>
      <c r="U62" s="107">
        <f ca="1">OFFSET(RES!Z$95,$E62,0)</f>
        <v>6.5904537808961381</v>
      </c>
      <c r="V62" s="107">
        <f ca="1">OFFSET(RES!AA$95,$E62,0)</f>
        <v>6.7664438529280559</v>
      </c>
      <c r="W62" s="107">
        <f ca="1">OFFSET(RES!AB$95,$E62,0)</f>
        <v>6.9408685738337228</v>
      </c>
      <c r="X62" s="107">
        <f ca="1">OFFSET(RES!AC$95,$E62,0)</f>
        <v>7.1221230609910489</v>
      </c>
      <c r="Y62" s="107">
        <f ca="1">OFFSET(RES!AD$95,$E62,0)</f>
        <v>7.2996058012048222</v>
      </c>
      <c r="Z62" s="107">
        <f ca="1">OFFSET(RES!AE$95,$E62,0)</f>
        <v>7.4863158127396687</v>
      </c>
      <c r="AA62" s="107">
        <f ca="1">OFFSET(RES!AF$95,$E62,0)</f>
        <v>7.6811145895999102</v>
      </c>
      <c r="AB62" s="107">
        <f ca="1">OFFSET(RES!AG$95,$E62,0)</f>
        <v>7.8627987461083206</v>
      </c>
      <c r="AC62" s="107">
        <f ca="1">OFFSET(RES!AH$95,$E62,0)</f>
        <v>8.0370504286864186</v>
      </c>
      <c r="AD62" s="107">
        <f ca="1">OFFSET(RES!AI$95,$E62,0)</f>
        <v>8.2030835195545482</v>
      </c>
      <c r="AE62" s="107">
        <f ca="1">OFFSET(RES!AJ$95,$E62,0)</f>
        <v>8.9906627538912929</v>
      </c>
      <c r="AF62" s="107">
        <f ca="1">OFFSET(RES!AK$95,$E62,0)</f>
        <v>9.7112959836799799</v>
      </c>
      <c r="AG62" s="107">
        <f ca="1">OFFSET(RES!AL$95,$E62,0)</f>
        <v>10.406609805413311</v>
      </c>
      <c r="AH62" s="107">
        <f ca="1">OFFSET(RES!AM$95,$E62,0)</f>
        <v>11.056034705904498</v>
      </c>
      <c r="AJ62">
        <f t="shared" ca="1" si="1"/>
        <v>2.1371424254488898</v>
      </c>
    </row>
    <row r="63" spans="1:36">
      <c r="A63" s="26" t="s">
        <v>347</v>
      </c>
      <c r="B63">
        <v>3.5355599850489998</v>
      </c>
      <c r="C63" t="s">
        <v>731</v>
      </c>
      <c r="D63" t="s">
        <v>272</v>
      </c>
      <c r="E63" s="110">
        <f>MATCH(F63,RES!$D$96:$D$125,0)</f>
        <v>20</v>
      </c>
      <c r="F63" t="str">
        <f t="shared" si="0"/>
        <v>RHEK</v>
      </c>
      <c r="G63" s="107">
        <f ca="1">OFFSET(RES!L$95,$E63,0)</f>
        <v>7.6194416260697402</v>
      </c>
      <c r="H63" s="107">
        <f ca="1">OFFSET(RES!M$95,$E63,0)</f>
        <v>7.9011110509975246</v>
      </c>
      <c r="I63" s="107">
        <f ca="1">OFFSET(RES!N$95,$E63,0)</f>
        <v>8.0179525518524741</v>
      </c>
      <c r="J63" s="175">
        <f ca="1">OFFSET(RES!O$95,$E63,0)</f>
        <v>6.7714147458351635</v>
      </c>
      <c r="K63" s="107">
        <f ca="1">OFFSET(RES!P$95,$E63,0)</f>
        <v>7.7447672074095095</v>
      </c>
      <c r="L63" s="107">
        <f ca="1">OFFSET(RES!Q$95,$E63,0)</f>
        <v>7.9552207631852259</v>
      </c>
      <c r="M63" s="107">
        <f ca="1">OFFSET(RES!R$95,$E63,0)</f>
        <v>8.0399635950490822</v>
      </c>
      <c r="N63" s="107">
        <f ca="1">OFFSET(RES!S$95,$E63,0)</f>
        <v>8.2002637326712726</v>
      </c>
      <c r="O63" s="175">
        <f ca="1">OFFSET(RES!T$95,$E63,0)</f>
        <v>8.3714854091393622</v>
      </c>
      <c r="P63" s="107">
        <f ca="1">OFFSET(RES!U$95,$E63,0)</f>
        <v>8.5628509022519328</v>
      </c>
      <c r="Q63" s="107">
        <f ca="1">OFFSET(RES!V$95,$E63,0)</f>
        <v>8.7612587879219728</v>
      </c>
      <c r="R63" s="107">
        <f ca="1">OFFSET(RES!W$95,$E63,0)</f>
        <v>8.96724921733664</v>
      </c>
      <c r="S63" s="107">
        <f ca="1">OFFSET(RES!X$95,$E63,0)</f>
        <v>9.1972522352624111</v>
      </c>
      <c r="T63" s="107">
        <f ca="1">OFFSET(RES!Y$95,$E63,0)</f>
        <v>9.4396864925004831</v>
      </c>
      <c r="U63" s="107">
        <f ca="1">OFFSET(RES!Z$95,$E63,0)</f>
        <v>9.7067207859961133</v>
      </c>
      <c r="V63" s="107">
        <f ca="1">OFFSET(RES!AA$95,$E63,0)</f>
        <v>9.9659269874375092</v>
      </c>
      <c r="W63" s="107">
        <f ca="1">OFFSET(RES!AB$95,$E63,0)</f>
        <v>10.222827668376112</v>
      </c>
      <c r="X63" s="107">
        <f ca="1">OFFSET(RES!AC$95,$E63,0)</f>
        <v>10.48978754041786</v>
      </c>
      <c r="Y63" s="107">
        <f ca="1">OFFSET(RES!AD$95,$E63,0)</f>
        <v>10.751192211607941</v>
      </c>
      <c r="Z63" s="107">
        <f ca="1">OFFSET(RES!AE$95,$E63,0)</f>
        <v>11.026187228669185</v>
      </c>
      <c r="AA63" s="107">
        <f ca="1">OFFSET(RES!AF$95,$E63,0)</f>
        <v>11.313095748066891</v>
      </c>
      <c r="AB63" s="107">
        <f ca="1">OFFSET(RES!AG$95,$E63,0)</f>
        <v>11.580688456717457</v>
      </c>
      <c r="AC63" s="107">
        <f ca="1">OFFSET(RES!AH$95,$E63,0)</f>
        <v>11.837334278918433</v>
      </c>
      <c r="AD63" s="107">
        <f ca="1">OFFSET(RES!AI$95,$E63,0)</f>
        <v>12.081875384564986</v>
      </c>
      <c r="AE63" s="107">
        <f ca="1">OFFSET(RES!AJ$95,$E63,0)</f>
        <v>13.241857986478612</v>
      </c>
      <c r="AF63" s="107">
        <f ca="1">OFFSET(RES!AK$95,$E63,0)</f>
        <v>14.303239460838672</v>
      </c>
      <c r="AG63" s="107">
        <f ca="1">OFFSET(RES!AL$95,$E63,0)</f>
        <v>15.327329356707967</v>
      </c>
      <c r="AH63" s="107">
        <f ca="1">OFFSET(RES!AM$95,$E63,0)</f>
        <v>16.283831957304933</v>
      </c>
      <c r="AJ63">
        <f t="shared" ca="1" si="1"/>
        <v>2.137142425448892</v>
      </c>
    </row>
    <row r="64" spans="1:36">
      <c r="A64" s="26" t="s">
        <v>348</v>
      </c>
      <c r="B64">
        <v>27.200595464100001</v>
      </c>
      <c r="C64" t="s">
        <v>731</v>
      </c>
      <c r="D64" t="s">
        <v>272</v>
      </c>
      <c r="E64" s="110">
        <f>MATCH(F64,RES!$D$96:$D$125,0)</f>
        <v>19</v>
      </c>
      <c r="F64" t="str">
        <f t="shared" si="0"/>
        <v>RHEL</v>
      </c>
      <c r="G64" s="107">
        <f ca="1">OFFSET(RES!L$95,$E64,0)</f>
        <v>18.7538979805365</v>
      </c>
      <c r="H64" s="107">
        <f ca="1">OFFSET(RES!M$95,$E64,0)</f>
        <v>19.447177083989232</v>
      </c>
      <c r="I64" s="107">
        <f ca="1">OFFSET(RES!N$95,$E64,0)</f>
        <v>19.734761620292947</v>
      </c>
      <c r="J64" s="175">
        <f ca="1">OFFSET(RES!O$95,$E64,0)</f>
        <v>16.6666309106954</v>
      </c>
      <c r="K64" s="107">
        <f ca="1">OFFSET(RES!P$95,$E64,0)</f>
        <v>19.062364569315896</v>
      </c>
      <c r="L64" s="107">
        <f ca="1">OFFSET(RES!Q$95,$E64,0)</f>
        <v>19.58035849962635</v>
      </c>
      <c r="M64" s="107">
        <f ca="1">OFFSET(RES!R$95,$E64,0)</f>
        <v>19.788937881338381</v>
      </c>
      <c r="N64" s="107">
        <f ca="1">OFFSET(RES!S$95,$E64,0)</f>
        <v>20.183488108870371</v>
      </c>
      <c r="O64" s="175">
        <f ca="1">OFFSET(RES!T$95,$E64,0)</f>
        <v>20.604919758343524</v>
      </c>
      <c r="P64" s="107">
        <f ca="1">OFFSET(RES!U$95,$E64,0)</f>
        <v>21.0759318233942</v>
      </c>
      <c r="Q64" s="107">
        <f ca="1">OFFSET(RES!V$95,$E64,0)</f>
        <v>21.564277482957863</v>
      </c>
      <c r="R64" s="107">
        <f ca="1">OFFSET(RES!W$95,$E64,0)</f>
        <v>22.071286222941119</v>
      </c>
      <c r="S64" s="107">
        <f ca="1">OFFSET(RES!X$95,$E64,0)</f>
        <v>22.637397671139244</v>
      </c>
      <c r="T64" s="107">
        <f ca="1">OFFSET(RES!Y$95,$E64,0)</f>
        <v>23.234106399988072</v>
      </c>
      <c r="U64" s="107">
        <f ca="1">OFFSET(RES!Z$95,$E64,0)</f>
        <v>23.891363735012092</v>
      </c>
      <c r="V64" s="107">
        <f ca="1">OFFSET(RES!AA$95,$E64,0)</f>
        <v>24.529353616202609</v>
      </c>
      <c r="W64" s="107">
        <f ca="1">OFFSET(RES!AB$95,$E64,0)</f>
        <v>25.161668869457994</v>
      </c>
      <c r="X64" s="107">
        <f ca="1">OFFSET(RES!AC$95,$E64,0)</f>
        <v>25.818743029333206</v>
      </c>
      <c r="Y64" s="107">
        <f ca="1">OFFSET(RES!AD$95,$E64,0)</f>
        <v>26.462144052101223</v>
      </c>
      <c r="Z64" s="107">
        <f ca="1">OFFSET(RES!AE$95,$E64,0)</f>
        <v>27.138995289792593</v>
      </c>
      <c r="AA64" s="107">
        <f ca="1">OFFSET(RES!AF$95,$E64,0)</f>
        <v>27.845169490815614</v>
      </c>
      <c r="AB64" s="107">
        <f ca="1">OFFSET(RES!AG$95,$E64,0)</f>
        <v>28.503801265248764</v>
      </c>
      <c r="AC64" s="107">
        <f ca="1">OFFSET(RES!AH$95,$E64,0)</f>
        <v>29.135489229130535</v>
      </c>
      <c r="AD64" s="107">
        <f ca="1">OFFSET(RES!AI$95,$E64,0)</f>
        <v>29.73738358995244</v>
      </c>
      <c r="AE64" s="107">
        <f ca="1">OFFSET(RES!AJ$95,$E64,0)</f>
        <v>32.592474086486192</v>
      </c>
      <c r="AF64" s="107">
        <f ca="1">OFFSET(RES!AK$95,$E64,0)</f>
        <v>35.204875475647746</v>
      </c>
      <c r="AG64" s="107">
        <f ca="1">OFFSET(RES!AL$95,$E64,0)</f>
        <v>37.725490288722661</v>
      </c>
      <c r="AH64" s="107">
        <f ca="1">OFFSET(RES!AM$95,$E64,0)</f>
        <v>40.079751016744829</v>
      </c>
      <c r="AJ64">
        <f t="shared" ca="1" si="1"/>
        <v>2.1371424254488907</v>
      </c>
    </row>
    <row r="65" spans="1:36">
      <c r="A65" s="26" t="s">
        <v>349</v>
      </c>
      <c r="B65">
        <v>11.63227160329</v>
      </c>
      <c r="C65" t="s">
        <v>731</v>
      </c>
      <c r="D65" t="s">
        <v>272</v>
      </c>
      <c r="E65" s="110">
        <f>MATCH(F65,RES!$D$96:$D$125,0)</f>
        <v>24</v>
      </c>
      <c r="F65" t="str">
        <f t="shared" si="0"/>
        <v>RHEO</v>
      </c>
      <c r="G65" s="107">
        <f ca="1">OFFSET(RES!L$95,$E65,0)</f>
        <v>14.27502736796</v>
      </c>
      <c r="H65" s="107">
        <f ca="1">OFFSET(RES!M$95,$E65,0)</f>
        <v>14.80273516426419</v>
      </c>
      <c r="I65" s="107">
        <f ca="1">OFFSET(RES!N$95,$E65,0)</f>
        <v>15.021637769503817</v>
      </c>
      <c r="J65" s="175">
        <f ca="1">OFFSET(RES!O$95,$E65,0)</f>
        <v>12.686248620355284</v>
      </c>
      <c r="K65" s="107">
        <f ca="1">OFFSET(RES!P$95,$E65,0)</f>
        <v>14.50982490186453</v>
      </c>
      <c r="L65" s="107">
        <f ca="1">OFFSET(RES!Q$95,$E65,0)</f>
        <v>14.904109734771962</v>
      </c>
      <c r="M65" s="107">
        <f ca="1">OFFSET(RES!R$95,$E65,0)</f>
        <v>15.062875468990072</v>
      </c>
      <c r="N65" s="107">
        <f ca="1">OFFSET(RES!S$95,$E65,0)</f>
        <v>15.363197850070492</v>
      </c>
      <c r="O65" s="175">
        <f ca="1">OFFSET(RES!T$95,$E65,0)</f>
        <v>15.683981739169033</v>
      </c>
      <c r="P65" s="107">
        <f ca="1">OFFSET(RES!U$95,$E65,0)</f>
        <v>16.042505077955237</v>
      </c>
      <c r="Q65" s="107">
        <f ca="1">OFFSET(RES!V$95,$E65,0)</f>
        <v>16.414222342415709</v>
      </c>
      <c r="R65" s="107">
        <f ca="1">OFFSET(RES!W$95,$E65,0)</f>
        <v>16.800145506046398</v>
      </c>
      <c r="S65" s="107">
        <f ca="1">OFFSET(RES!X$95,$E65,0)</f>
        <v>17.231056265224609</v>
      </c>
      <c r="T65" s="107">
        <f ca="1">OFFSET(RES!Y$95,$E65,0)</f>
        <v>17.685256956934566</v>
      </c>
      <c r="U65" s="107">
        <f ca="1">OFFSET(RES!Z$95,$E65,0)</f>
        <v>18.185545827813449</v>
      </c>
      <c r="V65" s="107">
        <f ca="1">OFFSET(RES!AA$95,$E65,0)</f>
        <v>18.671168764651867</v>
      </c>
      <c r="W65" s="107">
        <f ca="1">OFFSET(RES!AB$95,$E65,0)</f>
        <v>19.15247230777485</v>
      </c>
      <c r="X65" s="107">
        <f ca="1">OFFSET(RES!AC$95,$E65,0)</f>
        <v>19.652621750025876</v>
      </c>
      <c r="Y65" s="107">
        <f ca="1">OFFSET(RES!AD$95,$E65,0)</f>
        <v>20.142363520942993</v>
      </c>
      <c r="Z65" s="107">
        <f ca="1">OFFSET(RES!AE$95,$E65,0)</f>
        <v>20.65756681105951</v>
      </c>
      <c r="AA65" s="107">
        <f ca="1">OFFSET(RES!AF$95,$E65,0)</f>
        <v>21.195090053246975</v>
      </c>
      <c r="AB65" s="107">
        <f ca="1">OFFSET(RES!AG$95,$E65,0)</f>
        <v>21.696425115173785</v>
      </c>
      <c r="AC65" s="107">
        <f ca="1">OFFSET(RES!AH$95,$E65,0)</f>
        <v>22.177251180335372</v>
      </c>
      <c r="AD65" s="107">
        <f ca="1">OFFSET(RES!AI$95,$E65,0)</f>
        <v>22.635399053501292</v>
      </c>
      <c r="AE65" s="107">
        <f ca="1">OFFSET(RES!AJ$95,$E65,0)</f>
        <v>24.808626988212275</v>
      </c>
      <c r="AF65" s="107">
        <f ca="1">OFFSET(RES!AK$95,$E65,0)</f>
        <v>26.797125665398269</v>
      </c>
      <c r="AG65" s="107">
        <f ca="1">OFFSET(RES!AL$95,$E65,0)</f>
        <v>28.715758553242338</v>
      </c>
      <c r="AH65" s="107">
        <f ca="1">OFFSET(RES!AM$95,$E65,0)</f>
        <v>30.507766612511329</v>
      </c>
      <c r="AJ65">
        <f t="shared" ca="1" si="1"/>
        <v>2.1371424254488907</v>
      </c>
    </row>
    <row r="66" spans="1:36">
      <c r="A66" s="26" t="s">
        <v>350</v>
      </c>
      <c r="B66">
        <v>4.337948126733</v>
      </c>
      <c r="C66" t="s">
        <v>731</v>
      </c>
      <c r="D66" t="s">
        <v>272</v>
      </c>
      <c r="E66" s="110">
        <f>MATCH(F66,RES!$D$96:$D$125,0)</f>
        <v>23</v>
      </c>
      <c r="F66" t="str">
        <f t="shared" si="0"/>
        <v>RHER</v>
      </c>
      <c r="G66" s="107">
        <f ca="1">OFFSET(RES!L$95,$E66,0)</f>
        <v>8.0408397122186805</v>
      </c>
      <c r="H66" s="107">
        <f ca="1">OFFSET(RES!M$95,$E66,0)</f>
        <v>8.338087044612168</v>
      </c>
      <c r="I66" s="107">
        <f ca="1">OFFSET(RES!N$95,$E66,0)</f>
        <v>8.4613905393059543</v>
      </c>
      <c r="J66" s="175">
        <f ca="1">OFFSET(RES!O$95,$E66,0)</f>
        <v>7.145912163684339</v>
      </c>
      <c r="K66" s="107">
        <f ca="1">OFFSET(RES!P$95,$E66,0)</f>
        <v>8.1730965048878179</v>
      </c>
      <c r="L66" s="107">
        <f ca="1">OFFSET(RES!Q$95,$E66,0)</f>
        <v>8.3951893289957038</v>
      </c>
      <c r="M66" s="107">
        <f ca="1">OFFSET(RES!R$95,$E66,0)</f>
        <v>8.4846189173063973</v>
      </c>
      <c r="N66" s="107">
        <f ca="1">OFFSET(RES!S$95,$E66,0)</f>
        <v>8.6537845564336173</v>
      </c>
      <c r="O66" s="175">
        <f ca="1">OFFSET(RES!T$95,$E66,0)</f>
        <v>8.8344757570888852</v>
      </c>
      <c r="P66" s="107">
        <f ca="1">OFFSET(RES!U$95,$E66,0)</f>
        <v>9.0364248410352861</v>
      </c>
      <c r="Q66" s="107">
        <f ca="1">OFFSET(RES!V$95,$E66,0)</f>
        <v>9.2458058015579692</v>
      </c>
      <c r="R66" s="107">
        <f ca="1">OFFSET(RES!W$95,$E66,0)</f>
        <v>9.4631886632505271</v>
      </c>
      <c r="S66" s="107">
        <f ca="1">OFFSET(RES!X$95,$E66,0)</f>
        <v>9.7059121450001538</v>
      </c>
      <c r="T66" s="107">
        <f ca="1">OFFSET(RES!Y$95,$E66,0)</f>
        <v>9.9617543836928668</v>
      </c>
      <c r="U66" s="107">
        <f ca="1">OFFSET(RES!Z$95,$E66,0)</f>
        <v>10.243557179361961</v>
      </c>
      <c r="V66" s="107">
        <f ca="1">OFFSET(RES!AA$95,$E66,0)</f>
        <v>10.517098945345463</v>
      </c>
      <c r="W66" s="107">
        <f ca="1">OFFSET(RES!AB$95,$E66,0)</f>
        <v>10.788207682542085</v>
      </c>
      <c r="X66" s="107">
        <f ca="1">OFFSET(RES!AC$95,$E66,0)</f>
        <v>11.069931940831252</v>
      </c>
      <c r="Y66" s="107">
        <f ca="1">OFFSET(RES!AD$95,$E66,0)</f>
        <v>11.345793764337193</v>
      </c>
      <c r="Z66" s="107">
        <f ca="1">OFFSET(RES!AE$95,$E66,0)</f>
        <v>11.635997556473713</v>
      </c>
      <c r="AA66" s="107">
        <f ca="1">OFFSET(RES!AF$95,$E66,0)</f>
        <v>11.938773734803322</v>
      </c>
      <c r="AB66" s="107">
        <f ca="1">OFFSET(RES!AG$95,$E66,0)</f>
        <v>12.22116582913419</v>
      </c>
      <c r="AC66" s="107">
        <f ca="1">OFFSET(RES!AH$95,$E66,0)</f>
        <v>12.492005612467905</v>
      </c>
      <c r="AD66" s="107">
        <f ca="1">OFFSET(RES!AI$95,$E66,0)</f>
        <v>12.750071220166108</v>
      </c>
      <c r="AE66" s="107">
        <f ca="1">OFFSET(RES!AJ$95,$E66,0)</f>
        <v>13.974207400832801</v>
      </c>
      <c r="AF66" s="107">
        <f ca="1">OFFSET(RES!AK$95,$E66,0)</f>
        <v>15.094289255603803</v>
      </c>
      <c r="AG66" s="107">
        <f ca="1">OFFSET(RES!AL$95,$E66,0)</f>
        <v>16.17501709731512</v>
      </c>
      <c r="AH66" s="107">
        <f ca="1">OFFSET(RES!AM$95,$E66,0)</f>
        <v>17.184419685216792</v>
      </c>
      <c r="AJ66">
        <f t="shared" ca="1" si="1"/>
        <v>2.1371424254488907</v>
      </c>
    </row>
    <row r="67" spans="1:36">
      <c r="A67" s="26" t="s">
        <v>504</v>
      </c>
      <c r="B67">
        <v>25.581294669590001</v>
      </c>
      <c r="C67" t="s">
        <v>731</v>
      </c>
      <c r="D67" t="s">
        <v>272</v>
      </c>
      <c r="E67" s="110">
        <f>MATCH(F67,RES!$D$96:$D$125,0)</f>
        <v>22</v>
      </c>
      <c r="F67" t="str">
        <f t="shared" si="0"/>
        <v>RHEWG</v>
      </c>
      <c r="G67" s="107">
        <f ca="1">OFFSET(RES!L$95,$E67,0)</f>
        <v>34.754847546913702</v>
      </c>
      <c r="H67" s="107">
        <f ca="1">OFFSET(RES!M$95,$E67,0)</f>
        <v>36.039636958318582</v>
      </c>
      <c r="I67" s="107">
        <f ca="1">OFFSET(RES!N$95,$E67,0)</f>
        <v>36.572590519570682</v>
      </c>
      <c r="J67" s="175">
        <f ca="1">OFFSET(RES!O$95,$E67,0)</f>
        <v>30.886710433375583</v>
      </c>
      <c r="K67" s="107">
        <f ca="1">OFFSET(RES!P$95,$E67,0)</f>
        <v>35.326499865672751</v>
      </c>
      <c r="L67" s="107">
        <f ca="1">OFFSET(RES!Q$95,$E67,0)</f>
        <v>36.286449637013639</v>
      </c>
      <c r="M67" s="107">
        <f ca="1">OFFSET(RES!R$95,$E67,0)</f>
        <v>36.672990324200619</v>
      </c>
      <c r="N67" s="107">
        <f ca="1">OFFSET(RES!S$95,$E67,0)</f>
        <v>37.404173410602482</v>
      </c>
      <c r="O67" s="175">
        <f ca="1">OFFSET(RES!T$95,$E67,0)</f>
        <v>38.185173325611338</v>
      </c>
      <c r="P67" s="107">
        <f ca="1">OFFSET(RES!U$95,$E67,0)</f>
        <v>39.058055994088186</v>
      </c>
      <c r="Q67" s="107">
        <f ca="1">OFFSET(RES!V$95,$E67,0)</f>
        <v>39.963061394349332</v>
      </c>
      <c r="R67" s="107">
        <f ca="1">OFFSET(RES!W$95,$E67,0)</f>
        <v>40.902653338453888</v>
      </c>
      <c r="S67" s="107">
        <f ca="1">OFFSET(RES!X$95,$E67,0)</f>
        <v>41.951774811606185</v>
      </c>
      <c r="T67" s="107">
        <f ca="1">OFFSET(RES!Y$95,$E67,0)</f>
        <v>43.057599367257332</v>
      </c>
      <c r="U67" s="107">
        <f ca="1">OFFSET(RES!Z$95,$E67,0)</f>
        <v>44.275632999601811</v>
      </c>
      <c r="V67" s="107">
        <f ca="1">OFFSET(RES!AA$95,$E67,0)</f>
        <v>45.457960059302266</v>
      </c>
      <c r="W67" s="107">
        <f ca="1">OFFSET(RES!AB$95,$E67,0)</f>
        <v>46.629770861050609</v>
      </c>
      <c r="X67" s="107">
        <f ca="1">OFFSET(RES!AC$95,$E67,0)</f>
        <v>47.847465032000031</v>
      </c>
      <c r="Y67" s="107">
        <f ca="1">OFFSET(RES!AD$95,$E67,0)</f>
        <v>49.039820054995154</v>
      </c>
      <c r="Z67" s="107">
        <f ca="1">OFFSET(RES!AE$95,$E67,0)</f>
        <v>50.294165237117681</v>
      </c>
      <c r="AA67" s="107">
        <f ca="1">OFFSET(RES!AF$95,$E67,0)</f>
        <v>51.602851928470614</v>
      </c>
      <c r="AB67" s="107">
        <f ca="1">OFFSET(RES!AG$95,$E67,0)</f>
        <v>52.823432681001862</v>
      </c>
      <c r="AC67" s="107">
        <f ca="1">OFFSET(RES!AH$95,$E67,0)</f>
        <v>53.994080985941785</v>
      </c>
      <c r="AD67" s="107">
        <f ca="1">OFFSET(RES!AI$95,$E67,0)</f>
        <v>55.109515588999912</v>
      </c>
      <c r="AE67" s="107">
        <f ca="1">OFFSET(RES!AJ$95,$E67,0)</f>
        <v>60.400588145897444</v>
      </c>
      <c r="AF67" s="107">
        <f ca="1">OFFSET(RES!AK$95,$E67,0)</f>
        <v>65.241907646829162</v>
      </c>
      <c r="AG67" s="107">
        <f ca="1">OFFSET(RES!AL$95,$E67,0)</f>
        <v>69.913127659000992</v>
      </c>
      <c r="AH67" s="107">
        <f ca="1">OFFSET(RES!AM$95,$E67,0)</f>
        <v>74.276059182517557</v>
      </c>
      <c r="AJ67">
        <f t="shared" ca="1" si="1"/>
        <v>2.1371424254488902</v>
      </c>
    </row>
    <row r="68" spans="1:36">
      <c r="A68" s="26" t="s">
        <v>351</v>
      </c>
      <c r="B68">
        <v>14.738241842140001</v>
      </c>
      <c r="C68" t="s">
        <v>731</v>
      </c>
      <c r="D68" t="s">
        <v>272</v>
      </c>
      <c r="E68" s="110">
        <f>MATCH(F68,RES!$D$96:$D$125,0)</f>
        <v>7</v>
      </c>
      <c r="F68" t="str">
        <f t="shared" si="0"/>
        <v>RLEH</v>
      </c>
      <c r="G68" s="107">
        <f ca="1">OFFSET(RES!L$95,$E68,0)</f>
        <v>9.2994915751840495</v>
      </c>
      <c r="H68" s="107">
        <f ca="1">OFFSET(RES!M$95,$E68,0)</f>
        <v>9.281682818880185</v>
      </c>
      <c r="I68" s="107">
        <f ca="1">OFFSET(RES!N$95,$E68,0)</f>
        <v>9.3685816904468826</v>
      </c>
      <c r="J68" s="175">
        <f ca="1">OFFSET(RES!O$95,$E68,0)</f>
        <v>9.7482669746133581</v>
      </c>
      <c r="K68" s="107">
        <f ca="1">OFFSET(RES!P$95,$E68,0)</f>
        <v>9.9132987336794098</v>
      </c>
      <c r="L68" s="107">
        <f ca="1">OFFSET(RES!Q$95,$E68,0)</f>
        <v>9.814700083850127</v>
      </c>
      <c r="M68" s="107">
        <f ca="1">OFFSET(RES!R$95,$E68,0)</f>
        <v>9.8827868071707421</v>
      </c>
      <c r="N68" s="107">
        <f ca="1">OFFSET(RES!S$95,$E68,0)</f>
        <v>9.897306902075572</v>
      </c>
      <c r="O68" s="175">
        <f ca="1">OFFSET(RES!T$95,$E68,0)</f>
        <v>9.9107498242895939</v>
      </c>
      <c r="P68" s="107">
        <f ca="1">OFFSET(RES!U$95,$E68,0)</f>
        <v>9.909257345136707</v>
      </c>
      <c r="Q68" s="107">
        <f ca="1">OFFSET(RES!V$95,$E68,0)</f>
        <v>9.8903417242972473</v>
      </c>
      <c r="R68" s="107">
        <f ca="1">OFFSET(RES!W$95,$E68,0)</f>
        <v>9.8598077013290855</v>
      </c>
      <c r="S68" s="107">
        <f ca="1">OFFSET(RES!X$95,$E68,0)</f>
        <v>9.8058576214551927</v>
      </c>
      <c r="T68" s="107">
        <f ca="1">OFFSET(RES!Y$95,$E68,0)</f>
        <v>9.7255218184694101</v>
      </c>
      <c r="U68" s="107">
        <f ca="1">OFFSET(RES!Z$95,$E68,0)</f>
        <v>9.6326145148850273</v>
      </c>
      <c r="V68" s="107">
        <f ca="1">OFFSET(RES!AA$95,$E68,0)</f>
        <v>9.5406221898729413</v>
      </c>
      <c r="W68" s="107">
        <f ca="1">OFFSET(RES!AB$95,$E68,0)</f>
        <v>9.4494213762981101</v>
      </c>
      <c r="X68" s="107">
        <f ca="1">OFFSET(RES!AC$95,$E68,0)</f>
        <v>9.3456566449690488</v>
      </c>
      <c r="Y68" s="107">
        <f ca="1">OFFSET(RES!AD$95,$E68,0)</f>
        <v>9.2373862785954568</v>
      </c>
      <c r="Z68" s="107">
        <f ca="1">OFFSET(RES!AE$95,$E68,0)</f>
        <v>9.13741965671848</v>
      </c>
      <c r="AA68" s="107">
        <f ca="1">OFFSET(RES!AF$95,$E68,0)</f>
        <v>9.032616345271725</v>
      </c>
      <c r="AB68" s="107">
        <f ca="1">OFFSET(RES!AG$95,$E68,0)</f>
        <v>8.9302167675195196</v>
      </c>
      <c r="AC68" s="107">
        <f ca="1">OFFSET(RES!AH$95,$E68,0)</f>
        <v>8.8404258450832867</v>
      </c>
      <c r="AD68" s="107">
        <f ca="1">OFFSET(RES!AI$95,$E68,0)</f>
        <v>8.757457416738939</v>
      </c>
      <c r="AE68" s="107">
        <f ca="1">OFFSET(RES!AJ$95,$E68,0)</f>
        <v>8.1158089700760598</v>
      </c>
      <c r="AF68" s="107">
        <f ca="1">OFFSET(RES!AK$95,$E68,0)</f>
        <v>7.4087685216100887</v>
      </c>
      <c r="AG68" s="107">
        <f ca="1">OFFSET(RES!AL$95,$E68,0)</f>
        <v>6.6310097076364967</v>
      </c>
      <c r="AH68" s="107">
        <f ca="1">OFFSET(RES!AM$95,$E68,0)</f>
        <v>5.7886687596308724</v>
      </c>
      <c r="AJ68">
        <f t="shared" ca="1" si="1"/>
        <v>0.62247153114027165</v>
      </c>
    </row>
    <row r="69" spans="1:36">
      <c r="A69" s="26" t="s">
        <v>352</v>
      </c>
      <c r="B69">
        <v>8.0953817121640004</v>
      </c>
      <c r="C69" t="s">
        <v>731</v>
      </c>
      <c r="D69" t="s">
        <v>272</v>
      </c>
      <c r="E69" s="110">
        <f>MATCH(F69,RES!$D$96:$D$125,0)</f>
        <v>6</v>
      </c>
      <c r="F69" t="str">
        <f t="shared" ref="F69:F132" si="2">A69</f>
        <v>RLEK</v>
      </c>
      <c r="G69" s="107">
        <f ca="1">OFFSET(RES!L$95,$E69,0)</f>
        <v>11.428450394710399</v>
      </c>
      <c r="H69" s="107">
        <f ca="1">OFFSET(RES!M$95,$E69,0)</f>
        <v>11.406564629626928</v>
      </c>
      <c r="I69" s="107">
        <f ca="1">OFFSET(RES!N$95,$E69,0)</f>
        <v>11.513357504810177</v>
      </c>
      <c r="J69" s="175">
        <f ca="1">OFFSET(RES!O$95,$E69,0)</f>
        <v>11.979965211330112</v>
      </c>
      <c r="K69" s="107">
        <f ca="1">OFFSET(RES!P$95,$E69,0)</f>
        <v>12.182778156187352</v>
      </c>
      <c r="L69" s="107">
        <f ca="1">OFFSET(RES!Q$95,$E69,0)</f>
        <v>12.061607039524763</v>
      </c>
      <c r="M69" s="107">
        <f ca="1">OFFSET(RES!R$95,$E69,0)</f>
        <v>12.145281048336651</v>
      </c>
      <c r="N69" s="107">
        <f ca="1">OFFSET(RES!S$95,$E69,0)</f>
        <v>12.163125269496994</v>
      </c>
      <c r="O69" s="175">
        <f ca="1">OFFSET(RES!T$95,$E69,0)</f>
        <v>12.179645717786112</v>
      </c>
      <c r="P69" s="107">
        <f ca="1">OFFSET(RES!U$95,$E69,0)</f>
        <v>12.177811561173785</v>
      </c>
      <c r="Q69" s="107">
        <f ca="1">OFFSET(RES!V$95,$E69,0)</f>
        <v>12.154565533936578</v>
      </c>
      <c r="R69" s="107">
        <f ca="1">OFFSET(RES!W$95,$E69,0)</f>
        <v>12.117041271021627</v>
      </c>
      <c r="S69" s="107">
        <f ca="1">OFFSET(RES!X$95,$E69,0)</f>
        <v>12.050740247288806</v>
      </c>
      <c r="T69" s="107">
        <f ca="1">OFFSET(RES!Y$95,$E69,0)</f>
        <v>11.952012942476546</v>
      </c>
      <c r="U69" s="107">
        <f ca="1">OFFSET(RES!Z$95,$E69,0)</f>
        <v>11.837836107997356</v>
      </c>
      <c r="V69" s="107">
        <f ca="1">OFFSET(RES!AA$95,$E69,0)</f>
        <v>11.724783720714141</v>
      </c>
      <c r="W69" s="107">
        <f ca="1">OFFSET(RES!AB$95,$E69,0)</f>
        <v>11.612704047812608</v>
      </c>
      <c r="X69" s="107">
        <f ca="1">OFFSET(RES!AC$95,$E69,0)</f>
        <v>11.48518416405045</v>
      </c>
      <c r="Y69" s="107">
        <f ca="1">OFFSET(RES!AD$95,$E69,0)</f>
        <v>11.352127157512625</v>
      </c>
      <c r="Z69" s="107">
        <f ca="1">OFFSET(RES!AE$95,$E69,0)</f>
        <v>11.229274895105451</v>
      </c>
      <c r="AA69" s="107">
        <f ca="1">OFFSET(RES!AF$95,$E69,0)</f>
        <v>11.100478666151728</v>
      </c>
      <c r="AB69" s="107">
        <f ca="1">OFFSET(RES!AG$95,$E69,0)</f>
        <v>10.974636464422844</v>
      </c>
      <c r="AC69" s="107">
        <f ca="1">OFFSET(RES!AH$95,$E69,0)</f>
        <v>10.864289453012441</v>
      </c>
      <c r="AD69" s="107">
        <f ca="1">OFFSET(RES!AI$95,$E69,0)</f>
        <v>10.762326828497487</v>
      </c>
      <c r="AE69" s="107">
        <f ca="1">OFFSET(RES!AJ$95,$E69,0)</f>
        <v>9.9737839942743634</v>
      </c>
      <c r="AF69" s="107">
        <f ca="1">OFFSET(RES!AK$95,$E69,0)</f>
        <v>9.104878782949708</v>
      </c>
      <c r="AG69" s="107">
        <f ca="1">OFFSET(RES!AL$95,$E69,0)</f>
        <v>8.1490654513622687</v>
      </c>
      <c r="AH69" s="107">
        <f ca="1">OFFSET(RES!AM$95,$E69,0)</f>
        <v>7.1138850157560256</v>
      </c>
      <c r="AJ69">
        <f t="shared" ca="1" si="1"/>
        <v>0.62247153114027176</v>
      </c>
    </row>
    <row r="70" spans="1:36">
      <c r="A70" s="26" t="s">
        <v>353</v>
      </c>
      <c r="B70">
        <v>8.4652619723960001</v>
      </c>
      <c r="C70" t="s">
        <v>731</v>
      </c>
      <c r="D70" t="s">
        <v>272</v>
      </c>
      <c r="E70" s="110">
        <f>MATCH(F70,RES!$D$96:$D$125,0)</f>
        <v>4</v>
      </c>
      <c r="F70" t="str">
        <f t="shared" si="2"/>
        <v>RLEL</v>
      </c>
      <c r="G70" s="107">
        <f ca="1">OFFSET(RES!L$95,$E70,0)</f>
        <v>15.5426860393993</v>
      </c>
      <c r="H70" s="107">
        <f ca="1">OFFSET(RES!M$95,$E70,0)</f>
        <v>15.512921411328472</v>
      </c>
      <c r="I70" s="107">
        <f ca="1">OFFSET(RES!N$95,$E70,0)</f>
        <v>15.658159660862832</v>
      </c>
      <c r="J70" s="175">
        <f ca="1">OFFSET(RES!O$95,$E70,0)</f>
        <v>16.292745876449878</v>
      </c>
      <c r="K70" s="107">
        <f ca="1">OFFSET(RES!P$95,$E70,0)</f>
        <v>16.56857136615066</v>
      </c>
      <c r="L70" s="107">
        <f ca="1">OFFSET(RES!Q$95,$E70,0)</f>
        <v>16.403778716378849</v>
      </c>
      <c r="M70" s="107">
        <f ca="1">OFFSET(RES!R$95,$E70,0)</f>
        <v>16.517575320791906</v>
      </c>
      <c r="N70" s="107">
        <f ca="1">OFFSET(RES!S$95,$E70,0)</f>
        <v>16.541843451425013</v>
      </c>
      <c r="O70" s="175">
        <f ca="1">OFFSET(RES!T$95,$E70,0)</f>
        <v>16.564311251705856</v>
      </c>
      <c r="P70" s="107">
        <f ca="1">OFFSET(RES!U$95,$E70,0)</f>
        <v>16.56181679975586</v>
      </c>
      <c r="Q70" s="107">
        <f ca="1">OFFSET(RES!V$95,$E70,0)</f>
        <v>16.5302022159293</v>
      </c>
      <c r="R70" s="107">
        <f ca="1">OFFSET(RES!W$95,$E70,0)</f>
        <v>16.479169239698603</v>
      </c>
      <c r="S70" s="107">
        <f ca="1">OFFSET(RES!X$95,$E70,0)</f>
        <v>16.388999885116029</v>
      </c>
      <c r="T70" s="107">
        <f ca="1">OFFSET(RES!Y$95,$E70,0)</f>
        <v>16.254730806700703</v>
      </c>
      <c r="U70" s="107">
        <f ca="1">OFFSET(RES!Z$95,$E70,0)</f>
        <v>16.099450376721858</v>
      </c>
      <c r="V70" s="107">
        <f ca="1">OFFSET(RES!AA$95,$E70,0)</f>
        <v>15.94569919429026</v>
      </c>
      <c r="W70" s="107">
        <f ca="1">OFFSET(RES!AB$95,$E70,0)</f>
        <v>15.793270902864732</v>
      </c>
      <c r="X70" s="107">
        <f ca="1">OFFSET(RES!AC$95,$E70,0)</f>
        <v>15.619843933446965</v>
      </c>
      <c r="Y70" s="107">
        <f ca="1">OFFSET(RES!AD$95,$E70,0)</f>
        <v>15.438886480202305</v>
      </c>
      <c r="Z70" s="107">
        <f ca="1">OFFSET(RES!AE$95,$E70,0)</f>
        <v>15.271807473173638</v>
      </c>
      <c r="AA70" s="107">
        <f ca="1">OFFSET(RES!AF$95,$E70,0)</f>
        <v>15.096644675020981</v>
      </c>
      <c r="AB70" s="107">
        <f ca="1">OFFSET(RES!AG$95,$E70,0)</f>
        <v>14.925499352214654</v>
      </c>
      <c r="AC70" s="107">
        <f ca="1">OFFSET(RES!AH$95,$E70,0)</f>
        <v>14.775427479431997</v>
      </c>
      <c r="AD70" s="107">
        <f ca="1">OFFSET(RES!AI$95,$E70,0)</f>
        <v>14.636758368060381</v>
      </c>
      <c r="AE70" s="107">
        <f ca="1">OFFSET(RES!AJ$95,$E70,0)</f>
        <v>13.564340561826496</v>
      </c>
      <c r="AF70" s="107">
        <f ca="1">OFFSET(RES!AK$95,$E70,0)</f>
        <v>12.382629968422879</v>
      </c>
      <c r="AG70" s="107">
        <f ca="1">OFFSET(RES!AL$95,$E70,0)</f>
        <v>11.082724380871674</v>
      </c>
      <c r="AH70" s="107">
        <f ca="1">OFFSET(RES!AM$95,$E70,0)</f>
        <v>9.6748795769774052</v>
      </c>
      <c r="AJ70">
        <f t="shared" ref="AJ70:AJ133" ca="1" si="3">AH70/G70</f>
        <v>0.62247153114027154</v>
      </c>
    </row>
    <row r="71" spans="1:36">
      <c r="A71" s="26" t="s">
        <v>354</v>
      </c>
      <c r="B71">
        <v>1.2001829018570001</v>
      </c>
      <c r="C71" t="s">
        <v>731</v>
      </c>
      <c r="D71" t="s">
        <v>272</v>
      </c>
      <c r="E71" s="110">
        <f>MATCH(F71,RES!$D$96:$D$125,0)</f>
        <v>10</v>
      </c>
      <c r="F71" t="str">
        <f t="shared" si="2"/>
        <v>RLEO</v>
      </c>
      <c r="G71" s="107">
        <f ca="1">OFFSET(RES!L$95,$E71,0)</f>
        <v>5.7452488569507203</v>
      </c>
      <c r="H71" s="107">
        <f ca="1">OFFSET(RES!M$95,$E71,0)</f>
        <v>5.734246563333774</v>
      </c>
      <c r="I71" s="107">
        <f ca="1">OFFSET(RES!N$95,$E71,0)</f>
        <v>5.7879329007536766</v>
      </c>
      <c r="J71" s="175">
        <f ca="1">OFFSET(RES!O$95,$E71,0)</f>
        <v>6.0225034068101095</v>
      </c>
      <c r="K71" s="107">
        <f ca="1">OFFSET(RES!P$95,$E71,0)</f>
        <v>6.1244604350486167</v>
      </c>
      <c r="L71" s="107">
        <f ca="1">OFFSET(RES!Q$95,$E71,0)</f>
        <v>6.0635459457296275</v>
      </c>
      <c r="M71" s="107">
        <f ca="1">OFFSET(RES!R$95,$E71,0)</f>
        <v>6.105610091513161</v>
      </c>
      <c r="N71" s="107">
        <f ca="1">OFFSET(RES!S$95,$E71,0)</f>
        <v>6.1145806419975983</v>
      </c>
      <c r="O71" s="175">
        <f ca="1">OFFSET(RES!T$95,$E71,0)</f>
        <v>6.1228857125339582</v>
      </c>
      <c r="P71" s="107">
        <f ca="1">OFFSET(RES!U$95,$E71,0)</f>
        <v>6.1219636552281553</v>
      </c>
      <c r="Q71" s="107">
        <f ca="1">OFFSET(RES!V$95,$E71,0)</f>
        <v>6.1102775379681091</v>
      </c>
      <c r="R71" s="107">
        <f ca="1">OFFSET(RES!W$95,$E71,0)</f>
        <v>6.0914135431854195</v>
      </c>
      <c r="S71" s="107">
        <f ca="1">OFFSET(RES!X$95,$E71,0)</f>
        <v>6.0580830506287073</v>
      </c>
      <c r="T71" s="107">
        <f ca="1">OFFSET(RES!Y$95,$E71,0)</f>
        <v>6.0084513931832682</v>
      </c>
      <c r="U71" s="107">
        <f ca="1">OFFSET(RES!Z$95,$E71,0)</f>
        <v>5.9510530316271435</v>
      </c>
      <c r="V71" s="107">
        <f ca="1">OFFSET(RES!AA$95,$E71,0)</f>
        <v>5.8942199460921998</v>
      </c>
      <c r="W71" s="107">
        <f ca="1">OFFSET(RES!AB$95,$E71,0)</f>
        <v>5.837875858277549</v>
      </c>
      <c r="X71" s="107">
        <f ca="1">OFFSET(RES!AC$95,$E71,0)</f>
        <v>5.7737697510521881</v>
      </c>
      <c r="Y71" s="107">
        <f ca="1">OFFSET(RES!AD$95,$E71,0)</f>
        <v>5.7068800513712459</v>
      </c>
      <c r="Z71" s="107">
        <f ca="1">OFFSET(RES!AE$95,$E71,0)</f>
        <v>5.6451204255434693</v>
      </c>
      <c r="AA71" s="107">
        <f ca="1">OFFSET(RES!AF$95,$E71,0)</f>
        <v>5.5803726809569909</v>
      </c>
      <c r="AB71" s="107">
        <f ca="1">OFFSET(RES!AG$95,$E71,0)</f>
        <v>5.517109968982175</v>
      </c>
      <c r="AC71" s="107">
        <f ca="1">OFFSET(RES!AH$95,$E71,0)</f>
        <v>5.4616369153941777</v>
      </c>
      <c r="AD71" s="107">
        <f ca="1">OFFSET(RES!AI$95,$E71,0)</f>
        <v>5.4103788155018799</v>
      </c>
      <c r="AE71" s="107">
        <f ca="1">OFFSET(RES!AJ$95,$E71,0)</f>
        <v>5.0139668208298867</v>
      </c>
      <c r="AF71" s="107">
        <f ca="1">OFFSET(RES!AK$95,$E71,0)</f>
        <v>4.577155485981546</v>
      </c>
      <c r="AG71" s="107">
        <f ca="1">OFFSET(RES!AL$95,$E71,0)</f>
        <v>4.0966541703086312</v>
      </c>
      <c r="AH71" s="107">
        <f ca="1">OFFSET(RES!AM$95,$E71,0)</f>
        <v>3.5762538527680108</v>
      </c>
      <c r="AJ71">
        <f t="shared" ca="1" si="3"/>
        <v>0.62247153114027176</v>
      </c>
    </row>
    <row r="72" spans="1:36">
      <c r="A72" s="26" t="s">
        <v>355</v>
      </c>
      <c r="B72">
        <v>1.9088027674250001</v>
      </c>
      <c r="C72" t="s">
        <v>731</v>
      </c>
      <c r="D72" t="s">
        <v>272</v>
      </c>
      <c r="E72" s="110">
        <f>MATCH(F72,RES!$D$96:$D$125,0)</f>
        <v>9</v>
      </c>
      <c r="F72" t="str">
        <f t="shared" si="2"/>
        <v>RLER</v>
      </c>
      <c r="G72" s="107">
        <f ca="1">OFFSET(RES!L$95,$E72,0)</f>
        <v>4.25340304491049</v>
      </c>
      <c r="H72" s="107">
        <f ca="1">OFFSET(RES!M$95,$E72,0)</f>
        <v>4.245257672910685</v>
      </c>
      <c r="I72" s="107">
        <f ca="1">OFFSET(RES!N$95,$E72,0)</f>
        <v>4.2850034936292509</v>
      </c>
      <c r="J72" s="175">
        <f ca="1">OFFSET(RES!O$95,$E72,0)</f>
        <v>4.4586640137474634</v>
      </c>
      <c r="K72" s="107">
        <f ca="1">OFFSET(RES!P$95,$E72,0)</f>
        <v>4.5341462678947382</v>
      </c>
      <c r="L72" s="107">
        <f ca="1">OFFSET(RES!Q$95,$E72,0)</f>
        <v>4.4890492005962352</v>
      </c>
      <c r="M72" s="107">
        <f ca="1">OFFSET(RES!R$95,$E72,0)</f>
        <v>4.5201907177370959</v>
      </c>
      <c r="N72" s="107">
        <f ca="1">OFFSET(RES!S$95,$E72,0)</f>
        <v>4.5268319212245425</v>
      </c>
      <c r="O72" s="175">
        <f ca="1">OFFSET(RES!T$95,$E72,0)</f>
        <v>4.5329804472826982</v>
      </c>
      <c r="P72" s="107">
        <f ca="1">OFFSET(RES!U$95,$E72,0)</f>
        <v>4.5322978169128509</v>
      </c>
      <c r="Q72" s="107">
        <f ca="1">OFFSET(RES!V$95,$E72,0)</f>
        <v>4.5236461870227149</v>
      </c>
      <c r="R72" s="107">
        <f ca="1">OFFSET(RES!W$95,$E72,0)</f>
        <v>4.5096805303826555</v>
      </c>
      <c r="S72" s="107">
        <f ca="1">OFFSET(RES!X$95,$E72,0)</f>
        <v>4.485004833635843</v>
      </c>
      <c r="T72" s="107">
        <f ca="1">OFFSET(RES!Y$95,$E72,0)</f>
        <v>4.4482608303457178</v>
      </c>
      <c r="U72" s="107">
        <f ca="1">OFFSET(RES!Z$95,$E72,0)</f>
        <v>4.4057668719647278</v>
      </c>
      <c r="V72" s="107">
        <f ca="1">OFFSET(RES!AA$95,$E72,0)</f>
        <v>4.3636914066394032</v>
      </c>
      <c r="W72" s="107">
        <f ca="1">OFFSET(RES!AB$95,$E72,0)</f>
        <v>4.3219779629504318</v>
      </c>
      <c r="X72" s="107">
        <f ca="1">OFFSET(RES!AC$95,$E72,0)</f>
        <v>4.2745180324132495</v>
      </c>
      <c r="Y72" s="107">
        <f ca="1">OFFSET(RES!AD$95,$E72,0)</f>
        <v>4.2249973137498857</v>
      </c>
      <c r="Z72" s="107">
        <f ca="1">OFFSET(RES!AE$95,$E72,0)</f>
        <v>4.1792745631625738</v>
      </c>
      <c r="AA72" s="107">
        <f ca="1">OFFSET(RES!AF$95,$E72,0)</f>
        <v>4.131339606673782</v>
      </c>
      <c r="AB72" s="107">
        <f ca="1">OFFSET(RES!AG$95,$E72,0)</f>
        <v>4.0845040703127351</v>
      </c>
      <c r="AC72" s="107">
        <f ca="1">OFFSET(RES!AH$95,$E72,0)</f>
        <v>4.0434354828735302</v>
      </c>
      <c r="AD72" s="107">
        <f ca="1">OFFSET(RES!AI$95,$E72,0)</f>
        <v>4.0054873689472803</v>
      </c>
      <c r="AE72" s="107">
        <f ca="1">OFFSET(RES!AJ$95,$E72,0)</f>
        <v>3.7120100928259823</v>
      </c>
      <c r="AF72" s="107">
        <f ca="1">OFFSET(RES!AK$95,$E72,0)</f>
        <v>3.3886238117517373</v>
      </c>
      <c r="AG72" s="107">
        <f ca="1">OFFSET(RES!AL$95,$E72,0)</f>
        <v>3.0328923525836835</v>
      </c>
      <c r="AH72" s="107">
        <f ca="1">OFFSET(RES!AM$95,$E72,0)</f>
        <v>2.6476223059221264</v>
      </c>
      <c r="AJ72">
        <f t="shared" ca="1" si="3"/>
        <v>0.62247153114027165</v>
      </c>
    </row>
    <row r="73" spans="1:36">
      <c r="A73" s="26" t="s">
        <v>356</v>
      </c>
      <c r="B73">
        <v>7.6914136780069997</v>
      </c>
      <c r="C73" t="s">
        <v>731</v>
      </c>
      <c r="D73" t="s">
        <v>272</v>
      </c>
      <c r="E73" s="110">
        <f>MATCH(F73,RES!$D$96:$D$125,0)</f>
        <v>8</v>
      </c>
      <c r="F73" t="str">
        <f t="shared" si="2"/>
        <v>RLEW</v>
      </c>
      <c r="G73" s="107">
        <f ca="1">OFFSET(RES!L$95,$E73,0)</f>
        <v>4.5736255741133904</v>
      </c>
      <c r="H73" s="107">
        <f ca="1">OFFSET(RES!M$95,$E73,0)</f>
        <v>4.564866968052403</v>
      </c>
      <c r="I73" s="107">
        <f ca="1">OFFSET(RES!N$95,$E73,0)</f>
        <v>4.6076051003627354</v>
      </c>
      <c r="J73" s="175">
        <f ca="1">OFFSET(RES!O$95,$E73,0)</f>
        <v>4.7943398601868434</v>
      </c>
      <c r="K73" s="107">
        <f ca="1">OFFSET(RES!P$95,$E73,0)</f>
        <v>4.8755048860060617</v>
      </c>
      <c r="L73" s="107">
        <f ca="1">OFFSET(RES!Q$95,$E73,0)</f>
        <v>4.8270126321246085</v>
      </c>
      <c r="M73" s="107">
        <f ca="1">OFFSET(RES!R$95,$E73,0)</f>
        <v>4.8604986755839885</v>
      </c>
      <c r="N73" s="107">
        <f ca="1">OFFSET(RES!S$95,$E73,0)</f>
        <v>4.867639870009338</v>
      </c>
      <c r="O73" s="175">
        <f ca="1">OFFSET(RES!T$95,$E73,0)</f>
        <v>4.8742512951965962</v>
      </c>
      <c r="P73" s="107">
        <f ca="1">OFFSET(RES!U$95,$E73,0)</f>
        <v>4.8735172721839088</v>
      </c>
      <c r="Q73" s="107">
        <f ca="1">OFFSET(RES!V$95,$E73,0)</f>
        <v>4.8642142940025588</v>
      </c>
      <c r="R73" s="107">
        <f ca="1">OFFSET(RES!W$95,$E73,0)</f>
        <v>4.8491972162194665</v>
      </c>
      <c r="S73" s="107">
        <f ca="1">OFFSET(RES!X$95,$E73,0)</f>
        <v>4.8226637801663443</v>
      </c>
      <c r="T73" s="107">
        <f ca="1">OFFSET(RES!Y$95,$E73,0)</f>
        <v>4.7831534606954182</v>
      </c>
      <c r="U73" s="107">
        <f ca="1">OFFSET(RES!Z$95,$E73,0)</f>
        <v>4.7374602938959161</v>
      </c>
      <c r="V73" s="107">
        <f ca="1">OFFSET(RES!AA$95,$E73,0)</f>
        <v>4.6922171269016921</v>
      </c>
      <c r="W73" s="107">
        <f ca="1">OFFSET(RES!AB$95,$E73,0)</f>
        <v>4.6473632367751732</v>
      </c>
      <c r="X73" s="107">
        <f ca="1">OFFSET(RES!AC$95,$E73,0)</f>
        <v>4.5963302286735228</v>
      </c>
      <c r="Y73" s="107">
        <f ca="1">OFFSET(RES!AD$95,$E73,0)</f>
        <v>4.5430812835498653</v>
      </c>
      <c r="Z73" s="107">
        <f ca="1">OFFSET(RES!AE$95,$E73,0)</f>
        <v>4.4939162410657856</v>
      </c>
      <c r="AA73" s="107">
        <f ca="1">OFFSET(RES!AF$95,$E73,0)</f>
        <v>4.4423724441163097</v>
      </c>
      <c r="AB73" s="107">
        <f ca="1">OFFSET(RES!AG$95,$E73,0)</f>
        <v>4.392010838452225</v>
      </c>
      <c r="AC73" s="107">
        <f ca="1">OFFSET(RES!AH$95,$E73,0)</f>
        <v>4.3478503533485586</v>
      </c>
      <c r="AD73" s="107">
        <f ca="1">OFFSET(RES!AI$95,$E73,0)</f>
        <v>4.3070452703338784</v>
      </c>
      <c r="AE73" s="107">
        <f ca="1">OFFSET(RES!AJ$95,$E73,0)</f>
        <v>3.9914732069020782</v>
      </c>
      <c r="AF73" s="107">
        <f ca="1">OFFSET(RES!AK$95,$E73,0)</f>
        <v>3.6437404033511949</v>
      </c>
      <c r="AG73" s="107">
        <f ca="1">OFFSET(RES!AL$95,$E73,0)</f>
        <v>3.2612272763352892</v>
      </c>
      <c r="AH73" s="107">
        <f ca="1">OFFSET(RES!AM$95,$E73,0)</f>
        <v>2.8469517139806668</v>
      </c>
      <c r="AJ73">
        <f t="shared" ca="1" si="3"/>
        <v>0.62247153114027176</v>
      </c>
    </row>
    <row r="74" spans="1:36">
      <c r="A74" s="26" t="s">
        <v>357</v>
      </c>
      <c r="B74">
        <v>0.1043575899953</v>
      </c>
      <c r="C74" t="s">
        <v>731</v>
      </c>
      <c r="D74" t="s">
        <v>272</v>
      </c>
      <c r="E74" s="110">
        <f>MATCH(F74,RES!$D$96:$D$125,0)</f>
        <v>5</v>
      </c>
      <c r="F74" t="str">
        <f t="shared" si="2"/>
        <v>RLNL</v>
      </c>
      <c r="G74" s="107">
        <f ca="1">OFFSET(RES!L$95,$E74,0)</f>
        <v>3.6541482196776102E-2</v>
      </c>
      <c r="H74" s="107">
        <f ca="1">OFFSET(RES!M$95,$E74,0)</f>
        <v>3.6471504354851823E-2</v>
      </c>
      <c r="I74" s="107">
        <f ca="1">OFFSET(RES!N$95,$E74,0)</f>
        <v>3.6812965341466199E-2</v>
      </c>
      <c r="J74" s="175">
        <f ca="1">OFFSET(RES!O$95,$E74,0)</f>
        <v>3.8304903146837301E-2</v>
      </c>
      <c r="K74" s="107">
        <f ca="1">OFFSET(RES!P$95,$E74,0)</f>
        <v>3.8953380005712829E-2</v>
      </c>
      <c r="L74" s="107">
        <f ca="1">OFFSET(RES!Q$95,$E74,0)</f>
        <v>3.8565945834905309E-2</v>
      </c>
      <c r="M74" s="107">
        <f ca="1">OFFSET(RES!R$95,$E74,0)</f>
        <v>3.8833486244823669E-2</v>
      </c>
      <c r="N74" s="107">
        <f ca="1">OFFSET(RES!S$95,$E74,0)</f>
        <v>3.8890541599427807E-2</v>
      </c>
      <c r="O74" s="175">
        <f ca="1">OFFSET(RES!T$95,$E74,0)</f>
        <v>3.8943364304710661E-2</v>
      </c>
      <c r="P74" s="107">
        <f ca="1">OFFSET(RES!U$95,$E74,0)</f>
        <v>3.8937499747497682E-2</v>
      </c>
      <c r="Q74" s="107">
        <f ca="1">OFFSET(RES!V$95,$E74,0)</f>
        <v>3.8863172584925637E-2</v>
      </c>
      <c r="R74" s="107">
        <f ca="1">OFFSET(RES!W$95,$E74,0)</f>
        <v>3.874319199806598E-2</v>
      </c>
      <c r="S74" s="107">
        <f ca="1">OFFSET(RES!X$95,$E74,0)</f>
        <v>3.8531200206118207E-2</v>
      </c>
      <c r="T74" s="107">
        <f ca="1">OFFSET(RES!Y$95,$E74,0)</f>
        <v>3.8215528183531258E-2</v>
      </c>
      <c r="U74" s="107">
        <f ca="1">OFFSET(RES!Z$95,$E74,0)</f>
        <v>3.7850457625379585E-2</v>
      </c>
      <c r="V74" s="107">
        <f ca="1">OFFSET(RES!AA$95,$E74,0)</f>
        <v>3.748898238993343E-2</v>
      </c>
      <c r="W74" s="107">
        <f ca="1">OFFSET(RES!AB$95,$E74,0)</f>
        <v>3.7130617324635733E-2</v>
      </c>
      <c r="X74" s="107">
        <f ca="1">OFFSET(RES!AC$95,$E74,0)</f>
        <v>3.6722883519850917E-2</v>
      </c>
      <c r="Y74" s="107">
        <f ca="1">OFFSET(RES!AD$95,$E74,0)</f>
        <v>3.6297445243651312E-2</v>
      </c>
      <c r="Z74" s="107">
        <f ca="1">OFFSET(RES!AE$95,$E74,0)</f>
        <v>3.5904635754653295E-2</v>
      </c>
      <c r="AA74" s="107">
        <f ca="1">OFFSET(RES!AF$95,$E74,0)</f>
        <v>3.5492820946452987E-2</v>
      </c>
      <c r="AB74" s="107">
        <f ca="1">OFFSET(RES!AG$95,$E74,0)</f>
        <v>3.5090451384941171E-2</v>
      </c>
      <c r="AC74" s="107">
        <f ca="1">OFFSET(RES!AH$95,$E74,0)</f>
        <v>3.4737626354980247E-2</v>
      </c>
      <c r="AD74" s="107">
        <f ca="1">OFFSET(RES!AI$95,$E74,0)</f>
        <v>3.4411609677323388E-2</v>
      </c>
      <c r="AE74" s="107">
        <f ca="1">OFFSET(RES!AJ$95,$E74,0)</f>
        <v>3.1890312131026444E-2</v>
      </c>
      <c r="AF74" s="107">
        <f ca="1">OFFSET(RES!AK$95,$E74,0)</f>
        <v>2.9112062830928709E-2</v>
      </c>
      <c r="AG74" s="107">
        <f ca="1">OFFSET(RES!AL$95,$E74,0)</f>
        <v>2.6055932329123375E-2</v>
      </c>
      <c r="AH74" s="107">
        <f ca="1">OFFSET(RES!AM$95,$E74,0)</f>
        <v>2.2746032373162195E-2</v>
      </c>
      <c r="AJ74">
        <f t="shared" ca="1" si="3"/>
        <v>0.62247153114027154</v>
      </c>
    </row>
    <row r="75" spans="1:36">
      <c r="A75" s="26" t="s">
        <v>358</v>
      </c>
      <c r="B75">
        <v>12.72538201427</v>
      </c>
      <c r="C75" t="s">
        <v>731</v>
      </c>
      <c r="D75" t="s">
        <v>272</v>
      </c>
      <c r="E75" s="110">
        <f>MATCH(F75,RES!$D$96:$D$125,0)</f>
        <v>14</v>
      </c>
      <c r="F75" t="str">
        <f t="shared" si="2"/>
        <v>RMEH</v>
      </c>
      <c r="G75" s="107">
        <f ca="1">OFFSET(RES!L$95,$E75,0)</f>
        <v>9.6822001330816203</v>
      </c>
      <c r="H75" s="107">
        <f ca="1">OFFSET(RES!M$95,$E75,0)</f>
        <v>9.9434395743318245</v>
      </c>
      <c r="I75" s="107">
        <f ca="1">OFFSET(RES!N$95,$E75,0)</f>
        <v>10.212153747437592</v>
      </c>
      <c r="J75" s="175">
        <f ca="1">OFFSET(RES!O$95,$E75,0)</f>
        <v>10.73168899547419</v>
      </c>
      <c r="K75" s="107">
        <f ca="1">OFFSET(RES!P$95,$E75,0)</f>
        <v>10.210613291685858</v>
      </c>
      <c r="L75" s="107">
        <f ca="1">OFFSET(RES!Q$95,$E75,0)</f>
        <v>10.436313332861436</v>
      </c>
      <c r="M75" s="107">
        <f ca="1">OFFSET(RES!R$95,$E75,0)</f>
        <v>10.538361420638903</v>
      </c>
      <c r="N75" s="107">
        <f ca="1">OFFSET(RES!S$95,$E75,0)</f>
        <v>10.696619967243537</v>
      </c>
      <c r="O75" s="175">
        <f ca="1">OFFSET(RES!T$95,$E75,0)</f>
        <v>10.872100618685476</v>
      </c>
      <c r="P75" s="107">
        <f ca="1">OFFSET(RES!U$95,$E75,0)</f>
        <v>11.039348046231995</v>
      </c>
      <c r="Q75" s="107">
        <f ca="1">OFFSET(RES!V$95,$E75,0)</f>
        <v>11.216509504987188</v>
      </c>
      <c r="R75" s="107">
        <f ca="1">OFFSET(RES!W$95,$E75,0)</f>
        <v>11.394008546372303</v>
      </c>
      <c r="S75" s="107">
        <f ca="1">OFFSET(RES!X$95,$E75,0)</f>
        <v>11.57508802273237</v>
      </c>
      <c r="T75" s="107">
        <f ca="1">OFFSET(RES!Y$95,$E75,0)</f>
        <v>11.777074735682792</v>
      </c>
      <c r="U75" s="107">
        <f ca="1">OFFSET(RES!Z$95,$E75,0)</f>
        <v>11.967078737907061</v>
      </c>
      <c r="V75" s="107">
        <f ca="1">OFFSET(RES!AA$95,$E75,0)</f>
        <v>12.15726344642168</v>
      </c>
      <c r="W75" s="107">
        <f ca="1">OFFSET(RES!AB$95,$E75,0)</f>
        <v>12.342842612880043</v>
      </c>
      <c r="X75" s="107">
        <f ca="1">OFFSET(RES!AC$95,$E75,0)</f>
        <v>12.531696531998332</v>
      </c>
      <c r="Y75" s="107">
        <f ca="1">OFFSET(RES!AD$95,$E75,0)</f>
        <v>12.727327656860624</v>
      </c>
      <c r="Z75" s="107">
        <f ca="1">OFFSET(RES!AE$95,$E75,0)</f>
        <v>12.892413966914607</v>
      </c>
      <c r="AA75" s="107">
        <f ca="1">OFFSET(RES!AF$95,$E75,0)</f>
        <v>13.048077706777478</v>
      </c>
      <c r="AB75" s="107">
        <f ca="1">OFFSET(RES!AG$95,$E75,0)</f>
        <v>13.212136353510722</v>
      </c>
      <c r="AC75" s="107">
        <f ca="1">OFFSET(RES!AH$95,$E75,0)</f>
        <v>13.36081813042018</v>
      </c>
      <c r="AD75" s="107">
        <f ca="1">OFFSET(RES!AI$95,$E75,0)</f>
        <v>13.504548229253951</v>
      </c>
      <c r="AE75" s="107">
        <f ca="1">OFFSET(RES!AJ$95,$E75,0)</f>
        <v>14.531452220753444</v>
      </c>
      <c r="AF75" s="107">
        <f ca="1">OFFSET(RES!AK$95,$E75,0)</f>
        <v>15.538946589280968</v>
      </c>
      <c r="AG75" s="107">
        <f ca="1">OFFSET(RES!AL$95,$E75,0)</f>
        <v>16.444694411533249</v>
      </c>
      <c r="AH75" s="107">
        <f ca="1">OFFSET(RES!AM$95,$E75,0)</f>
        <v>17.290468173516857</v>
      </c>
      <c r="AJ75">
        <f t="shared" ca="1" si="3"/>
        <v>1.7857995017516437</v>
      </c>
    </row>
    <row r="76" spans="1:36">
      <c r="A76" s="26" t="s">
        <v>359</v>
      </c>
      <c r="B76">
        <v>5.0035172999329998</v>
      </c>
      <c r="C76" t="s">
        <v>731</v>
      </c>
      <c r="D76" t="s">
        <v>272</v>
      </c>
      <c r="E76" s="110">
        <f>MATCH(F76,RES!$D$96:$D$125,0)</f>
        <v>13</v>
      </c>
      <c r="F76" t="str">
        <f t="shared" si="2"/>
        <v>RMEK</v>
      </c>
      <c r="G76" s="107">
        <f ca="1">OFFSET(RES!L$95,$E76,0)</f>
        <v>10.2728758528227</v>
      </c>
      <c r="H76" s="107">
        <f ca="1">OFFSET(RES!M$95,$E76,0)</f>
        <v>10.550052559659679</v>
      </c>
      <c r="I76" s="107">
        <f ca="1">OFFSET(RES!N$95,$E76,0)</f>
        <v>10.83516000448285</v>
      </c>
      <c r="J76" s="175">
        <f ca="1">OFFSET(RES!O$95,$E76,0)</f>
        <v>11.386390203289611</v>
      </c>
      <c r="K76" s="107">
        <f ca="1">OFFSET(RES!P$95,$E76,0)</f>
        <v>10.83352557114365</v>
      </c>
      <c r="L76" s="107">
        <f ca="1">OFFSET(RES!Q$95,$E76,0)</f>
        <v>11.072994748717418</v>
      </c>
      <c r="M76" s="107">
        <f ca="1">OFFSET(RES!R$95,$E76,0)</f>
        <v>11.181268418167196</v>
      </c>
      <c r="N76" s="107">
        <f ca="1">OFFSET(RES!S$95,$E76,0)</f>
        <v>11.349181741541159</v>
      </c>
      <c r="O76" s="175">
        <f ca="1">OFFSET(RES!T$95,$E76,0)</f>
        <v>11.535367827560611</v>
      </c>
      <c r="P76" s="107">
        <f ca="1">OFFSET(RES!U$95,$E76,0)</f>
        <v>11.712818410720837</v>
      </c>
      <c r="Q76" s="107">
        <f ca="1">OFFSET(RES!V$95,$E76,0)</f>
        <v>11.900787843977929</v>
      </c>
      <c r="R76" s="107">
        <f ca="1">OFFSET(RES!W$95,$E76,0)</f>
        <v>12.089115454550049</v>
      </c>
      <c r="S76" s="107">
        <f ca="1">OFFSET(RES!X$95,$E76,0)</f>
        <v>12.28124192937732</v>
      </c>
      <c r="T76" s="107">
        <f ca="1">OFFSET(RES!Y$95,$E76,0)</f>
        <v>12.49555111505194</v>
      </c>
      <c r="U76" s="107">
        <f ca="1">OFFSET(RES!Z$95,$E76,0)</f>
        <v>12.697146568519202</v>
      </c>
      <c r="V76" s="107">
        <f ca="1">OFFSET(RES!AA$95,$E76,0)</f>
        <v>12.898933752508562</v>
      </c>
      <c r="W76" s="107">
        <f ca="1">OFFSET(RES!AB$95,$E76,0)</f>
        <v>13.095834427116937</v>
      </c>
      <c r="X76" s="107">
        <f ca="1">OFFSET(RES!AC$95,$E76,0)</f>
        <v>13.296209635102203</v>
      </c>
      <c r="Y76" s="107">
        <f ca="1">OFFSET(RES!AD$95,$E76,0)</f>
        <v>13.503775501437868</v>
      </c>
      <c r="Z76" s="107">
        <f ca="1">OFFSET(RES!AE$95,$E76,0)</f>
        <v>13.678933125208799</v>
      </c>
      <c r="AA76" s="107">
        <f ca="1">OFFSET(RES!AF$95,$E76,0)</f>
        <v>13.844093342144783</v>
      </c>
      <c r="AB76" s="107">
        <f ca="1">OFFSET(RES!AG$95,$E76,0)</f>
        <v>14.018160608603599</v>
      </c>
      <c r="AC76" s="107">
        <f ca="1">OFFSET(RES!AH$95,$E76,0)</f>
        <v>14.175912918489162</v>
      </c>
      <c r="AD76" s="107">
        <f ca="1">OFFSET(RES!AI$95,$E76,0)</f>
        <v>14.328411466478103</v>
      </c>
      <c r="AE76" s="107">
        <f ca="1">OFFSET(RES!AJ$95,$E76,0)</f>
        <v>15.417963125444359</v>
      </c>
      <c r="AF76" s="107">
        <f ca="1">OFFSET(RES!AK$95,$E76,0)</f>
        <v>16.486921051126807</v>
      </c>
      <c r="AG76" s="107">
        <f ca="1">OFFSET(RES!AL$95,$E76,0)</f>
        <v>17.447925244809046</v>
      </c>
      <c r="AH76" s="107">
        <f ca="1">OFFSET(RES!AM$95,$E76,0)</f>
        <v>18.345296579527268</v>
      </c>
      <c r="AJ76">
        <f t="shared" ca="1" si="3"/>
        <v>1.7857995017516435</v>
      </c>
    </row>
    <row r="77" spans="1:36">
      <c r="A77" s="26" t="s">
        <v>360</v>
      </c>
      <c r="B77">
        <v>15.793352715539999</v>
      </c>
      <c r="C77" t="s">
        <v>731</v>
      </c>
      <c r="D77" t="s">
        <v>272</v>
      </c>
      <c r="E77" s="110">
        <f>MATCH(F77,RES!$D$96:$D$125,0)</f>
        <v>11</v>
      </c>
      <c r="F77" t="str">
        <f t="shared" si="2"/>
        <v>RMEL</v>
      </c>
      <c r="G77" s="107">
        <f ca="1">OFFSET(RES!L$95,$E77,0)</f>
        <v>14.579147778971199</v>
      </c>
      <c r="H77" s="107">
        <f ca="1">OFFSET(RES!M$95,$E77,0)</f>
        <v>14.972513787454066</v>
      </c>
      <c r="I77" s="107">
        <f ca="1">OFFSET(RES!N$95,$E77,0)</f>
        <v>15.377135008474639</v>
      </c>
      <c r="J77" s="175">
        <f ca="1">OFFSET(RES!O$95,$E77,0)</f>
        <v>16.159434594663765</v>
      </c>
      <c r="K77" s="107">
        <f ca="1">OFFSET(RES!P$95,$E77,0)</f>
        <v>15.374815439395009</v>
      </c>
      <c r="L77" s="107">
        <f ca="1">OFFSET(RES!Q$95,$E77,0)</f>
        <v>15.714667354124161</v>
      </c>
      <c r="M77" s="107">
        <f ca="1">OFFSET(RES!R$95,$E77,0)</f>
        <v>15.868328106000769</v>
      </c>
      <c r="N77" s="107">
        <f ca="1">OFFSET(RES!S$95,$E77,0)</f>
        <v>16.106628771812332</v>
      </c>
      <c r="O77" s="175">
        <f ca="1">OFFSET(RES!T$95,$E77,0)</f>
        <v>16.370861933134922</v>
      </c>
      <c r="P77" s="107">
        <f ca="1">OFFSET(RES!U$95,$E77,0)</f>
        <v>16.622697768827095</v>
      </c>
      <c r="Q77" s="107">
        <f ca="1">OFFSET(RES!V$95,$E77,0)</f>
        <v>16.889461836128813</v>
      </c>
      <c r="R77" s="107">
        <f ca="1">OFFSET(RES!W$95,$E77,0)</f>
        <v>17.156734224574649</v>
      </c>
      <c r="S77" s="107">
        <f ca="1">OFFSET(RES!X$95,$E77,0)</f>
        <v>17.429397917671839</v>
      </c>
      <c r="T77" s="107">
        <f ca="1">OFFSET(RES!Y$95,$E77,0)</f>
        <v>17.733543059996592</v>
      </c>
      <c r="U77" s="107">
        <f ca="1">OFFSET(RES!Z$95,$E77,0)</f>
        <v>18.019645019153465</v>
      </c>
      <c r="V77" s="107">
        <f ca="1">OFFSET(RES!AA$95,$E77,0)</f>
        <v>18.306019080071859</v>
      </c>
      <c r="W77" s="107">
        <f ca="1">OFFSET(RES!AB$95,$E77,0)</f>
        <v>18.585458262830585</v>
      </c>
      <c r="X77" s="107">
        <f ca="1">OFFSET(RES!AC$95,$E77,0)</f>
        <v>18.869828463572045</v>
      </c>
      <c r="Y77" s="107">
        <f ca="1">OFFSET(RES!AD$95,$E77,0)</f>
        <v>19.164403564306504</v>
      </c>
      <c r="Z77" s="107">
        <f ca="1">OFFSET(RES!AE$95,$E77,0)</f>
        <v>19.412985258289318</v>
      </c>
      <c r="AA77" s="107">
        <f ca="1">OFFSET(RES!AF$95,$E77,0)</f>
        <v>19.647378746969025</v>
      </c>
      <c r="AB77" s="107">
        <f ca="1">OFFSET(RES!AG$95,$E77,0)</f>
        <v>19.894413018339815</v>
      </c>
      <c r="AC77" s="107">
        <f ca="1">OFFSET(RES!AH$95,$E77,0)</f>
        <v>20.118293290159098</v>
      </c>
      <c r="AD77" s="107">
        <f ca="1">OFFSET(RES!AI$95,$E77,0)</f>
        <v>20.334717483253808</v>
      </c>
      <c r="AE77" s="107">
        <f ca="1">OFFSET(RES!AJ$95,$E77,0)</f>
        <v>21.880996721557619</v>
      </c>
      <c r="AF77" s="107">
        <f ca="1">OFFSET(RES!AK$95,$E77,0)</f>
        <v>23.398049569397177</v>
      </c>
      <c r="AG77" s="107">
        <f ca="1">OFFSET(RES!AL$95,$E77,0)</f>
        <v>24.761895716925057</v>
      </c>
      <c r="AH77" s="107">
        <f ca="1">OFFSET(RES!AM$95,$E77,0)</f>
        <v>26.035434839650346</v>
      </c>
      <c r="AJ77">
        <f t="shared" ca="1" si="3"/>
        <v>1.7857995017516435</v>
      </c>
    </row>
    <row r="78" spans="1:36">
      <c r="A78" s="26" t="s">
        <v>361</v>
      </c>
      <c r="B78">
        <v>8.1991938940679994</v>
      </c>
      <c r="C78" t="s">
        <v>731</v>
      </c>
      <c r="D78" t="s">
        <v>272</v>
      </c>
      <c r="E78" s="110">
        <f>MATCH(F78,RES!$D$96:$D$125,0)</f>
        <v>18</v>
      </c>
      <c r="F78" t="str">
        <f t="shared" si="2"/>
        <v>RMEO</v>
      </c>
      <c r="G78" s="107">
        <f ca="1">OFFSET(RES!L$95,$E78,0)</f>
        <v>7.7618829459684902</v>
      </c>
      <c r="H78" s="107">
        <f ca="1">OFFSET(RES!M$95,$E78,0)</f>
        <v>7.971309515961206</v>
      </c>
      <c r="I78" s="107">
        <f ca="1">OFFSET(RES!N$95,$E78,0)</f>
        <v>8.1867283183926158</v>
      </c>
      <c r="J78" s="175">
        <f ca="1">OFFSET(RES!O$95,$E78,0)</f>
        <v>8.6032216490547775</v>
      </c>
      <c r="K78" s="107">
        <f ca="1">OFFSET(RES!P$95,$E78,0)</f>
        <v>8.1854933886179726</v>
      </c>
      <c r="L78" s="107">
        <f ca="1">OFFSET(RES!Q$95,$E78,0)</f>
        <v>8.3664292581957422</v>
      </c>
      <c r="M78" s="107">
        <f ca="1">OFFSET(RES!R$95,$E78,0)</f>
        <v>8.4482376593134028</v>
      </c>
      <c r="N78" s="107">
        <f ca="1">OFFSET(RES!S$95,$E78,0)</f>
        <v>8.5751080293801394</v>
      </c>
      <c r="O78" s="175">
        <f ca="1">OFFSET(RES!T$95,$E78,0)</f>
        <v>8.7157847616365629</v>
      </c>
      <c r="P78" s="107">
        <f ca="1">OFFSET(RES!U$95,$E78,0)</f>
        <v>8.8498612047783407</v>
      </c>
      <c r="Q78" s="107">
        <f ca="1">OFFSET(RES!V$95,$E78,0)</f>
        <v>8.9918853817726223</v>
      </c>
      <c r="R78" s="107">
        <f ca="1">OFFSET(RES!W$95,$E78,0)</f>
        <v>9.1341801870148256</v>
      </c>
      <c r="S78" s="107">
        <f ca="1">OFFSET(RES!X$95,$E78,0)</f>
        <v>9.2793453023920431</v>
      </c>
      <c r="T78" s="107">
        <f ca="1">OFFSET(RES!Y$95,$E78,0)</f>
        <v>9.441271021857947</v>
      </c>
      <c r="U78" s="107">
        <f ca="1">OFFSET(RES!Z$95,$E78,0)</f>
        <v>9.5935906190837201</v>
      </c>
      <c r="V78" s="107">
        <f ca="1">OFFSET(RES!AA$95,$E78,0)</f>
        <v>9.7460550822546317</v>
      </c>
      <c r="W78" s="107">
        <f ca="1">OFFSET(RES!AB$95,$E78,0)</f>
        <v>9.8948274426129537</v>
      </c>
      <c r="X78" s="107">
        <f ca="1">OFFSET(RES!AC$95,$E78,0)</f>
        <v>10.046225058230821</v>
      </c>
      <c r="Y78" s="107">
        <f ca="1">OFFSET(RES!AD$95,$E78,0)</f>
        <v>10.203055723874783</v>
      </c>
      <c r="Z78" s="107">
        <f ca="1">OFFSET(RES!AE$95,$E78,0)</f>
        <v>10.33539967432079</v>
      </c>
      <c r="AA78" s="107">
        <f ca="1">OFFSET(RES!AF$95,$E78,0)</f>
        <v>10.460189878111253</v>
      </c>
      <c r="AB78" s="107">
        <f ca="1">OFFSET(RES!AG$95,$E78,0)</f>
        <v>10.591709986631479</v>
      </c>
      <c r="AC78" s="107">
        <f ca="1">OFFSET(RES!AH$95,$E78,0)</f>
        <v>10.710902993665769</v>
      </c>
      <c r="AD78" s="107">
        <f ca="1">OFFSET(RES!AI$95,$E78,0)</f>
        <v>10.826126412684804</v>
      </c>
      <c r="AE78" s="107">
        <f ca="1">OFFSET(RES!AJ$95,$E78,0)</f>
        <v>11.649359610636683</v>
      </c>
      <c r="AF78" s="107">
        <f ca="1">OFFSET(RES!AK$95,$E78,0)</f>
        <v>12.457032789226943</v>
      </c>
      <c r="AG78" s="107">
        <f ca="1">OFFSET(RES!AL$95,$E78,0)</f>
        <v>13.18313930202947</v>
      </c>
      <c r="AH78" s="107">
        <f ca="1">OFFSET(RES!AM$95,$E78,0)</f>
        <v>13.861166697565112</v>
      </c>
      <c r="AJ78">
        <f t="shared" ca="1" si="3"/>
        <v>1.7857995017516439</v>
      </c>
    </row>
    <row r="79" spans="1:36">
      <c r="A79" s="26" t="s">
        <v>362</v>
      </c>
      <c r="B79">
        <v>3.5984677195130002</v>
      </c>
      <c r="C79" t="s">
        <v>731</v>
      </c>
      <c r="D79" t="s">
        <v>272</v>
      </c>
      <c r="E79" s="110">
        <f>MATCH(F79,RES!$D$96:$D$125,0)</f>
        <v>17</v>
      </c>
      <c r="F79" t="str">
        <f t="shared" si="2"/>
        <v>RMER</v>
      </c>
      <c r="G79" s="107">
        <f ca="1">OFFSET(RES!L$95,$E79,0)</f>
        <v>6.4871161947221303</v>
      </c>
      <c r="H79" s="107">
        <f ca="1">OFFSET(RES!M$95,$E79,0)</f>
        <v>6.6621477564272054</v>
      </c>
      <c r="I79" s="107">
        <f ca="1">OFFSET(RES!N$95,$E79,0)</f>
        <v>6.8421874209813174</v>
      </c>
      <c r="J79" s="175">
        <f ca="1">OFFSET(RES!O$95,$E79,0)</f>
        <v>7.1902782964995575</v>
      </c>
      <c r="K79" s="107">
        <f ca="1">OFFSET(RES!P$95,$E79,0)</f>
        <v>6.8411553089285846</v>
      </c>
      <c r="L79" s="107">
        <f ca="1">OFFSET(RES!Q$95,$E79,0)</f>
        <v>6.9923753180313657</v>
      </c>
      <c r="M79" s="107">
        <f ca="1">OFFSET(RES!R$95,$E79,0)</f>
        <v>7.0607479806248348</v>
      </c>
      <c r="N79" s="107">
        <f ca="1">OFFSET(RES!S$95,$E79,0)</f>
        <v>7.1667818950782589</v>
      </c>
      <c r="O79" s="175">
        <f ca="1">OFFSET(RES!T$95,$E79,0)</f>
        <v>7.2843546946674653</v>
      </c>
      <c r="P79" s="107">
        <f ca="1">OFFSET(RES!U$95,$E79,0)</f>
        <v>7.3964111984424319</v>
      </c>
      <c r="Q79" s="107">
        <f ca="1">OFFSET(RES!V$95,$E79,0)</f>
        <v>7.5151101462409455</v>
      </c>
      <c r="R79" s="107">
        <f ca="1">OFFSET(RES!W$95,$E79,0)</f>
        <v>7.6340352758695715</v>
      </c>
      <c r="S79" s="107">
        <f ca="1">OFFSET(RES!X$95,$E79,0)</f>
        <v>7.7553593125018647</v>
      </c>
      <c r="T79" s="107">
        <f ca="1">OFFSET(RES!Y$95,$E79,0)</f>
        <v>7.8906912885702347</v>
      </c>
      <c r="U79" s="107">
        <f ca="1">OFFSET(RES!Z$95,$E79,0)</f>
        <v>8.0179947963421583</v>
      </c>
      <c r="V79" s="107">
        <f ca="1">OFFSET(RES!AA$95,$E79,0)</f>
        <v>8.1454193781144646</v>
      </c>
      <c r="W79" s="107">
        <f ca="1">OFFSET(RES!AB$95,$E79,0)</f>
        <v>8.2697582266806844</v>
      </c>
      <c r="X79" s="107">
        <f ca="1">OFFSET(RES!AC$95,$E79,0)</f>
        <v>8.396291173770166</v>
      </c>
      <c r="Y79" s="107">
        <f ca="1">OFFSET(RES!AD$95,$E79,0)</f>
        <v>8.5273648781805669</v>
      </c>
      <c r="Z79" s="107">
        <f ca="1">OFFSET(RES!AE$95,$E79,0)</f>
        <v>8.6379734238373533</v>
      </c>
      <c r="AA79" s="107">
        <f ca="1">OFFSET(RES!AF$95,$E79,0)</f>
        <v>8.7422688064896068</v>
      </c>
      <c r="AB79" s="107">
        <f ca="1">OFFSET(RES!AG$95,$E79,0)</f>
        <v>8.8521888132524396</v>
      </c>
      <c r="AC79" s="107">
        <f ca="1">OFFSET(RES!AH$95,$E79,0)</f>
        <v>8.9518062503630293</v>
      </c>
      <c r="AD79" s="107">
        <f ca="1">OFFSET(RES!AI$95,$E79,0)</f>
        <v>9.0481060416292536</v>
      </c>
      <c r="AE79" s="107">
        <f ca="1">OFFSET(RES!AJ$95,$E79,0)</f>
        <v>9.7361361816921512</v>
      </c>
      <c r="AF79" s="107">
        <f ca="1">OFFSET(RES!AK$95,$E79,0)</f>
        <v>10.411161789956052</v>
      </c>
      <c r="AG79" s="107">
        <f ca="1">OFFSET(RES!AL$95,$E79,0)</f>
        <v>11.018016769744305</v>
      </c>
      <c r="AH79" s="107">
        <f ca="1">OFFSET(RES!AM$95,$E79,0)</f>
        <v>11.584688868339798</v>
      </c>
      <c r="AJ79">
        <f t="shared" ca="1" si="3"/>
        <v>1.7857995017516435</v>
      </c>
    </row>
    <row r="80" spans="1:36">
      <c r="A80" s="26" t="s">
        <v>363</v>
      </c>
      <c r="B80">
        <v>16.347656033450001</v>
      </c>
      <c r="C80" t="s">
        <v>731</v>
      </c>
      <c r="D80" t="s">
        <v>272</v>
      </c>
      <c r="E80" s="110">
        <f>MATCH(F80,RES!$D$96:$D$125,0)</f>
        <v>16</v>
      </c>
      <c r="F80" t="str">
        <f t="shared" si="2"/>
        <v>RMEW</v>
      </c>
      <c r="G80" s="107">
        <f ca="1">OFFSET(RES!L$95,$E80,0)</f>
        <v>4.3678647382810798</v>
      </c>
      <c r="H80" s="107">
        <f ca="1">OFFSET(RES!M$95,$E80,0)</f>
        <v>4.48571590103347</v>
      </c>
      <c r="I80" s="107">
        <f ca="1">OFFSET(RES!N$95,$E80,0)</f>
        <v>4.606939088454971</v>
      </c>
      <c r="J80" s="175">
        <f ca="1">OFFSET(RES!O$95,$E80,0)</f>
        <v>4.8413134722729314</v>
      </c>
      <c r="K80" s="107">
        <f ca="1">OFFSET(RES!P$95,$E80,0)</f>
        <v>4.6062441531854663</v>
      </c>
      <c r="L80" s="107">
        <f ca="1">OFFSET(RES!Q$95,$E80,0)</f>
        <v>4.7080626694038079</v>
      </c>
      <c r="M80" s="107">
        <f ca="1">OFFSET(RES!R$95,$E80,0)</f>
        <v>4.7540989254288464</v>
      </c>
      <c r="N80" s="107">
        <f ca="1">OFFSET(RES!S$95,$E80,0)</f>
        <v>4.8254930213724085</v>
      </c>
      <c r="O80" s="175">
        <f ca="1">OFFSET(RES!T$95,$E80,0)</f>
        <v>4.9046564077049206</v>
      </c>
      <c r="P80" s="107">
        <f ca="1">OFFSET(RES!U$95,$E80,0)</f>
        <v>4.9801055960410174</v>
      </c>
      <c r="Q80" s="107">
        <f ca="1">OFFSET(RES!V$95,$E80,0)</f>
        <v>5.0600272334832468</v>
      </c>
      <c r="R80" s="107">
        <f ca="1">OFFSET(RES!W$95,$E80,0)</f>
        <v>5.1401011622688912</v>
      </c>
      <c r="S80" s="107">
        <f ca="1">OFFSET(RES!X$95,$E80,0)</f>
        <v>5.2217903082014487</v>
      </c>
      <c r="T80" s="107">
        <f ca="1">OFFSET(RES!Y$95,$E80,0)</f>
        <v>5.3129111928114483</v>
      </c>
      <c r="U80" s="107">
        <f ca="1">OFFSET(RES!Z$95,$E80,0)</f>
        <v>5.3986263990704133</v>
      </c>
      <c r="V80" s="107">
        <f ca="1">OFFSET(RES!AA$95,$E80,0)</f>
        <v>5.4844231261224579</v>
      </c>
      <c r="W80" s="107">
        <f ca="1">OFFSET(RES!AB$95,$E80,0)</f>
        <v>5.5681421864797738</v>
      </c>
      <c r="X80" s="107">
        <f ca="1">OFFSET(RES!AC$95,$E80,0)</f>
        <v>5.6533385636115092</v>
      </c>
      <c r="Y80" s="107">
        <f ca="1">OFFSET(RES!AD$95,$E80,0)</f>
        <v>5.7415922952273943</v>
      </c>
      <c r="Z80" s="107">
        <f ca="1">OFFSET(RES!AE$95,$E80,0)</f>
        <v>5.8160665534069995</v>
      </c>
      <c r="AA80" s="107">
        <f ca="1">OFFSET(RES!AF$95,$E80,0)</f>
        <v>5.8862900719286717</v>
      </c>
      <c r="AB80" s="107">
        <f ca="1">OFFSET(RES!AG$95,$E80,0)</f>
        <v>5.9603007273816466</v>
      </c>
      <c r="AC80" s="107">
        <f ca="1">OFFSET(RES!AH$95,$E80,0)</f>
        <v>6.0273745206994365</v>
      </c>
      <c r="AD80" s="107">
        <f ca="1">OFFSET(RES!AI$95,$E80,0)</f>
        <v>6.0922144973469621</v>
      </c>
      <c r="AE80" s="107">
        <f ca="1">OFFSET(RES!AJ$95,$E80,0)</f>
        <v>6.5554746729701998</v>
      </c>
      <c r="AF80" s="107">
        <f ca="1">OFFSET(RES!AK$95,$E80,0)</f>
        <v>7.0099787181068418</v>
      </c>
      <c r="AG80" s="107">
        <f ca="1">OFFSET(RES!AL$95,$E80,0)</f>
        <v>7.4185825395743752</v>
      </c>
      <c r="AH80" s="107">
        <f ca="1">OFFSET(RES!AM$95,$E80,0)</f>
        <v>7.8001306733409255</v>
      </c>
      <c r="AJ80">
        <f t="shared" ca="1" si="3"/>
        <v>1.7857995017516437</v>
      </c>
    </row>
    <row r="81" spans="1:36">
      <c r="A81" s="26" t="s">
        <v>527</v>
      </c>
      <c r="B81">
        <v>17.347656033450001</v>
      </c>
      <c r="C81" t="s">
        <v>731</v>
      </c>
      <c r="D81" t="s">
        <v>272</v>
      </c>
      <c r="E81" s="110">
        <f>MATCH(F81,RES!$D$96:$D$125,0)</f>
        <v>15</v>
      </c>
      <c r="F81" t="str">
        <f>A81</f>
        <v>RMEWG</v>
      </c>
      <c r="G81" s="107">
        <f ca="1">OFFSET(RES!L$95,$E81,0)</f>
        <v>7.1740496070211197</v>
      </c>
      <c r="H81" s="107">
        <f ca="1">OFFSET(RES!M$95,$E81,0)</f>
        <v>7.3676156028773683</v>
      </c>
      <c r="I81" s="107">
        <f ca="1">OFFSET(RES!N$95,$E81,0)</f>
        <v>7.5667200193811892</v>
      </c>
      <c r="J81" s="175">
        <f ca="1">OFFSET(RES!O$95,$E81,0)</f>
        <v>7.9516709180179346</v>
      </c>
      <c r="K81" s="107">
        <f ca="1">OFFSET(RES!P$95,$E81,0)</f>
        <v>7.5655786149660296</v>
      </c>
      <c r="L81" s="107">
        <f ca="1">OFFSET(RES!Q$95,$E81,0)</f>
        <v>7.7328116063775552</v>
      </c>
      <c r="M81" s="107">
        <f ca="1">OFFSET(RES!R$95,$E81,0)</f>
        <v>7.808424383840789</v>
      </c>
      <c r="N81" s="107">
        <f ca="1">OFFSET(RES!S$95,$E81,0)</f>
        <v>7.9256864367286957</v>
      </c>
      <c r="O81" s="175">
        <f ca="1">OFFSET(RES!T$95,$E81,0)</f>
        <v>8.055709249851045</v>
      </c>
      <c r="P81" s="107">
        <f ca="1">OFFSET(RES!U$95,$E81,0)</f>
        <v>8.1796316358143191</v>
      </c>
      <c r="Q81" s="107">
        <f ca="1">OFFSET(RES!V$95,$E81,0)</f>
        <v>8.3108998471808064</v>
      </c>
      <c r="R81" s="107">
        <f ca="1">OFFSET(RES!W$95,$E81,0)</f>
        <v>8.4424181912134468</v>
      </c>
      <c r="S81" s="107">
        <f ca="1">OFFSET(RES!X$95,$E81,0)</f>
        <v>8.5765894672008045</v>
      </c>
      <c r="T81" s="107">
        <f ca="1">OFFSET(RES!Y$95,$E81,0)</f>
        <v>8.7262520107082846</v>
      </c>
      <c r="U81" s="107">
        <f ca="1">OFFSET(RES!Z$95,$E81,0)</f>
        <v>8.8670359357205459</v>
      </c>
      <c r="V81" s="107">
        <f ca="1">OFFSET(RES!AA$95,$E81,0)</f>
        <v>9.0079537554957163</v>
      </c>
      <c r="W81" s="107">
        <f ca="1">OFFSET(RES!AB$95,$E81,0)</f>
        <v>9.1454590877448414</v>
      </c>
      <c r="X81" s="107">
        <f ca="1">OFFSET(RES!AC$95,$E81,0)</f>
        <v>9.2853908558980098</v>
      </c>
      <c r="Y81" s="107">
        <f ca="1">OFFSET(RES!AD$95,$E81,0)</f>
        <v>9.4303442110392801</v>
      </c>
      <c r="Z81" s="107">
        <f ca="1">OFFSET(RES!AE$95,$E81,0)</f>
        <v>9.5526653117693456</v>
      </c>
      <c r="AA81" s="107">
        <f ca="1">OFFSET(RES!AF$95,$E81,0)</f>
        <v>9.6680047363258623</v>
      </c>
      <c r="AB81" s="107">
        <f ca="1">OFFSET(RES!AG$95,$E81,0)</f>
        <v>9.7895643874328098</v>
      </c>
      <c r="AC81" s="107">
        <f ca="1">OFFSET(RES!AH$95,$E81,0)</f>
        <v>9.8997305096516666</v>
      </c>
      <c r="AD81" s="107">
        <f ca="1">OFFSET(RES!AI$95,$E81,0)</f>
        <v>10.00622767402368</v>
      </c>
      <c r="AE81" s="107">
        <f ca="1">OFFSET(RES!AJ$95,$E81,0)</f>
        <v>10.767114670306063</v>
      </c>
      <c r="AF81" s="107">
        <f ca="1">OFFSET(RES!AK$95,$E81,0)</f>
        <v>11.513620059501156</v>
      </c>
      <c r="AG81" s="107">
        <f ca="1">OFFSET(RES!AL$95,$E81,0)</f>
        <v>12.184736099138426</v>
      </c>
      <c r="AH81" s="107">
        <f ca="1">OFFSET(RES!AM$95,$E81,0)</f>
        <v>12.811414213759891</v>
      </c>
      <c r="AJ81">
        <f t="shared" ca="1" si="3"/>
        <v>1.7857995017516437</v>
      </c>
    </row>
    <row r="82" spans="1:36">
      <c r="A82" s="26" t="s">
        <v>364</v>
      </c>
      <c r="B82">
        <v>0.2282739655271</v>
      </c>
      <c r="C82" t="s">
        <v>731</v>
      </c>
      <c r="D82" t="s">
        <v>272</v>
      </c>
      <c r="E82" s="110">
        <f>MATCH(F82,RES!$D$96:$D$125,0)</f>
        <v>12</v>
      </c>
      <c r="F82" t="str">
        <f t="shared" si="2"/>
        <v>RMNL</v>
      </c>
      <c r="G82" s="107">
        <f ca="1">OFFSET(RES!L$95,$E82,0)</f>
        <v>7.1482186957706306E-2</v>
      </c>
      <c r="H82" s="107">
        <f ca="1">OFFSET(RES!M$95,$E82,0)</f>
        <v>7.3410877371403671E-2</v>
      </c>
      <c r="I82" s="107">
        <f ca="1">OFFSET(RES!N$95,$E82,0)</f>
        <v>7.5394752574984944E-2</v>
      </c>
      <c r="J82" s="175">
        <f ca="1">OFFSET(RES!O$95,$E82,0)</f>
        <v>7.9230401004145287E-2</v>
      </c>
      <c r="K82" s="107">
        <f ca="1">OFFSET(RES!P$95,$E82,0)</f>
        <v>7.5383379628285646E-2</v>
      </c>
      <c r="L82" s="107">
        <f ca="1">OFFSET(RES!Q$95,$E82,0)</f>
        <v>7.7049688144730219E-2</v>
      </c>
      <c r="M82" s="107">
        <f ca="1">OFFSET(RES!R$95,$E82,0)</f>
        <v>7.7803093402721263E-2</v>
      </c>
      <c r="N82" s="107">
        <f ca="1">OFFSET(RES!S$95,$E82,0)</f>
        <v>7.897149178950888E-2</v>
      </c>
      <c r="O82" s="175">
        <f ca="1">OFFSET(RES!T$95,$E82,0)</f>
        <v>8.0267038314205674E-2</v>
      </c>
      <c r="P82" s="107">
        <f ca="1">OFFSET(RES!U$95,$E82,0)</f>
        <v>8.15018002195321E-2</v>
      </c>
      <c r="Q82" s="107">
        <f ca="1">OFFSET(RES!V$95,$E82,0)</f>
        <v>8.2809755884812083E-2</v>
      </c>
      <c r="R82" s="107">
        <f ca="1">OFFSET(RES!W$95,$E82,0)</f>
        <v>8.4120203870466981E-2</v>
      </c>
      <c r="S82" s="107">
        <f ca="1">OFFSET(RES!X$95,$E82,0)</f>
        <v>8.5457085654096668E-2</v>
      </c>
      <c r="T82" s="107">
        <f ca="1">OFFSET(RES!Y$95,$E82,0)</f>
        <v>8.6948322333739558E-2</v>
      </c>
      <c r="U82" s="107">
        <f ca="1">OFFSET(RES!Z$95,$E82,0)</f>
        <v>8.8351092512317236E-2</v>
      </c>
      <c r="V82" s="107">
        <f ca="1">OFFSET(RES!AA$95,$E82,0)</f>
        <v>8.9755196817503907E-2</v>
      </c>
      <c r="W82" s="107">
        <f ca="1">OFFSET(RES!AB$95,$E82,0)</f>
        <v>9.1125299117590305E-2</v>
      </c>
      <c r="X82" s="107">
        <f ca="1">OFFSET(RES!AC$95,$E82,0)</f>
        <v>9.2519578410370465E-2</v>
      </c>
      <c r="Y82" s="107">
        <f ca="1">OFFSET(RES!AD$95,$E82,0)</f>
        <v>9.3963892765572904E-2</v>
      </c>
      <c r="Z82" s="107">
        <f ca="1">OFFSET(RES!AE$95,$E82,0)</f>
        <v>9.5182699474506402E-2</v>
      </c>
      <c r="AA82" s="107">
        <f ca="1">OFFSET(RES!AF$95,$E82,0)</f>
        <v>9.6331940804211494E-2</v>
      </c>
      <c r="AB82" s="107">
        <f ca="1">OFFSET(RES!AG$95,$E82,0)</f>
        <v>9.75431604336989E-2</v>
      </c>
      <c r="AC82" s="107">
        <f ca="1">OFFSET(RES!AH$95,$E82,0)</f>
        <v>9.864085501015496E-2</v>
      </c>
      <c r="AD82" s="107">
        <f ca="1">OFFSET(RES!AI$95,$E82,0)</f>
        <v>9.970199211278323E-2</v>
      </c>
      <c r="AE82" s="107">
        <f ca="1">OFFSET(RES!AJ$95,$E82,0)</f>
        <v>0.10728346554847211</v>
      </c>
      <c r="AF82" s="107">
        <f ca="1">OFFSET(RES!AK$95,$E82,0)</f>
        <v>0.1147216407379989</v>
      </c>
      <c r="AG82" s="107">
        <f ca="1">OFFSET(RES!AL$95,$E82,0)</f>
        <v>0.12140863690383481</v>
      </c>
      <c r="AH82" s="107">
        <f ca="1">OFFSET(RES!AM$95,$E82,0)</f>
        <v>0.12765285385318975</v>
      </c>
      <c r="AJ82">
        <f t="shared" ca="1" si="3"/>
        <v>1.7857995017516435</v>
      </c>
    </row>
    <row r="83" spans="1:36">
      <c r="A83" s="26" t="s">
        <v>122</v>
      </c>
      <c r="B83">
        <v>0.46620130319999997</v>
      </c>
      <c r="C83" t="s">
        <v>731</v>
      </c>
      <c r="D83" t="s">
        <v>272</v>
      </c>
      <c r="E83" s="112">
        <f>MATCH(F83,OtherTRA!$D$52:$D$56,0)</f>
        <v>1</v>
      </c>
      <c r="F83" t="str">
        <f>A83</f>
        <v>TFPIP</v>
      </c>
      <c r="G83" s="17">
        <f ca="1">OFFSET(OtherTRA!J$51,$E83,0)</f>
        <v>0.820564128</v>
      </c>
      <c r="H83" s="17">
        <f ca="1">OFFSET(OtherTRA!K$51,$E83,0)</f>
        <v>0.820564128</v>
      </c>
      <c r="I83" s="17">
        <f ca="1">OFFSET(OtherTRA!L$51,$E83,0)</f>
        <v>0.820564128</v>
      </c>
      <c r="J83" s="17">
        <f ca="1">OFFSET(OtherTRA!M$51,$E83,0)</f>
        <v>0.820564128</v>
      </c>
      <c r="K83" s="17">
        <f ca="1">OFFSET(OtherTRA!N$51,$E83,0)</f>
        <v>0.820564128</v>
      </c>
      <c r="L83" s="17">
        <f ca="1">OFFSET(OtherTRA!O$51,$E83,0)</f>
        <v>0.820564128</v>
      </c>
      <c r="M83" s="17">
        <f ca="1">OFFSET(OtherTRA!P$51,$E83,0)</f>
        <v>0.820564128</v>
      </c>
      <c r="N83" s="17">
        <f ca="1">OFFSET(OtherTRA!Q$51,$E83,0)</f>
        <v>0.820564128</v>
      </c>
      <c r="O83" s="17">
        <f ca="1">OFFSET(OtherTRA!R$51,$E83,0)</f>
        <v>0.820564128</v>
      </c>
      <c r="P83" s="17">
        <f ca="1">OFFSET(OtherTRA!S$51,$E83,0)</f>
        <v>0.820564128</v>
      </c>
      <c r="Q83" s="17">
        <f ca="1">OFFSET(OtherTRA!T$51,$E83,0)</f>
        <v>0.820564128</v>
      </c>
      <c r="R83" s="17">
        <f ca="1">OFFSET(OtherTRA!U$51,$E83,0)</f>
        <v>0.820564128</v>
      </c>
      <c r="S83" s="17">
        <f ca="1">OFFSET(OtherTRA!V$51,$E83,0)</f>
        <v>0.820564128</v>
      </c>
      <c r="T83" s="17">
        <f ca="1">OFFSET(OtherTRA!W$51,$E83,0)</f>
        <v>0.820564128</v>
      </c>
      <c r="U83" s="17">
        <f ca="1">OFFSET(OtherTRA!X$51,$E83,0)</f>
        <v>0.820564128</v>
      </c>
      <c r="V83" s="17">
        <f ca="1">OFFSET(OtherTRA!Y$51,$E83,0)</f>
        <v>0.820564128</v>
      </c>
      <c r="W83" s="17">
        <f ca="1">OFFSET(OtherTRA!Z$51,$E83,0)</f>
        <v>0.820564128</v>
      </c>
      <c r="X83" s="17">
        <f ca="1">OFFSET(OtherTRA!AA$51,$E83,0)</f>
        <v>0.820564128</v>
      </c>
      <c r="Y83" s="17">
        <f ca="1">OFFSET(OtherTRA!AB$51,$E83,0)</f>
        <v>0.820564128</v>
      </c>
      <c r="Z83" s="17">
        <f ca="1">OFFSET(OtherTRA!AC$51,$E83,0)</f>
        <v>0.820564128</v>
      </c>
      <c r="AA83" s="17">
        <f ca="1">OFFSET(OtherTRA!AD$51,$E83,0)</f>
        <v>0.820564128</v>
      </c>
      <c r="AB83" s="17">
        <f ca="1">OFFSET(OtherTRA!AE$51,$E83,0)</f>
        <v>0.820564128</v>
      </c>
      <c r="AC83" s="17">
        <f ca="1">OFFSET(OtherTRA!AF$51,$E83,0)</f>
        <v>0.820564128</v>
      </c>
      <c r="AD83" s="17">
        <f ca="1">OFFSET(OtherTRA!AG$51,$E83,0)</f>
        <v>0.820564128</v>
      </c>
      <c r="AE83" s="17">
        <f ca="1">OFFSET(OtherTRA!AH$51,$E83,0)</f>
        <v>0.820564128</v>
      </c>
      <c r="AF83" s="17">
        <f ca="1">OFFSET(OtherTRA!AI$51,$E83,0)</f>
        <v>0.820564128</v>
      </c>
      <c r="AG83" s="17">
        <f ca="1">OFFSET(OtherTRA!AJ$51,$E83,0)</f>
        <v>0.820564128</v>
      </c>
      <c r="AH83" s="17">
        <f ca="1">OFFSET(OtherTRA!AK$51,$E83,0)</f>
        <v>0.820564128</v>
      </c>
      <c r="AJ83">
        <f t="shared" ca="1" si="3"/>
        <v>1</v>
      </c>
    </row>
    <row r="84" spans="1:36">
      <c r="A84" s="26" t="s">
        <v>586</v>
      </c>
      <c r="B84">
        <f>[2]EB_2006!$AI$69/1000</f>
        <v>35.178032837499991</v>
      </c>
      <c r="C84" t="s">
        <v>731</v>
      </c>
      <c r="D84" t="s">
        <v>272</v>
      </c>
      <c r="E84" s="109">
        <f>MATCH(F84,OtherTRA!$D$52:$D$56,0)</f>
        <v>2</v>
      </c>
      <c r="F84" t="str">
        <f t="shared" si="2"/>
        <v>TAIJET</v>
      </c>
      <c r="G84" s="17">
        <f ca="1">OFFSET(OtherTRA!J$51,$E84,0)</f>
        <v>68.939278175231294</v>
      </c>
      <c r="H84" s="17">
        <f ca="1">OFFSET(OtherTRA!K$51,$E84,0)</f>
        <v>73.635488498537683</v>
      </c>
      <c r="I84" s="17">
        <f ca="1">OFFSET(OtherTRA!L$51,$E84,0)</f>
        <v>78.331698821844057</v>
      </c>
      <c r="J84" s="17">
        <f ca="1">OFFSET(OtherTRA!M$51,$E84,0)</f>
        <v>74.141114111210427</v>
      </c>
      <c r="K84" s="17">
        <f ca="1">OFFSET(OtherTRA!N$51,$E84,0)</f>
        <v>75.634749564904482</v>
      </c>
      <c r="L84" s="17">
        <f ca="1">OFFSET(OtherTRA!O$51,$E84,0)</f>
        <v>72.615471708239014</v>
      </c>
      <c r="M84" s="17">
        <f ca="1">OFFSET(OtherTRA!P$51,$E84,0)</f>
        <v>69.596193851573545</v>
      </c>
      <c r="N84" s="17">
        <f ca="1">OFFSET(OtherTRA!Q$51,$E84,0)</f>
        <v>66.576915994908077</v>
      </c>
      <c r="O84" s="17">
        <f ca="1">OFFSET(OtherTRA!R$51,$E84,0)</f>
        <v>63.557638138242616</v>
      </c>
      <c r="P84" s="17">
        <f ca="1">OFFSET(OtherTRA!S$51,$E84,0)</f>
        <v>60.538360281577155</v>
      </c>
      <c r="Q84" s="17">
        <f ca="1">OFFSET(OtherTRA!T$51,$E84,0)</f>
        <v>57.519082424911694</v>
      </c>
      <c r="R84" s="17">
        <f ca="1">OFFSET(OtherTRA!U$51,$E84,0)</f>
        <v>54.499804568246233</v>
      </c>
      <c r="S84" s="17">
        <f ca="1">OFFSET(OtherTRA!V$51,$E84,0)</f>
        <v>51.480526711580772</v>
      </c>
      <c r="T84" s="17">
        <f ca="1">OFFSET(OtherTRA!W$51,$E84,0)</f>
        <v>48.461248854915304</v>
      </c>
      <c r="U84" s="17">
        <f ca="1">OFFSET(OtherTRA!X$51,$E84,0)</f>
        <v>50.062801841955149</v>
      </c>
      <c r="V84" s="17">
        <f ca="1">OFFSET(OtherTRA!Y$51,$E84,0)</f>
        <v>51.664354828994988</v>
      </c>
      <c r="W84" s="17">
        <f ca="1">OFFSET(OtherTRA!Z$51,$E84,0)</f>
        <v>53.265907816034826</v>
      </c>
      <c r="X84" s="17">
        <f ca="1">OFFSET(OtherTRA!AA$51,$E84,0)</f>
        <v>54.867460803074664</v>
      </c>
      <c r="Y84" s="17">
        <f ca="1">OFFSET(OtherTRA!AB$51,$E84,0)</f>
        <v>56.469013790114502</v>
      </c>
      <c r="Z84" s="17">
        <f ca="1">OFFSET(OtherTRA!AC$51,$E84,0)</f>
        <v>58.07056677715434</v>
      </c>
      <c r="AA84" s="17">
        <f ca="1">OFFSET(OtherTRA!AD$51,$E84,0)</f>
        <v>59.672119764194179</v>
      </c>
      <c r="AB84" s="17">
        <f ca="1">OFFSET(OtherTRA!AE$51,$E84,0)</f>
        <v>61.273672751234017</v>
      </c>
      <c r="AC84" s="17">
        <f ca="1">OFFSET(OtherTRA!AF$51,$E84,0)</f>
        <v>62.875225738273855</v>
      </c>
      <c r="AD84" s="17">
        <f ca="1">OFFSET(OtherTRA!AG$51,$E84,0)</f>
        <v>64.476778725313721</v>
      </c>
      <c r="AE84" s="17">
        <f ca="1">OFFSET(OtherTRA!AH$51,$E84,0)</f>
        <v>66.517325435111914</v>
      </c>
      <c r="AF84" s="17">
        <f ca="1">OFFSET(OtherTRA!AI$51,$E84,0)</f>
        <v>68.557872144910107</v>
      </c>
      <c r="AG84" s="17">
        <f ca="1">OFFSET(OtherTRA!AJ$51,$E84,0)</f>
        <v>70.598418854708299</v>
      </c>
      <c r="AH84" s="17">
        <f ca="1">OFFSET(OtherTRA!AK$51,$E84,0)</f>
        <v>72.638965564506492</v>
      </c>
      <c r="AJ84">
        <f t="shared" ca="1" si="3"/>
        <v>1.0536658852138145</v>
      </c>
    </row>
    <row r="85" spans="1:36">
      <c r="A85" s="26" t="s">
        <v>587</v>
      </c>
      <c r="B85">
        <f>[2]EB_2006!$AI$70/1000</f>
        <v>42.764908764899999</v>
      </c>
      <c r="C85" t="s">
        <v>731</v>
      </c>
      <c r="D85" t="s">
        <v>272</v>
      </c>
      <c r="E85" s="109">
        <f>MATCH(F85,OtherTRA!$D$52:$D$56,0)</f>
        <v>3</v>
      </c>
      <c r="F85" t="str">
        <f t="shared" ref="F85" si="4">A85</f>
        <v>TADJET</v>
      </c>
      <c r="G85" s="17">
        <f ca="1">OFFSET(OtherTRA!J$51,$E85,0)</f>
        <v>20.465228059152793</v>
      </c>
      <c r="H85" s="17">
        <f ca="1">OFFSET(OtherTRA!K$51,$E85,0)</f>
        <v>21.869482761120459</v>
      </c>
      <c r="I85" s="17">
        <f ca="1">OFFSET(OtherTRA!L$51,$E85,0)</f>
        <v>23.273737463088121</v>
      </c>
      <c r="J85" s="17">
        <f ca="1">OFFSET(OtherTRA!M$51,$E85,0)</f>
        <v>22.028640397161595</v>
      </c>
      <c r="K85" s="17">
        <f ca="1">OFFSET(OtherTRA!N$51,$E85,0)</f>
        <v>22.472425990193337</v>
      </c>
      <c r="L85" s="17">
        <f ca="1">OFFSET(OtherTRA!O$51,$E85,0)</f>
        <v>21.575344971639563</v>
      </c>
      <c r="M85" s="17">
        <f ca="1">OFFSET(OtherTRA!P$51,$E85,0)</f>
        <v>20.678263953085789</v>
      </c>
      <c r="N85" s="17">
        <f ca="1">OFFSET(OtherTRA!Q$51,$E85,0)</f>
        <v>19.781182934532016</v>
      </c>
      <c r="O85" s="17">
        <f ca="1">OFFSET(OtherTRA!R$51,$E85,0)</f>
        <v>18.884101915978242</v>
      </c>
      <c r="P85" s="17">
        <f ca="1">OFFSET(OtherTRA!S$51,$E85,0)</f>
        <v>17.987020897424468</v>
      </c>
      <c r="Q85" s="17">
        <f ca="1">OFFSET(OtherTRA!T$51,$E85,0)</f>
        <v>17.089939878870695</v>
      </c>
      <c r="R85" s="17">
        <f ca="1">OFFSET(OtherTRA!U$51,$E85,0)</f>
        <v>16.192858860316921</v>
      </c>
      <c r="S85" s="17">
        <f ca="1">OFFSET(OtherTRA!V$51,$E85,0)</f>
        <v>15.295777841763146</v>
      </c>
      <c r="T85" s="17">
        <f ca="1">OFFSET(OtherTRA!W$51,$E85,0)</f>
        <v>14.398696823209363</v>
      </c>
      <c r="U85" s="17">
        <f ca="1">OFFSET(OtherTRA!X$51,$E85,0)</f>
        <v>14.87454663004638</v>
      </c>
      <c r="V85" s="17">
        <f ca="1">OFFSET(OtherTRA!Y$51,$E85,0)</f>
        <v>15.350396436883397</v>
      </c>
      <c r="W85" s="17">
        <f ca="1">OFFSET(OtherTRA!Z$51,$E85,0)</f>
        <v>15.826246243720414</v>
      </c>
      <c r="X85" s="17">
        <f ca="1">OFFSET(OtherTRA!AA$51,$E85,0)</f>
        <v>16.302096050557431</v>
      </c>
      <c r="Y85" s="17">
        <f ca="1">OFFSET(OtherTRA!AB$51,$E85,0)</f>
        <v>16.777945857394446</v>
      </c>
      <c r="Z85" s="17">
        <f ca="1">OFFSET(OtherTRA!AC$51,$E85,0)</f>
        <v>17.253795664231461</v>
      </c>
      <c r="AA85" s="17">
        <f ca="1">OFFSET(OtherTRA!AD$51,$E85,0)</f>
        <v>17.729645471068476</v>
      </c>
      <c r="AB85" s="17">
        <f ca="1">OFFSET(OtherTRA!AE$51,$E85,0)</f>
        <v>18.205495277905491</v>
      </c>
      <c r="AC85" s="17">
        <f ca="1">OFFSET(OtherTRA!AF$51,$E85,0)</f>
        <v>18.681345084742507</v>
      </c>
      <c r="AD85" s="17">
        <f ca="1">OFFSET(OtherTRA!AG$51,$E85,0)</f>
        <v>19.157194891579529</v>
      </c>
      <c r="AE85" s="17">
        <f ca="1">OFFSET(OtherTRA!AH$51,$E85,0)</f>
        <v>19.763477521974462</v>
      </c>
      <c r="AF85" s="17">
        <f ca="1">OFFSET(OtherTRA!AI$51,$E85,0)</f>
        <v>20.369760152369395</v>
      </c>
      <c r="AG85" s="17">
        <f ca="1">OFFSET(OtherTRA!AJ$51,$E85,0)</f>
        <v>20.976042782764328</v>
      </c>
      <c r="AH85" s="17">
        <f ca="1">OFFSET(OtherTRA!AK$51,$E85,0)</f>
        <v>21.582325413159261</v>
      </c>
      <c r="AJ85">
        <f t="shared" ca="1" si="3"/>
        <v>1.0545851407459328</v>
      </c>
    </row>
    <row r="86" spans="1:36">
      <c r="A86" s="26" t="s">
        <v>365</v>
      </c>
      <c r="B86" s="17">
        <f>[2]EB_2006!$AG$68/1000</f>
        <v>0.74474625240000003</v>
      </c>
      <c r="C86" t="s">
        <v>731</v>
      </c>
      <c r="D86" t="s">
        <v>272</v>
      </c>
      <c r="E86" s="111">
        <f>MATCH(F86,OtherTRA!$D$52:$D$56,0)</f>
        <v>4</v>
      </c>
      <c r="F86" t="str">
        <f t="shared" si="2"/>
        <v>TAOAG</v>
      </c>
      <c r="G86" s="17">
        <f ca="1">OFFSET(OtherTRA!J$51,$E86,0)</f>
        <v>0.90926579192061818</v>
      </c>
      <c r="H86" s="17">
        <f ca="1">OFFSET(OtherTRA!K$51,$E86,0)</f>
        <v>0.92163021555847424</v>
      </c>
      <c r="I86" s="17">
        <f ca="1">OFFSET(OtherTRA!L$51,$E86,0)</f>
        <v>0.9339946391963303</v>
      </c>
      <c r="J86" s="17">
        <f ca="1">OFFSET(OtherTRA!M$51,$E86,0)</f>
        <v>0.88402784779899579</v>
      </c>
      <c r="K86" s="17">
        <f ca="1">OFFSET(OtherTRA!N$51,$E86,0)</f>
        <v>0</v>
      </c>
      <c r="L86" s="17">
        <f ca="1">OFFSET(OtherTRA!O$51,$E86,0)</f>
        <v>0.11592304658305566</v>
      </c>
      <c r="M86" s="17">
        <f ca="1">OFFSET(OtherTRA!P$51,$E86,0)</f>
        <v>0.23184609316611132</v>
      </c>
      <c r="N86" s="17">
        <f ca="1">OFFSET(OtherTRA!Q$51,$E86,0)</f>
        <v>0.34776913974916701</v>
      </c>
      <c r="O86" s="17">
        <f ca="1">OFFSET(OtherTRA!R$51,$E86,0)</f>
        <v>0.46369218633222264</v>
      </c>
      <c r="P86" s="17">
        <f ca="1">OFFSET(OtherTRA!S$51,$E86,0)</f>
        <v>0.57961523291527828</v>
      </c>
      <c r="Q86" s="17">
        <f ca="1">OFFSET(OtherTRA!T$51,$E86,0)</f>
        <v>0.69553827949833391</v>
      </c>
      <c r="R86" s="17">
        <f ca="1">OFFSET(OtherTRA!U$51,$E86,0)</f>
        <v>0.81146132608138954</v>
      </c>
      <c r="S86" s="17">
        <f ca="1">OFFSET(OtherTRA!V$51,$E86,0)</f>
        <v>0.92738437266444518</v>
      </c>
      <c r="T86" s="17">
        <f ca="1">OFFSET(OtherTRA!W$51,$E86,0)</f>
        <v>1.0433074192475009</v>
      </c>
      <c r="U86" s="17">
        <f ca="1">OFFSET(OtherTRA!X$51,$E86,0)</f>
        <v>1.0892672976474866</v>
      </c>
      <c r="V86" s="17">
        <f ca="1">OFFSET(OtherTRA!Y$51,$E86,0)</f>
        <v>1.1352271760474724</v>
      </c>
      <c r="W86" s="17">
        <f ca="1">OFFSET(OtherTRA!Z$51,$E86,0)</f>
        <v>1.1811870544474581</v>
      </c>
      <c r="X86" s="17">
        <f ca="1">OFFSET(OtherTRA!AA$51,$E86,0)</f>
        <v>1.2271469328474438</v>
      </c>
      <c r="Y86" s="17">
        <f ca="1">OFFSET(OtherTRA!AB$51,$E86,0)</f>
        <v>1.2731068112474295</v>
      </c>
      <c r="Z86" s="17">
        <f ca="1">OFFSET(OtherTRA!AC$51,$E86,0)</f>
        <v>1.3190666896474152</v>
      </c>
      <c r="AA86" s="17">
        <f ca="1">OFFSET(OtherTRA!AD$51,$E86,0)</f>
        <v>1.365026568047401</v>
      </c>
      <c r="AB86" s="17">
        <f ca="1">OFFSET(OtherTRA!AE$51,$E86,0)</f>
        <v>1.4109864464473867</v>
      </c>
      <c r="AC86" s="17">
        <f ca="1">OFFSET(OtherTRA!AF$51,$E86,0)</f>
        <v>1.4569463248473724</v>
      </c>
      <c r="AD86" s="17">
        <f ca="1">OFFSET(OtherTRA!AG$51,$E86,0)</f>
        <v>1.5029062032473572</v>
      </c>
      <c r="AE86" s="17">
        <f ca="1">OFFSET(OtherTRA!AH$51,$E86,0)</f>
        <v>1.5683091620805649</v>
      </c>
      <c r="AF86" s="17">
        <f ca="1">OFFSET(OtherTRA!AI$51,$E86,0)</f>
        <v>1.6337121209137726</v>
      </c>
      <c r="AG86" s="17">
        <f ca="1">OFFSET(OtherTRA!AJ$51,$E86,0)</f>
        <v>1.6991150797469803</v>
      </c>
      <c r="AH86" s="17">
        <f ca="1">OFFSET(OtherTRA!AK$51,$E86,0)</f>
        <v>1.764518038580188</v>
      </c>
      <c r="AJ86">
        <f t="shared" ca="1" si="3"/>
        <v>1.9405965277249053</v>
      </c>
    </row>
    <row r="87" spans="1:36">
      <c r="A87" s="26" t="s">
        <v>139</v>
      </c>
      <c r="B87" s="17">
        <v>52.28615900487997</v>
      </c>
      <c r="C87" t="s">
        <v>731</v>
      </c>
      <c r="D87" t="s">
        <v>272</v>
      </c>
      <c r="E87" s="110">
        <f>MATCH(F87,FTRA!$D$137:$D$149,0)</f>
        <v>1</v>
      </c>
      <c r="F87" t="str">
        <f>A87</f>
        <v>TFLCV</v>
      </c>
      <c r="G87" s="17">
        <f ca="1">OFFSET(FTRA!J$136,$E87,0)</f>
        <v>47.584820585749902</v>
      </c>
      <c r="H87" s="17">
        <f ca="1">OFFSET(FTRA!K$136,$E87,0)</f>
        <v>47.880977189748378</v>
      </c>
      <c r="I87" s="17">
        <f ca="1">OFFSET(FTRA!L$136,$E87,0)</f>
        <v>48.177133793746854</v>
      </c>
      <c r="J87" s="17">
        <f ca="1">OFFSET(FTRA!M$136,$E87,0)</f>
        <v>46.38666602024783</v>
      </c>
      <c r="K87" s="17">
        <f ca="1">OFFSET(FTRA!N$136,$E87,0)</f>
        <v>46.854664337209421</v>
      </c>
      <c r="L87" s="17">
        <f ca="1">OFFSET(FTRA!O$136,$E87,0)</f>
        <v>47.499444955473628</v>
      </c>
      <c r="M87" s="17">
        <f ca="1">OFFSET(FTRA!P$136,$E87,0)</f>
        <v>48.144225573737835</v>
      </c>
      <c r="N87" s="17">
        <f ca="1">OFFSET(FTRA!S$136,$E87,0)</f>
        <v>48.789006192002041</v>
      </c>
      <c r="O87" s="17">
        <f ca="1">OFFSET(FTRA!T$136,$E87,0)</f>
        <v>49.433786810266248</v>
      </c>
      <c r="P87" s="17">
        <f ca="1">OFFSET(FTRA!U$136,$E87,0)</f>
        <v>50.078567428530455</v>
      </c>
      <c r="Q87" s="17">
        <f ca="1">OFFSET(FTRA!V$136,$E87,0)</f>
        <v>50.723348046794662</v>
      </c>
      <c r="R87" s="17">
        <f ca="1">OFFSET(FTRA!W$136,$E87,0)</f>
        <v>51.368128665058869</v>
      </c>
      <c r="S87" s="17">
        <f ca="1">OFFSET(FTRA!X$136,$E87,0)</f>
        <v>52.012909283323076</v>
      </c>
      <c r="T87" s="17">
        <f ca="1">OFFSET(FTRA!Y$136,$E87,0)</f>
        <v>52.65768990158729</v>
      </c>
      <c r="U87" s="17">
        <f ca="1">OFFSET(FTRA!Z$136,$E87,0)</f>
        <v>54.450820010739768</v>
      </c>
      <c r="V87" s="17">
        <f ca="1">OFFSET(FTRA!AC$136,$E87,0)</f>
        <v>56.243950119892247</v>
      </c>
      <c r="W87" s="17">
        <f ca="1">OFFSET(FTRA!AD$136,$E87,0)</f>
        <v>58.037080229044726</v>
      </c>
      <c r="X87" s="17">
        <f ca="1">OFFSET(FTRA!AE$136,$E87,0)</f>
        <v>59.830210338197205</v>
      </c>
      <c r="Y87" s="17">
        <f ca="1">OFFSET(FTRA!AF$136,$E87,0)</f>
        <v>61.623340447349683</v>
      </c>
      <c r="Z87" s="17">
        <f ca="1">OFFSET(FTRA!AG$136,$E87,0)</f>
        <v>63.416470556502162</v>
      </c>
      <c r="AA87" s="17">
        <f ca="1">OFFSET(FTRA!AH$136,$E87,0)</f>
        <v>65.209600665654648</v>
      </c>
      <c r="AB87" s="17">
        <f ca="1">OFFSET(FTRA!AI$136,$E87,0)</f>
        <v>67.002730774807134</v>
      </c>
      <c r="AC87" s="17">
        <f ca="1">OFFSET(FTRA!AJ$136,$E87,0)</f>
        <v>68.79586088395962</v>
      </c>
      <c r="AD87" s="17">
        <f ca="1">OFFSET(FTRA!AK$136,$E87,0)</f>
        <v>70.588990993112105</v>
      </c>
      <c r="AE87" s="17">
        <f ca="1">OFFSET(FTRA!AL$136,$E87,0)</f>
        <v>82.466190267385201</v>
      </c>
      <c r="AF87" s="17">
        <f ca="1">OFFSET(FTRA!AM$136,$E87,0)</f>
        <v>94.343389541658269</v>
      </c>
      <c r="AG87" s="17">
        <f ca="1">OFFSET(FTRA!AN$136,$E87,0)</f>
        <v>117.35350634244885</v>
      </c>
      <c r="AH87" s="17">
        <f ca="1">OFFSET(FTRA!AO$136,$E87,0)</f>
        <v>126.06849383854137</v>
      </c>
      <c r="AJ87">
        <f t="shared" ca="1" si="3"/>
        <v>2.6493426325178739</v>
      </c>
    </row>
    <row r="88" spans="1:36">
      <c r="A88" s="26" t="s">
        <v>396</v>
      </c>
      <c r="B88" s="17">
        <v>4.134278411680218</v>
      </c>
      <c r="C88" t="s">
        <v>731</v>
      </c>
      <c r="D88" t="s">
        <v>272</v>
      </c>
      <c r="E88" s="109">
        <f>MATCH(F88,FTRA!$D$137:$D$149,0)</f>
        <v>2</v>
      </c>
      <c r="F88" t="str">
        <f>A88</f>
        <v>TFHCV1</v>
      </c>
      <c r="G88" s="17">
        <f ca="1">OFFSET(FTRA!J$136,$E88,0)</f>
        <v>3.6514783707452798</v>
      </c>
      <c r="H88" s="17">
        <f ca="1">OFFSET(FTRA!K$136,$E88,0)</f>
        <v>3.9360166491438862</v>
      </c>
      <c r="I88" s="17">
        <f ca="1">OFFSET(FTRA!L$136,$E88,0)</f>
        <v>4.2205549275424925</v>
      </c>
      <c r="J88" s="17">
        <f ca="1">OFFSET(FTRA!M$136,$E88,0)</f>
        <v>4.0637011052209129</v>
      </c>
      <c r="K88" s="17">
        <f ca="1">OFFSET(FTRA!N$136,$E88,0)</f>
        <v>4.1047000698166478</v>
      </c>
      <c r="L88" s="17">
        <f ca="1">OFFSET(FTRA!O$136,$E88,0)</f>
        <v>4.1611860373557157</v>
      </c>
      <c r="M88" s="17">
        <f ca="1">OFFSET(FTRA!P$136,$E88,0)</f>
        <v>4.2176720048947836</v>
      </c>
      <c r="N88" s="17">
        <f ca="1">OFFSET(FTRA!S$136,$E88,0)</f>
        <v>4.2741579724338514</v>
      </c>
      <c r="O88" s="17">
        <f ca="1">OFFSET(FTRA!T$136,$E88,0)</f>
        <v>4.3306439399729193</v>
      </c>
      <c r="P88" s="17">
        <f ca="1">OFFSET(FTRA!U$136,$E88,0)</f>
        <v>4.3871299075119872</v>
      </c>
      <c r="Q88" s="17">
        <f ca="1">OFFSET(FTRA!V$136,$E88,0)</f>
        <v>4.443615875051055</v>
      </c>
      <c r="R88" s="17">
        <f ca="1">OFFSET(FTRA!W$136,$E88,0)</f>
        <v>4.5001018425901229</v>
      </c>
      <c r="S88" s="17">
        <f ca="1">OFFSET(FTRA!X$136,$E88,0)</f>
        <v>4.5565878101291908</v>
      </c>
      <c r="T88" s="17">
        <f ca="1">OFFSET(FTRA!Y$136,$E88,0)</f>
        <v>4.6130737776682551</v>
      </c>
      <c r="U88" s="17">
        <f ca="1">OFFSET(FTRA!Z$136,$E88,0)</f>
        <v>4.7098673764458727</v>
      </c>
      <c r="V88" s="17">
        <f ca="1">OFFSET(FTRA!AC$136,$E88,0)</f>
        <v>4.8066609752234903</v>
      </c>
      <c r="W88" s="17">
        <f ca="1">OFFSET(FTRA!AD$136,$E88,0)</f>
        <v>4.903454574001108</v>
      </c>
      <c r="X88" s="17">
        <f ca="1">OFFSET(FTRA!AE$136,$E88,0)</f>
        <v>5.0002481727787256</v>
      </c>
      <c r="Y88" s="17">
        <f ca="1">OFFSET(FTRA!AF$136,$E88,0)</f>
        <v>5.0970417715563432</v>
      </c>
      <c r="Z88" s="17">
        <f ca="1">OFFSET(FTRA!AG$136,$E88,0)</f>
        <v>5.1938353703339608</v>
      </c>
      <c r="AA88" s="17">
        <f ca="1">OFFSET(FTRA!AH$136,$E88,0)</f>
        <v>5.2906289691115784</v>
      </c>
      <c r="AB88" s="17">
        <f ca="1">OFFSET(FTRA!AI$136,$E88,0)</f>
        <v>5.387422567889196</v>
      </c>
      <c r="AC88" s="17">
        <f ca="1">OFFSET(FTRA!AJ$136,$E88,0)</f>
        <v>5.4842161666668137</v>
      </c>
      <c r="AD88" s="17">
        <f ca="1">OFFSET(FTRA!AK$136,$E88,0)</f>
        <v>5.5810097654444339</v>
      </c>
      <c r="AE88" s="17">
        <f ca="1">OFFSET(FTRA!AL$136,$E88,0)</f>
        <v>6.3335843515098915</v>
      </c>
      <c r="AF88" s="17">
        <f ca="1">OFFSET(FTRA!AM$136,$E88,0)</f>
        <v>7.0861589375753464</v>
      </c>
      <c r="AG88" s="17">
        <f ca="1">OFFSET(FTRA!AN$136,$E88,0)</f>
        <v>8.3737326141361095</v>
      </c>
      <c r="AH88" s="17">
        <f ca="1">OFFSET(FTRA!AO$136,$E88,0)</f>
        <v>8.5458091266635687</v>
      </c>
      <c r="AJ88">
        <f t="shared" ca="1" si="3"/>
        <v>2.3403696418224542</v>
      </c>
    </row>
    <row r="89" spans="1:36">
      <c r="A89" s="26" t="s">
        <v>397</v>
      </c>
      <c r="B89" s="17">
        <v>0.80954708483781546</v>
      </c>
      <c r="C89" t="s">
        <v>731</v>
      </c>
      <c r="D89" t="s">
        <v>272</v>
      </c>
      <c r="E89" s="109">
        <f>MATCH(F89,FTRA!$D$137:$D$149,0)</f>
        <v>3</v>
      </c>
      <c r="F89" t="str">
        <f t="shared" ref="F89:F96" si="5">A89</f>
        <v>TFHCV2</v>
      </c>
      <c r="G89" s="17">
        <f ca="1">OFFSET(FTRA!J$136,$E89,0)</f>
        <v>1.0030192144974699</v>
      </c>
      <c r="H89" s="17">
        <f ca="1">OFFSET(FTRA!K$136,$E89,0)</f>
        <v>1.009261767493451</v>
      </c>
      <c r="I89" s="17">
        <f ca="1">OFFSET(FTRA!L$136,$E89,0)</f>
        <v>1.0155043204894318</v>
      </c>
      <c r="J89" s="17">
        <f ca="1">OFFSET(FTRA!M$136,$E89,0)</f>
        <v>0.97776384868242405</v>
      </c>
      <c r="K89" s="17">
        <f ca="1">OFFSET(FTRA!N$136,$E89,0)</f>
        <v>0.98762857651971914</v>
      </c>
      <c r="L89" s="17">
        <f ca="1">OFFSET(FTRA!O$136,$E89,0)</f>
        <v>0.99505324207490387</v>
      </c>
      <c r="M89" s="17">
        <f ca="1">OFFSET(FTRA!P$136,$E89,0)</f>
        <v>1.0024779076300885</v>
      </c>
      <c r="N89" s="17">
        <f ca="1">OFFSET(FTRA!S$136,$E89,0)</f>
        <v>1.0099025731852731</v>
      </c>
      <c r="O89" s="17">
        <f ca="1">OFFSET(FTRA!T$136,$E89,0)</f>
        <v>1.0173272387404577</v>
      </c>
      <c r="P89" s="17">
        <f ca="1">OFFSET(FTRA!U$136,$E89,0)</f>
        <v>1.0247519042956423</v>
      </c>
      <c r="Q89" s="17">
        <f ca="1">OFFSET(FTRA!V$136,$E89,0)</f>
        <v>1.032176569850827</v>
      </c>
      <c r="R89" s="17">
        <f ca="1">OFFSET(FTRA!W$136,$E89,0)</f>
        <v>1.0396012354060116</v>
      </c>
      <c r="S89" s="17">
        <f ca="1">OFFSET(FTRA!X$136,$E89,0)</f>
        <v>1.0470259009611962</v>
      </c>
      <c r="T89" s="17">
        <f ca="1">OFFSET(FTRA!Y$136,$E89,0)</f>
        <v>1.0544505665163815</v>
      </c>
      <c r="U89" s="17">
        <f ca="1">OFFSET(FTRA!Z$136,$E89,0)</f>
        <v>1.0832897361525546</v>
      </c>
      <c r="V89" s="17">
        <f ca="1">OFFSET(FTRA!AC$136,$E89,0)</f>
        <v>1.1121289057887278</v>
      </c>
      <c r="W89" s="17">
        <f ca="1">OFFSET(FTRA!AD$136,$E89,0)</f>
        <v>1.140968075424901</v>
      </c>
      <c r="X89" s="17">
        <f ca="1">OFFSET(FTRA!AE$136,$E89,0)</f>
        <v>1.1698072450610741</v>
      </c>
      <c r="Y89" s="17">
        <f ca="1">OFFSET(FTRA!AF$136,$E89,0)</f>
        <v>1.1986464146972473</v>
      </c>
      <c r="Z89" s="17">
        <f ca="1">OFFSET(FTRA!AG$136,$E89,0)</f>
        <v>1.2274855843334205</v>
      </c>
      <c r="AA89" s="17">
        <f ca="1">OFFSET(FTRA!AH$136,$E89,0)</f>
        <v>1.2563247539695936</v>
      </c>
      <c r="AB89" s="17">
        <f ca="1">OFFSET(FTRA!AI$136,$E89,0)</f>
        <v>1.2851639236057668</v>
      </c>
      <c r="AC89" s="17">
        <f ca="1">OFFSET(FTRA!AJ$136,$E89,0)</f>
        <v>1.31400309324194</v>
      </c>
      <c r="AD89" s="17">
        <f ca="1">OFFSET(FTRA!AK$136,$E89,0)</f>
        <v>1.3428422628781138</v>
      </c>
      <c r="AE89" s="17">
        <f ca="1">OFFSET(FTRA!AL$136,$E89,0)</f>
        <v>1.5239186276596077</v>
      </c>
      <c r="AF89" s="17">
        <f ca="1">OFFSET(FTRA!AM$136,$E89,0)</f>
        <v>1.7049949924411019</v>
      </c>
      <c r="AG89" s="17">
        <f ca="1">OFFSET(FTRA!AN$136,$E89,0)</f>
        <v>2.0147970573220011</v>
      </c>
      <c r="AH89" s="17">
        <f ca="1">OFFSET(FTRA!AO$136,$E89,0)</f>
        <v>2.056200248354072</v>
      </c>
      <c r="AJ89">
        <f t="shared" ca="1" si="3"/>
        <v>2.0500108259483985</v>
      </c>
    </row>
    <row r="90" spans="1:36">
      <c r="A90" s="26" t="s">
        <v>398</v>
      </c>
      <c r="B90" s="17">
        <v>2.7195831056144888</v>
      </c>
      <c r="C90" t="s">
        <v>731</v>
      </c>
      <c r="D90" t="s">
        <v>272</v>
      </c>
      <c r="E90" s="109">
        <f>MATCH(F90,FTRA!$D$137:$D$149,0)</f>
        <v>4</v>
      </c>
      <c r="F90" t="str">
        <f t="shared" si="5"/>
        <v>TFHCV3</v>
      </c>
      <c r="G90" s="17">
        <f ca="1">OFFSET(FTRA!J$136,$E90,0)</f>
        <v>3.29935437842208</v>
      </c>
      <c r="H90" s="17">
        <f ca="1">OFFSET(FTRA!K$136,$E90,0)</f>
        <v>3.3198887752333528</v>
      </c>
      <c r="I90" s="17">
        <f ca="1">OFFSET(FTRA!L$136,$E90,0)</f>
        <v>3.3404231720446251</v>
      </c>
      <c r="J90" s="17">
        <f ca="1">OFFSET(FTRA!M$136,$E90,0)</f>
        <v>3.2162787996334212</v>
      </c>
      <c r="K90" s="17">
        <f ca="1">OFFSET(FTRA!N$136,$E90,0)</f>
        <v>3.2487280613339848</v>
      </c>
      <c r="L90" s="17">
        <f ca="1">OFFSET(FTRA!O$136,$E90,0)</f>
        <v>3.2731509262739067</v>
      </c>
      <c r="M90" s="17">
        <f ca="1">OFFSET(FTRA!P$136,$E90,0)</f>
        <v>3.2975737912138285</v>
      </c>
      <c r="N90" s="17">
        <f ca="1">OFFSET(FTRA!S$136,$E90,0)</f>
        <v>3.3219966561537504</v>
      </c>
      <c r="O90" s="17">
        <f ca="1">OFFSET(FTRA!T$136,$E90,0)</f>
        <v>3.3464195210936722</v>
      </c>
      <c r="P90" s="17">
        <f ca="1">OFFSET(FTRA!U$136,$E90,0)</f>
        <v>3.3708423860335941</v>
      </c>
      <c r="Q90" s="17">
        <f ca="1">OFFSET(FTRA!V$136,$E90,0)</f>
        <v>3.3952652509735159</v>
      </c>
      <c r="R90" s="17">
        <f ca="1">OFFSET(FTRA!W$136,$E90,0)</f>
        <v>3.4196881159134378</v>
      </c>
      <c r="S90" s="17">
        <f ca="1">OFFSET(FTRA!X$136,$E90,0)</f>
        <v>3.4441109808533596</v>
      </c>
      <c r="T90" s="17">
        <f ca="1">OFFSET(FTRA!Y$136,$E90,0)</f>
        <v>3.4685338457932815</v>
      </c>
      <c r="U90" s="17">
        <f ca="1">OFFSET(FTRA!Z$136,$E90,0)</f>
        <v>3.5633980709585367</v>
      </c>
      <c r="V90" s="17">
        <f ca="1">OFFSET(FTRA!AC$136,$E90,0)</f>
        <v>3.6582622961237918</v>
      </c>
      <c r="W90" s="17">
        <f ca="1">OFFSET(FTRA!AD$136,$E90,0)</f>
        <v>3.753126521289047</v>
      </c>
      <c r="X90" s="17">
        <f ca="1">OFFSET(FTRA!AE$136,$E90,0)</f>
        <v>3.8479907464543022</v>
      </c>
      <c r="Y90" s="17">
        <f ca="1">OFFSET(FTRA!AF$136,$E90,0)</f>
        <v>3.9428549716195573</v>
      </c>
      <c r="Z90" s="17">
        <f ca="1">OFFSET(FTRA!AG$136,$E90,0)</f>
        <v>4.0377191967848125</v>
      </c>
      <c r="AA90" s="17">
        <f ca="1">OFFSET(FTRA!AH$136,$E90,0)</f>
        <v>4.1325834219500672</v>
      </c>
      <c r="AB90" s="17">
        <f ca="1">OFFSET(FTRA!AI$136,$E90,0)</f>
        <v>4.2274476471153219</v>
      </c>
      <c r="AC90" s="17">
        <f ca="1">OFFSET(FTRA!AJ$136,$E90,0)</f>
        <v>4.3223118722805767</v>
      </c>
      <c r="AD90" s="17">
        <f ca="1">OFFSET(FTRA!AK$136,$E90,0)</f>
        <v>4.4171760974458323</v>
      </c>
      <c r="AE90" s="17">
        <f ca="1">OFFSET(FTRA!AL$136,$E90,0)</f>
        <v>5.0128128393300857</v>
      </c>
      <c r="AF90" s="17">
        <f ca="1">OFFSET(FTRA!AM$136,$E90,0)</f>
        <v>5.6084495812143391</v>
      </c>
      <c r="AG90" s="17">
        <f ca="1">OFFSET(FTRA!AN$136,$E90,0)</f>
        <v>6.6275195894804417</v>
      </c>
      <c r="AH90" s="17">
        <f ca="1">OFFSET(FTRA!AO$136,$E90,0)</f>
        <v>6.7637121944055139</v>
      </c>
      <c r="AJ90">
        <f t="shared" ca="1" si="3"/>
        <v>2.0500108259483989</v>
      </c>
    </row>
    <row r="91" spans="1:36">
      <c r="A91" s="26" t="s">
        <v>399</v>
      </c>
      <c r="B91" s="17">
        <v>0.66594475210557558</v>
      </c>
      <c r="C91" t="s">
        <v>731</v>
      </c>
      <c r="D91" t="s">
        <v>272</v>
      </c>
      <c r="E91" s="109">
        <f>MATCH(F91,FTRA!$D$137:$D$149,0)</f>
        <v>5</v>
      </c>
      <c r="F91" t="str">
        <f t="shared" si="5"/>
        <v>TFHCV4</v>
      </c>
      <c r="G91" s="17">
        <f ca="1">OFFSET(FTRA!J$136,$E91,0)</f>
        <v>0.59840698910616097</v>
      </c>
      <c r="H91" s="17">
        <f ca="1">OFFSET(FTRA!K$136,$E91,0)</f>
        <v>0.6021313318591881</v>
      </c>
      <c r="I91" s="17">
        <f ca="1">OFFSET(FTRA!L$136,$E91,0)</f>
        <v>0.60585567461221534</v>
      </c>
      <c r="J91" s="17">
        <f ca="1">OFFSET(FTRA!M$136,$E91,0)</f>
        <v>0.58333949369060389</v>
      </c>
      <c r="K91" s="17">
        <f ca="1">OFFSET(FTRA!N$136,$E91,0)</f>
        <v>0.5892248466311506</v>
      </c>
      <c r="L91" s="17">
        <f ca="1">OFFSET(FTRA!O$136,$E91,0)</f>
        <v>0.5936544444850903</v>
      </c>
      <c r="M91" s="17">
        <f ca="1">OFFSET(FTRA!P$136,$E91,0)</f>
        <v>0.59808404233903001</v>
      </c>
      <c r="N91" s="17">
        <f ca="1">OFFSET(FTRA!S$136,$E91,0)</f>
        <v>0.60251364019296971</v>
      </c>
      <c r="O91" s="17">
        <f ca="1">OFFSET(FTRA!T$136,$E91,0)</f>
        <v>0.60694323804690942</v>
      </c>
      <c r="P91" s="17">
        <f ca="1">OFFSET(FTRA!U$136,$E91,0)</f>
        <v>0.61137283590084912</v>
      </c>
      <c r="Q91" s="17">
        <f ca="1">OFFSET(FTRA!V$136,$E91,0)</f>
        <v>0.61580243375478882</v>
      </c>
      <c r="R91" s="17">
        <f ca="1">OFFSET(FTRA!W$136,$E91,0)</f>
        <v>0.62023203160872853</v>
      </c>
      <c r="S91" s="17">
        <f ca="1">OFFSET(FTRA!X$136,$E91,0)</f>
        <v>0.62466162946266823</v>
      </c>
      <c r="T91" s="17">
        <f ca="1">OFFSET(FTRA!Y$136,$E91,0)</f>
        <v>0.62909122731660805</v>
      </c>
      <c r="U91" s="17">
        <f ca="1">OFFSET(FTRA!Z$136,$E91,0)</f>
        <v>0.64629684055000014</v>
      </c>
      <c r="V91" s="17">
        <f ca="1">OFFSET(FTRA!AC$136,$E91,0)</f>
        <v>0.66350245378339223</v>
      </c>
      <c r="W91" s="17">
        <f ca="1">OFFSET(FTRA!AD$136,$E91,0)</f>
        <v>0.68070806701678432</v>
      </c>
      <c r="X91" s="17">
        <f ca="1">OFFSET(FTRA!AE$136,$E91,0)</f>
        <v>0.69791368025017642</v>
      </c>
      <c r="Y91" s="17">
        <f ca="1">OFFSET(FTRA!AF$136,$E91,0)</f>
        <v>0.71511929348356851</v>
      </c>
      <c r="Z91" s="17">
        <f ca="1">OFFSET(FTRA!AG$136,$E91,0)</f>
        <v>0.7323249067169606</v>
      </c>
      <c r="AA91" s="17">
        <f ca="1">OFFSET(FTRA!AH$136,$E91,0)</f>
        <v>0.74953051995035269</v>
      </c>
      <c r="AB91" s="17">
        <f ca="1">OFFSET(FTRA!AI$136,$E91,0)</f>
        <v>0.76673613318374478</v>
      </c>
      <c r="AC91" s="17">
        <f ca="1">OFFSET(FTRA!AJ$136,$E91,0)</f>
        <v>0.78394174641713688</v>
      </c>
      <c r="AD91" s="17">
        <f ca="1">OFFSET(FTRA!AK$136,$E91,0)</f>
        <v>0.8011473596505293</v>
      </c>
      <c r="AE91" s="17">
        <f ca="1">OFFSET(FTRA!AL$136,$E91,0)</f>
        <v>0.90917855255391933</v>
      </c>
      <c r="AF91" s="17">
        <f ca="1">OFFSET(FTRA!AM$136,$E91,0)</f>
        <v>1.017209745457309</v>
      </c>
      <c r="AG91" s="17">
        <f ca="1">OFFSET(FTRA!AN$136,$E91,0)</f>
        <v>1.2020394258708922</v>
      </c>
      <c r="AH91" s="17">
        <f ca="1">OFFSET(FTRA!AO$136,$E91,0)</f>
        <v>1.2267408059908154</v>
      </c>
      <c r="AJ91">
        <f t="shared" ca="1" si="3"/>
        <v>2.0500108259483985</v>
      </c>
    </row>
    <row r="92" spans="1:36">
      <c r="A92" s="26" t="s">
        <v>400</v>
      </c>
      <c r="B92" s="17">
        <v>0.33457448391316724</v>
      </c>
      <c r="C92" t="s">
        <v>731</v>
      </c>
      <c r="D92" t="s">
        <v>272</v>
      </c>
      <c r="E92" s="109">
        <f>MATCH(F92,FTRA!$D$137:$D$149,0)</f>
        <v>6</v>
      </c>
      <c r="F92" t="str">
        <f t="shared" si="5"/>
        <v>TFHCV5</v>
      </c>
      <c r="G92" s="17">
        <f ca="1">OFFSET(FTRA!J$136,$E92,0)</f>
        <v>0.29798809605332599</v>
      </c>
      <c r="H92" s="17">
        <f ca="1">OFFSET(FTRA!K$136,$E92,0)</f>
        <v>0.29984270307869226</v>
      </c>
      <c r="I92" s="17">
        <f ca="1">OFFSET(FTRA!L$136,$E92,0)</f>
        <v>0.30169731010405854</v>
      </c>
      <c r="J92" s="17">
        <f ca="1">OFFSET(FTRA!M$136,$E92,0)</f>
        <v>0.29048495128243912</v>
      </c>
      <c r="K92" s="17">
        <f ca="1">OFFSET(FTRA!N$136,$E92,0)</f>
        <v>0.29341567426743453</v>
      </c>
      <c r="L92" s="17">
        <f ca="1">OFFSET(FTRA!O$136,$E92,0)</f>
        <v>0.29562147643018838</v>
      </c>
      <c r="M92" s="17">
        <f ca="1">OFFSET(FTRA!P$136,$E92,0)</f>
        <v>0.29782727859294222</v>
      </c>
      <c r="N92" s="17">
        <f ca="1">OFFSET(FTRA!S$136,$E92,0)</f>
        <v>0.30003308075569607</v>
      </c>
      <c r="O92" s="17">
        <f ca="1">OFFSET(FTRA!T$136,$E92,0)</f>
        <v>0.30223888291844991</v>
      </c>
      <c r="P92" s="17">
        <f ca="1">OFFSET(FTRA!U$136,$E92,0)</f>
        <v>0.30444468508120376</v>
      </c>
      <c r="Q92" s="17">
        <f ca="1">OFFSET(FTRA!V$136,$E92,0)</f>
        <v>0.3066504872439576</v>
      </c>
      <c r="R92" s="17">
        <f ca="1">OFFSET(FTRA!W$136,$E92,0)</f>
        <v>0.30885628940671145</v>
      </c>
      <c r="S92" s="17">
        <f ca="1">OFFSET(FTRA!X$136,$E92,0)</f>
        <v>0.31106209156946529</v>
      </c>
      <c r="T92" s="17">
        <f ca="1">OFFSET(FTRA!Y$136,$E92,0)</f>
        <v>0.3132678937322193</v>
      </c>
      <c r="U92" s="17">
        <f ca="1">OFFSET(FTRA!Z$136,$E92,0)</f>
        <v>0.32183575477359305</v>
      </c>
      <c r="V92" s="17">
        <f ca="1">OFFSET(FTRA!AC$136,$E92,0)</f>
        <v>0.3304036158149668</v>
      </c>
      <c r="W92" s="17">
        <f ca="1">OFFSET(FTRA!AD$136,$E92,0)</f>
        <v>0.33897147685634055</v>
      </c>
      <c r="X92" s="17">
        <f ca="1">OFFSET(FTRA!AE$136,$E92,0)</f>
        <v>0.3475393378977143</v>
      </c>
      <c r="Y92" s="17">
        <f ca="1">OFFSET(FTRA!AF$136,$E92,0)</f>
        <v>0.35610719893908804</v>
      </c>
      <c r="Z92" s="17">
        <f ca="1">OFFSET(FTRA!AG$136,$E92,0)</f>
        <v>0.36467505998046179</v>
      </c>
      <c r="AA92" s="17">
        <f ca="1">OFFSET(FTRA!AH$136,$E92,0)</f>
        <v>0.37324292102183554</v>
      </c>
      <c r="AB92" s="17">
        <f ca="1">OFFSET(FTRA!AI$136,$E92,0)</f>
        <v>0.38181078206320929</v>
      </c>
      <c r="AC92" s="17">
        <f ca="1">OFFSET(FTRA!AJ$136,$E92,0)</f>
        <v>0.39037864310458303</v>
      </c>
      <c r="AD92" s="17">
        <f ca="1">OFFSET(FTRA!AK$136,$E92,0)</f>
        <v>0.39894650414595656</v>
      </c>
      <c r="AE92" s="17">
        <f ca="1">OFFSET(FTRA!AL$136,$E92,0)</f>
        <v>0.4527426831239727</v>
      </c>
      <c r="AF92" s="17">
        <f ca="1">OFFSET(FTRA!AM$136,$E92,0)</f>
        <v>0.50653886210198873</v>
      </c>
      <c r="AG92" s="17">
        <f ca="1">OFFSET(FTRA!AN$136,$E92,0)</f>
        <v>0.59857830275567625</v>
      </c>
      <c r="AH92" s="17">
        <f ca="1">OFFSET(FTRA!AO$136,$E92,0)</f>
        <v>0.61087882291306961</v>
      </c>
      <c r="AJ92">
        <f t="shared" ca="1" si="3"/>
        <v>2.0500108259483989</v>
      </c>
    </row>
    <row r="93" spans="1:36">
      <c r="A93" s="26" t="s">
        <v>401</v>
      </c>
      <c r="B93" s="17">
        <v>4.2080971938397562</v>
      </c>
      <c r="C93" t="s">
        <v>731</v>
      </c>
      <c r="D93" t="s">
        <v>272</v>
      </c>
      <c r="E93" s="109">
        <f>MATCH(F93,FTRA!$D$137:$D$149,0)</f>
        <v>7</v>
      </c>
      <c r="F93" t="str">
        <f t="shared" si="5"/>
        <v>TFHCV6</v>
      </c>
      <c r="G93" s="17">
        <f ca="1">OFFSET(FTRA!J$136,$E93,0)</f>
        <v>6.6621877646371201</v>
      </c>
      <c r="H93" s="17">
        <f ca="1">OFFSET(FTRA!K$136,$E93,0)</f>
        <v>6.7819219966270463</v>
      </c>
      <c r="I93" s="17">
        <f ca="1">OFFSET(FTRA!L$136,$E93,0)</f>
        <v>6.9016562286169734</v>
      </c>
      <c r="J93" s="17">
        <f ca="1">OFFSET(FTRA!M$136,$E93,0)</f>
        <v>6.7116128591697501</v>
      </c>
      <c r="K93" s="17">
        <f ca="1">OFFSET(FTRA!N$136,$E93,0)</f>
        <v>6.8240748222214735</v>
      </c>
      <c r="L93" s="17">
        <f ca="1">OFFSET(FTRA!O$136,$E93,0)</f>
        <v>6.8850023780075267</v>
      </c>
      <c r="M93" s="17">
        <f ca="1">OFFSET(FTRA!P$136,$E93,0)</f>
        <v>6.9459299337935798</v>
      </c>
      <c r="N93" s="17">
        <f ca="1">OFFSET(FTRA!S$136,$E93,0)</f>
        <v>7.0068574895796329</v>
      </c>
      <c r="O93" s="17">
        <f ca="1">OFFSET(FTRA!T$136,$E93,0)</f>
        <v>7.0677850453656861</v>
      </c>
      <c r="P93" s="17">
        <f ca="1">OFFSET(FTRA!U$136,$E93,0)</f>
        <v>7.1287126011517392</v>
      </c>
      <c r="Q93" s="17">
        <f ca="1">OFFSET(FTRA!V$136,$E93,0)</f>
        <v>7.1896401569377923</v>
      </c>
      <c r="R93" s="17">
        <f ca="1">OFFSET(FTRA!W$136,$E93,0)</f>
        <v>7.2505677127238455</v>
      </c>
      <c r="S93" s="17">
        <f ca="1">OFFSET(FTRA!X$136,$E93,0)</f>
        <v>7.3114952685098986</v>
      </c>
      <c r="T93" s="17">
        <f ca="1">OFFSET(FTRA!Y$136,$E93,0)</f>
        <v>7.3724228242959535</v>
      </c>
      <c r="U93" s="17">
        <f ca="1">OFFSET(FTRA!Z$136,$E93,0)</f>
        <v>7.5271143317954401</v>
      </c>
      <c r="V93" s="17">
        <f ca="1">OFFSET(FTRA!AC$136,$E93,0)</f>
        <v>7.6818058392949267</v>
      </c>
      <c r="W93" s="17">
        <f ca="1">OFFSET(FTRA!AD$136,$E93,0)</f>
        <v>7.8364973467944132</v>
      </c>
      <c r="X93" s="17">
        <f ca="1">OFFSET(FTRA!AE$136,$E93,0)</f>
        <v>7.9911888542938998</v>
      </c>
      <c r="Y93" s="17">
        <f ca="1">OFFSET(FTRA!AF$136,$E93,0)</f>
        <v>8.1458803617933864</v>
      </c>
      <c r="Z93" s="17">
        <f ca="1">OFFSET(FTRA!AG$136,$E93,0)</f>
        <v>8.3005718692928738</v>
      </c>
      <c r="AA93" s="17">
        <f ca="1">OFFSET(FTRA!AH$136,$E93,0)</f>
        <v>8.4552633767923613</v>
      </c>
      <c r="AB93" s="17">
        <f ca="1">OFFSET(FTRA!AI$136,$E93,0)</f>
        <v>8.6099548842918487</v>
      </c>
      <c r="AC93" s="17">
        <f ca="1">OFFSET(FTRA!AJ$136,$E93,0)</f>
        <v>8.7646463917913362</v>
      </c>
      <c r="AD93" s="17">
        <f ca="1">OFFSET(FTRA!AK$136,$E93,0)</f>
        <v>8.9193378992908219</v>
      </c>
      <c r="AE93" s="17">
        <f ca="1">OFFSET(FTRA!AL$136,$E93,0)</f>
        <v>10.122071330989481</v>
      </c>
      <c r="AF93" s="17">
        <f ca="1">OFFSET(FTRA!AM$136,$E93,0)</f>
        <v>11.324804762688142</v>
      </c>
      <c r="AG93" s="17">
        <f ca="1">OFFSET(FTRA!AN$136,$E93,0)</f>
        <v>13.382551509985426</v>
      </c>
      <c r="AH93" s="17">
        <f ca="1">OFFSET(FTRA!AO$136,$E93,0)</f>
        <v>13.657557042007054</v>
      </c>
      <c r="AJ93">
        <f t="shared" ca="1" si="3"/>
        <v>2.050010825948398</v>
      </c>
    </row>
    <row r="94" spans="1:36">
      <c r="A94" s="26" t="s">
        <v>402</v>
      </c>
      <c r="B94" s="17">
        <v>1.4910262867673953</v>
      </c>
      <c r="C94" t="s">
        <v>731</v>
      </c>
      <c r="D94" t="s">
        <v>272</v>
      </c>
      <c r="E94" s="109">
        <f>MATCH(F94,FTRA!$D$137:$D$149,0)</f>
        <v>8</v>
      </c>
      <c r="F94" t="str">
        <f t="shared" si="5"/>
        <v>TFHCV7</v>
      </c>
      <c r="G94" s="17">
        <f ca="1">OFFSET(FTRA!J$136,$E94,0)</f>
        <v>2.2261566306639899</v>
      </c>
      <c r="H94" s="17">
        <f ca="1">OFFSET(FTRA!K$136,$E94,0)</f>
        <v>2.2400116999821158</v>
      </c>
      <c r="I94" s="17">
        <f ca="1">OFFSET(FTRA!L$136,$E94,0)</f>
        <v>2.2538667693002417</v>
      </c>
      <c r="J94" s="17">
        <f ca="1">OFFSET(FTRA!M$136,$E94,0)</f>
        <v>2.1701034671189854</v>
      </c>
      <c r="K94" s="17">
        <f ca="1">OFFSET(FTRA!N$136,$E94,0)</f>
        <v>2.1919977927383534</v>
      </c>
      <c r="L94" s="17">
        <f ca="1">OFFSET(FTRA!O$136,$E94,0)</f>
        <v>2.2084765084172129</v>
      </c>
      <c r="M94" s="17">
        <f ca="1">OFFSET(FTRA!P$136,$E94,0)</f>
        <v>2.2249552240960724</v>
      </c>
      <c r="N94" s="17">
        <f ca="1">OFFSET(FTRA!S$136,$E94,0)</f>
        <v>2.2414339397749319</v>
      </c>
      <c r="O94" s="17">
        <f ca="1">OFFSET(FTRA!T$136,$E94,0)</f>
        <v>2.2579126554537914</v>
      </c>
      <c r="P94" s="17">
        <f ca="1">OFFSET(FTRA!U$136,$E94,0)</f>
        <v>2.2743913711326509</v>
      </c>
      <c r="Q94" s="17">
        <f ca="1">OFFSET(FTRA!V$136,$E94,0)</f>
        <v>2.2908700868115104</v>
      </c>
      <c r="R94" s="17">
        <f ca="1">OFFSET(FTRA!W$136,$E94,0)</f>
        <v>2.3073488024903699</v>
      </c>
      <c r="S94" s="17">
        <f ca="1">OFFSET(FTRA!X$136,$E94,0)</f>
        <v>2.3238275181692294</v>
      </c>
      <c r="T94" s="17">
        <f ca="1">OFFSET(FTRA!Y$136,$E94,0)</f>
        <v>2.3403062338480902</v>
      </c>
      <c r="U94" s="17">
        <f ca="1">OFFSET(FTRA!Z$136,$E94,0)</f>
        <v>2.4043134909180122</v>
      </c>
      <c r="V94" s="17">
        <f ca="1">OFFSET(FTRA!AC$136,$E94,0)</f>
        <v>2.4683207479879341</v>
      </c>
      <c r="W94" s="17">
        <f ca="1">OFFSET(FTRA!AD$136,$E94,0)</f>
        <v>2.532328005057856</v>
      </c>
      <c r="X94" s="17">
        <f ca="1">OFFSET(FTRA!AE$136,$E94,0)</f>
        <v>2.596335262127778</v>
      </c>
      <c r="Y94" s="17">
        <f ca="1">OFFSET(FTRA!AF$136,$E94,0)</f>
        <v>2.6603425191976999</v>
      </c>
      <c r="Z94" s="17">
        <f ca="1">OFFSET(FTRA!AG$136,$E94,0)</f>
        <v>2.7243497762676219</v>
      </c>
      <c r="AA94" s="17">
        <f ca="1">OFFSET(FTRA!AH$136,$E94,0)</f>
        <v>2.7883570333375438</v>
      </c>
      <c r="AB94" s="17">
        <f ca="1">OFFSET(FTRA!AI$136,$E94,0)</f>
        <v>2.8523642904074658</v>
      </c>
      <c r="AC94" s="17">
        <f ca="1">OFFSET(FTRA!AJ$136,$E94,0)</f>
        <v>2.9163715474773877</v>
      </c>
      <c r="AD94" s="17">
        <f ca="1">OFFSET(FTRA!AK$136,$E94,0)</f>
        <v>2.9803788045473083</v>
      </c>
      <c r="AE94" s="17">
        <f ca="1">OFFSET(FTRA!AL$136,$E94,0)</f>
        <v>3.3822697596640721</v>
      </c>
      <c r="AF94" s="17">
        <f ca="1">OFFSET(FTRA!AM$136,$E94,0)</f>
        <v>3.7841607147808358</v>
      </c>
      <c r="AG94" s="17">
        <f ca="1">OFFSET(FTRA!AN$136,$E94,0)</f>
        <v>4.4717526481751984</v>
      </c>
      <c r="AH94" s="17">
        <f ca="1">OFFSET(FTRA!AO$136,$E94,0)</f>
        <v>4.5636451931179902</v>
      </c>
      <c r="AJ94">
        <f t="shared" ca="1" si="3"/>
        <v>2.0500108259483985</v>
      </c>
    </row>
    <row r="95" spans="1:36">
      <c r="A95" s="26" t="s">
        <v>403</v>
      </c>
      <c r="B95" s="17">
        <v>0</v>
      </c>
      <c r="C95" t="s">
        <v>731</v>
      </c>
      <c r="D95" t="s">
        <v>272</v>
      </c>
      <c r="E95" s="109">
        <f>MATCH(F95,FTRA!$D$137:$D$149,0)</f>
        <v>9</v>
      </c>
      <c r="F95" t="str">
        <f t="shared" si="5"/>
        <v>TFHCV8</v>
      </c>
      <c r="G95" s="17">
        <f ca="1">OFFSET(FTRA!J$136,$E95,0)</f>
        <v>0.122213678849837</v>
      </c>
      <c r="H95" s="17">
        <f ca="1">OFFSET(FTRA!K$136,$E95,0)</f>
        <v>0.12297430771519344</v>
      </c>
      <c r="I95" s="17">
        <f ca="1">OFFSET(FTRA!L$136,$E95,0)</f>
        <v>0.12373493658054988</v>
      </c>
      <c r="J95" s="17">
        <f ca="1">OFFSET(FTRA!M$136,$E95,0)</f>
        <v>0.11913641859166579</v>
      </c>
      <c r="K95" s="17">
        <f ca="1">OFFSET(FTRA!N$136,$E95,0)</f>
        <v>0.12033839424918329</v>
      </c>
      <c r="L95" s="17">
        <f ca="1">OFFSET(FTRA!O$136,$E95,0)</f>
        <v>0.12124305856529353</v>
      </c>
      <c r="M95" s="17">
        <f ca="1">OFFSET(FTRA!P$136,$E95,0)</f>
        <v>0.12214772288140378</v>
      </c>
      <c r="N95" s="17">
        <f ca="1">OFFSET(FTRA!S$136,$E95,0)</f>
        <v>0.12305238719751403</v>
      </c>
      <c r="O95" s="17">
        <f ca="1">OFFSET(FTRA!T$136,$E95,0)</f>
        <v>0.12395705151362428</v>
      </c>
      <c r="P95" s="17">
        <f ca="1">OFFSET(FTRA!U$136,$E95,0)</f>
        <v>0.12486171582973453</v>
      </c>
      <c r="Q95" s="17">
        <f ca="1">OFFSET(FTRA!V$136,$E95,0)</f>
        <v>0.12576638014584476</v>
      </c>
      <c r="R95" s="17">
        <f ca="1">OFFSET(FTRA!W$136,$E95,0)</f>
        <v>0.12667104446195501</v>
      </c>
      <c r="S95" s="17">
        <f ca="1">OFFSET(FTRA!X$136,$E95,0)</f>
        <v>0.12757570877806526</v>
      </c>
      <c r="T95" s="17">
        <f ca="1">OFFSET(FTRA!Y$136,$E95,0)</f>
        <v>0.12848037309417548</v>
      </c>
      <c r="U95" s="17">
        <f ca="1">OFFSET(FTRA!Z$136,$E95,0)</f>
        <v>0.1319943047968469</v>
      </c>
      <c r="V95" s="17">
        <f ca="1">OFFSET(FTRA!AC$136,$E95,0)</f>
        <v>0.13550823649951832</v>
      </c>
      <c r="W95" s="17">
        <f ca="1">OFFSET(FTRA!AD$136,$E95,0)</f>
        <v>0.13902216820218974</v>
      </c>
      <c r="X95" s="17">
        <f ca="1">OFFSET(FTRA!AE$136,$E95,0)</f>
        <v>0.14253609990486116</v>
      </c>
      <c r="Y95" s="17">
        <f ca="1">OFFSET(FTRA!AF$136,$E95,0)</f>
        <v>0.14605003160753258</v>
      </c>
      <c r="Z95" s="17">
        <f ca="1">OFFSET(FTRA!AG$136,$E95,0)</f>
        <v>0.149563963310204</v>
      </c>
      <c r="AA95" s="17">
        <f ca="1">OFFSET(FTRA!AH$136,$E95,0)</f>
        <v>0.15307789501287541</v>
      </c>
      <c r="AB95" s="17">
        <f ca="1">OFFSET(FTRA!AI$136,$E95,0)</f>
        <v>0.15659182671554683</v>
      </c>
      <c r="AC95" s="17">
        <f ca="1">OFFSET(FTRA!AJ$136,$E95,0)</f>
        <v>0.16010575841821825</v>
      </c>
      <c r="AD95" s="17">
        <f ca="1">OFFSET(FTRA!AK$136,$E95,0)</f>
        <v>0.1636196901208897</v>
      </c>
      <c r="AE95" s="17">
        <f ca="1">OFFSET(FTRA!AL$136,$E95,0)</f>
        <v>0.18568308469283615</v>
      </c>
      <c r="AF95" s="17">
        <f ca="1">OFFSET(FTRA!AM$136,$E95,0)</f>
        <v>0.20774647926478257</v>
      </c>
      <c r="AG95" s="17">
        <f ca="1">OFFSET(FTRA!AN$136,$E95,0)</f>
        <v>0.24549455977721832</v>
      </c>
      <c r="AH95" s="17">
        <f ca="1">OFFSET(FTRA!AO$136,$E95,0)</f>
        <v>0.25053936472114663</v>
      </c>
      <c r="AJ95">
        <f t="shared" ca="1" si="3"/>
        <v>2.050010825948398</v>
      </c>
    </row>
    <row r="96" spans="1:36">
      <c r="A96" s="26" t="s">
        <v>404</v>
      </c>
      <c r="B96" s="17">
        <v>4.2946824044977329E-2</v>
      </c>
      <c r="C96" t="s">
        <v>731</v>
      </c>
      <c r="D96" t="s">
        <v>272</v>
      </c>
      <c r="E96" s="109">
        <f>MATCH(F96,FTRA!$D$137:$D$149,0)</f>
        <v>10</v>
      </c>
      <c r="F96" t="str">
        <f t="shared" si="5"/>
        <v>TFHCV9</v>
      </c>
      <c r="G96" s="17">
        <f ca="1">OFFSET(FTRA!J$136,$E96,0)</f>
        <v>2.9412068148240201E-2</v>
      </c>
      <c r="H96" s="17">
        <f ca="1">OFFSET(FTRA!K$136,$E96,0)</f>
        <v>2.9595121863944723E-2</v>
      </c>
      <c r="I96" s="17">
        <f ca="1">OFFSET(FTRA!L$136,$E96,0)</f>
        <v>2.9778175579649242E-2</v>
      </c>
      <c r="J96" s="17">
        <f ca="1">OFFSET(FTRA!M$136,$E96,0)</f>
        <v>2.8671491567328906E-2</v>
      </c>
      <c r="K96" s="17">
        <f ca="1">OFFSET(FTRA!N$136,$E96,0)</f>
        <v>2.8960760250541256E-2</v>
      </c>
      <c r="L96" s="17">
        <f ca="1">OFFSET(FTRA!O$136,$E96,0)</f>
        <v>2.9178477684196198E-2</v>
      </c>
      <c r="M96" s="17">
        <f ca="1">OFFSET(FTRA!P$136,$E96,0)</f>
        <v>2.9396195117851139E-2</v>
      </c>
      <c r="N96" s="17">
        <f ca="1">OFFSET(FTRA!S$136,$E96,0)</f>
        <v>2.961391255150608E-2</v>
      </c>
      <c r="O96" s="17">
        <f ca="1">OFFSET(FTRA!T$136,$E96,0)</f>
        <v>2.9831629985161021E-2</v>
      </c>
      <c r="P96" s="17">
        <f ca="1">OFFSET(FTRA!U$136,$E96,0)</f>
        <v>3.0049347418815962E-2</v>
      </c>
      <c r="Q96" s="17">
        <f ca="1">OFFSET(FTRA!V$136,$E96,0)</f>
        <v>3.0267064852470903E-2</v>
      </c>
      <c r="R96" s="17">
        <f ca="1">OFFSET(FTRA!W$136,$E96,0)</f>
        <v>3.0484782286125844E-2</v>
      </c>
      <c r="S96" s="17">
        <f ca="1">OFFSET(FTRA!X$136,$E96,0)</f>
        <v>3.0702499719780785E-2</v>
      </c>
      <c r="T96" s="17">
        <f ca="1">OFFSET(FTRA!Y$136,$E96,0)</f>
        <v>3.0920217153435729E-2</v>
      </c>
      <c r="U96" s="17">
        <f ca="1">OFFSET(FTRA!Z$136,$E96,0)</f>
        <v>3.1765883527935607E-2</v>
      </c>
      <c r="V96" s="17">
        <f ca="1">OFFSET(FTRA!AC$136,$E96,0)</f>
        <v>3.2611549902435477E-2</v>
      </c>
      <c r="W96" s="17">
        <f ca="1">OFFSET(FTRA!AD$136,$E96,0)</f>
        <v>3.3457216276935348E-2</v>
      </c>
      <c r="X96" s="17">
        <f ca="1">OFFSET(FTRA!AE$136,$E96,0)</f>
        <v>3.4302882651435218E-2</v>
      </c>
      <c r="Y96" s="17">
        <f ca="1">OFFSET(FTRA!AF$136,$E96,0)</f>
        <v>3.5148549025935089E-2</v>
      </c>
      <c r="Z96" s="17">
        <f ca="1">OFFSET(FTRA!AG$136,$E96,0)</f>
        <v>3.5994215400434959E-2</v>
      </c>
      <c r="AA96" s="17">
        <f ca="1">OFFSET(FTRA!AH$136,$E96,0)</f>
        <v>3.683988177493483E-2</v>
      </c>
      <c r="AB96" s="17">
        <f ca="1">OFFSET(FTRA!AI$136,$E96,0)</f>
        <v>3.76855481494347E-2</v>
      </c>
      <c r="AC96" s="17">
        <f ca="1">OFFSET(FTRA!AJ$136,$E96,0)</f>
        <v>3.853121452393457E-2</v>
      </c>
      <c r="AD96" s="17">
        <f ca="1">OFFSET(FTRA!AK$136,$E96,0)</f>
        <v>3.9376880898434469E-2</v>
      </c>
      <c r="AE96" s="17">
        <f ca="1">OFFSET(FTRA!AL$136,$E96,0)</f>
        <v>4.4686679857427712E-2</v>
      </c>
      <c r="AF96" s="17">
        <f ca="1">OFFSET(FTRA!AM$136,$E96,0)</f>
        <v>4.9996478816420976E-2</v>
      </c>
      <c r="AG96" s="17">
        <f ca="1">OFFSET(FTRA!AN$136,$E96,0)</f>
        <v>5.9080970232976524E-2</v>
      </c>
      <c r="AH96" s="17">
        <f ca="1">OFFSET(FTRA!AO$136,$E96,0)</f>
        <v>6.0295058117424465E-2</v>
      </c>
      <c r="AJ96">
        <f t="shared" ca="1" si="3"/>
        <v>2.050010825948398</v>
      </c>
    </row>
    <row r="97" spans="1:36">
      <c r="A97" s="26" t="s">
        <v>366</v>
      </c>
      <c r="B97">
        <v>28</v>
      </c>
      <c r="C97" t="s">
        <v>731</v>
      </c>
      <c r="D97" t="s">
        <v>272</v>
      </c>
      <c r="E97" s="109">
        <f>MATCH(F97,FTRA!$D$137:$D$149,0)</f>
        <v>11</v>
      </c>
      <c r="F97" t="str">
        <f t="shared" si="2"/>
        <v>TFRCO</v>
      </c>
      <c r="G97" s="17">
        <f ca="1">OFFSET(FTRA!J$136,$E97,0)</f>
        <v>22</v>
      </c>
      <c r="H97" s="17">
        <f ca="1">OFFSET(FTRA!K$136,$E97,0)</f>
        <v>20.60902456349335</v>
      </c>
      <c r="I97" s="17">
        <f ca="1">OFFSET(FTRA!L$136,$E97,0)</f>
        <v>19.218049126986699</v>
      </c>
      <c r="J97" s="17">
        <f ca="1">OFFSET(FTRA!M$136,$E97,0)</f>
        <v>17.206637381742077</v>
      </c>
      <c r="K97" s="17">
        <f ca="1">OFFSET(FTRA!N$136,$E97,0)</f>
        <v>16.506720027229584</v>
      </c>
      <c r="L97" s="17">
        <f ca="1">OFFSET(FTRA!O$136,$E97,0)</f>
        <v>17.806373021295286</v>
      </c>
      <c r="M97" s="17">
        <f ca="1">OFFSET(FTRA!P$136,$E97,0)</f>
        <v>19.106026015360989</v>
      </c>
      <c r="N97" s="17">
        <f ca="1">OFFSET(FTRA!S$136,$E97,0)</f>
        <v>20.405679009426692</v>
      </c>
      <c r="O97" s="17">
        <f ca="1">OFFSET(FTRA!T$136,$E97,0)</f>
        <v>21.705332003492394</v>
      </c>
      <c r="P97" s="17">
        <f ca="1">OFFSET(FTRA!U$136,$E97,0)</f>
        <v>23.004984997558097</v>
      </c>
      <c r="Q97" s="17">
        <f ca="1">OFFSET(FTRA!V$136,$E97,0)</f>
        <v>24.3046379916238</v>
      </c>
      <c r="R97" s="17">
        <f ca="1">OFFSET(FTRA!W$136,$E97,0)</f>
        <v>25.604290985689502</v>
      </c>
      <c r="S97" s="17">
        <f ca="1">OFFSET(FTRA!X$136,$E97,0)</f>
        <v>26.903943979755205</v>
      </c>
      <c r="T97" s="17">
        <f ca="1">OFFSET(FTRA!Y$136,$E97,0)</f>
        <v>28.203596973820897</v>
      </c>
      <c r="U97" s="17">
        <f ca="1">OFFSET(FTRA!Z$136,$E97,0)</f>
        <v>31.536342249582265</v>
      </c>
      <c r="V97" s="17">
        <f ca="1">OFFSET(FTRA!AC$136,$E97,0)</f>
        <v>34.86908752534363</v>
      </c>
      <c r="W97" s="17">
        <f ca="1">OFFSET(FTRA!AD$136,$E97,0)</f>
        <v>38.201832801104999</v>
      </c>
      <c r="X97" s="17">
        <f ca="1">OFFSET(FTRA!AE$136,$E97,0)</f>
        <v>41.534578076866367</v>
      </c>
      <c r="Y97" s="17">
        <f ca="1">OFFSET(FTRA!AF$136,$E97,0)</f>
        <v>44.867323352627736</v>
      </c>
      <c r="Z97" s="17">
        <f ca="1">OFFSET(FTRA!AG$136,$E97,0)</f>
        <v>48.200068628389104</v>
      </c>
      <c r="AA97" s="17">
        <f ca="1">OFFSET(FTRA!AH$136,$E97,0)</f>
        <v>51.532813904150473</v>
      </c>
      <c r="AB97" s="17">
        <f ca="1">OFFSET(FTRA!AI$136,$E97,0)</f>
        <v>54.865559179911841</v>
      </c>
      <c r="AC97" s="17">
        <f ca="1">OFFSET(FTRA!AJ$136,$E97,0)</f>
        <v>58.19830445567321</v>
      </c>
      <c r="AD97" s="17">
        <f ca="1">OFFSET(FTRA!AK$136,$E97,0)</f>
        <v>61.531049731434578</v>
      </c>
      <c r="AE97" s="17">
        <f ca="1">OFFSET(FTRA!AL$136,$E97,0)</f>
        <v>80.821075196827948</v>
      </c>
      <c r="AF97" s="17">
        <f ca="1">OFFSET(FTRA!AM$136,$E97,0)</f>
        <v>100.11110066222132</v>
      </c>
      <c r="AG97" s="17">
        <f ca="1">OFFSET(FTRA!AN$136,$E97,0)</f>
        <v>145.64946887396664</v>
      </c>
      <c r="AH97" s="17">
        <f ca="1">OFFSET(FTRA!AO$136,$E97,0)</f>
        <v>178.02134980359452</v>
      </c>
      <c r="AJ97">
        <f t="shared" ca="1" si="3"/>
        <v>8.0918795365270242</v>
      </c>
    </row>
    <row r="98" spans="1:36">
      <c r="A98" s="26" t="s">
        <v>368</v>
      </c>
      <c r="B98">
        <v>26</v>
      </c>
      <c r="C98" t="s">
        <v>731</v>
      </c>
      <c r="D98" t="s">
        <v>272</v>
      </c>
      <c r="E98" s="111">
        <f>MATCH(F98,FTRA!$D$137:$D$149,0)</f>
        <v>12</v>
      </c>
      <c r="F98" t="str">
        <f>A98</f>
        <v>TFROT</v>
      </c>
      <c r="G98" s="17">
        <f ca="1">OFFSET(FTRA!J$136,$E98,0)</f>
        <v>27.142505514316699</v>
      </c>
      <c r="H98" s="17">
        <f ca="1">OFFSET(FTRA!K$136,$E98,0)</f>
        <v>26.922878309927583</v>
      </c>
      <c r="I98" s="17">
        <f ca="1">OFFSET(FTRA!L$136,$E98,0)</f>
        <v>26.703251105538467</v>
      </c>
      <c r="J98" s="17">
        <f ca="1">OFFSET(FTRA!M$136,$E98,0)</f>
        <v>25.710844401627732</v>
      </c>
      <c r="K98" s="17">
        <f ca="1">OFFSET(FTRA!N$136,$E98,0)</f>
        <v>25.970242908568729</v>
      </c>
      <c r="L98" s="17">
        <f ca="1">OFFSET(FTRA!O$136,$E98,0)</f>
        <v>26.327626949537315</v>
      </c>
      <c r="M98" s="17">
        <f ca="1">OFFSET(FTRA!P$136,$E98,0)</f>
        <v>26.685010990505901</v>
      </c>
      <c r="N98" s="17">
        <f ca="1">OFFSET(FTRA!S$136,$E98,0)</f>
        <v>27.042395031474488</v>
      </c>
      <c r="O98" s="17">
        <f ca="1">OFFSET(FTRA!T$136,$E98,0)</f>
        <v>27.399779072443074</v>
      </c>
      <c r="P98" s="17">
        <f ca="1">OFFSET(FTRA!U$136,$E98,0)</f>
        <v>27.757163113411661</v>
      </c>
      <c r="Q98" s="17">
        <f ca="1">OFFSET(FTRA!V$136,$E98,0)</f>
        <v>28.114547154380247</v>
      </c>
      <c r="R98" s="17">
        <f ca="1">OFFSET(FTRA!W$136,$E98,0)</f>
        <v>28.471931195348834</v>
      </c>
      <c r="S98" s="17">
        <f ca="1">OFFSET(FTRA!X$136,$E98,0)</f>
        <v>28.82931523631742</v>
      </c>
      <c r="T98" s="17">
        <f ca="1">OFFSET(FTRA!Y$136,$E98,0)</f>
        <v>29.186699277286003</v>
      </c>
      <c r="U98" s="17">
        <f ca="1">OFFSET(FTRA!Z$136,$E98,0)</f>
        <v>30.270063160100765</v>
      </c>
      <c r="V98" s="17">
        <f ca="1">OFFSET(FTRA!AC$136,$E98,0)</f>
        <v>31.353427042915527</v>
      </c>
      <c r="W98" s="17">
        <f ca="1">OFFSET(FTRA!AD$136,$E98,0)</f>
        <v>32.436790925730286</v>
      </c>
      <c r="X98" s="17">
        <f ca="1">OFFSET(FTRA!AE$136,$E98,0)</f>
        <v>33.520154808545044</v>
      </c>
      <c r="Y98" s="17">
        <f ca="1">OFFSET(FTRA!AF$136,$E98,0)</f>
        <v>34.603518691359803</v>
      </c>
      <c r="Z98" s="17">
        <f ca="1">OFFSET(FTRA!AG$136,$E98,0)</f>
        <v>35.686882574174561</v>
      </c>
      <c r="AA98" s="17">
        <f ca="1">OFFSET(FTRA!AH$136,$E98,0)</f>
        <v>36.770246456989319</v>
      </c>
      <c r="AB98" s="17">
        <f ca="1">OFFSET(FTRA!AI$136,$E98,0)</f>
        <v>37.853610339804078</v>
      </c>
      <c r="AC98" s="17">
        <f ca="1">OFFSET(FTRA!AJ$136,$E98,0)</f>
        <v>38.936974222618836</v>
      </c>
      <c r="AD98" s="17">
        <f ca="1">OFFSET(FTRA!AK$136,$E98,0)</f>
        <v>40.020338105433609</v>
      </c>
      <c r="AE98" s="17">
        <f ca="1">OFFSET(FTRA!AL$136,$E98,0)</f>
        <v>47.03085283591134</v>
      </c>
      <c r="AF98" s="17">
        <f ca="1">OFFSET(FTRA!AM$136,$E98,0)</f>
        <v>54.041367566389084</v>
      </c>
      <c r="AG98" s="17">
        <f ca="1">OFFSET(FTRA!AN$136,$E98,0)</f>
        <v>67.875998645520468</v>
      </c>
      <c r="AH98" s="17">
        <f ca="1">OFFSET(FTRA!AO$136,$E98,0)</f>
        <v>73.584170791170493</v>
      </c>
      <c r="AJ98">
        <f t="shared" ca="1" si="3"/>
        <v>2.7110308866791049</v>
      </c>
    </row>
    <row r="99" spans="1:36">
      <c r="A99" s="26" t="s">
        <v>367</v>
      </c>
      <c r="B99">
        <v>67</v>
      </c>
      <c r="C99" t="s">
        <v>731</v>
      </c>
      <c r="D99" t="s">
        <v>272</v>
      </c>
      <c r="E99" s="110">
        <f>MATCH(F99,FTRA!$D$137:$D$149,0)</f>
        <v>13</v>
      </c>
      <c r="F99" t="str">
        <f t="shared" si="2"/>
        <v>TFREX</v>
      </c>
      <c r="G99" s="17">
        <f ca="1">OFFSET(FTRA!J$136,$E99,0)</f>
        <v>88.672727178245694</v>
      </c>
      <c r="H99" s="17">
        <f ca="1">OFFSET(FTRA!K$136,$E99,0)</f>
        <v>88.015304929890732</v>
      </c>
      <c r="I99" s="17">
        <f ca="1">OFFSET(FTRA!L$136,$E99,0)</f>
        <v>87.357882681535756</v>
      </c>
      <c r="J99" s="17">
        <f ca="1">OFFSET(FTRA!M$136,$E99,0)</f>
        <v>84.559607459462228</v>
      </c>
      <c r="K99" s="17">
        <f ca="1">OFFSET(FTRA!N$136,$E99,0)</f>
        <v>86.9457419513449</v>
      </c>
      <c r="L99" s="17">
        <f ca="1">OFFSET(FTRA!O$136,$E99,0)</f>
        <v>87.492893650053077</v>
      </c>
      <c r="M99" s="17">
        <f ca="1">OFFSET(FTRA!P$136,$E99,0)</f>
        <v>88.040045348761254</v>
      </c>
      <c r="N99" s="17">
        <f ca="1">OFFSET(FTRA!S$136,$E99,0)</f>
        <v>88.587197047469431</v>
      </c>
      <c r="O99" s="17">
        <f ca="1">OFFSET(FTRA!T$136,$E99,0)</f>
        <v>89.134348746177608</v>
      </c>
      <c r="P99" s="17">
        <f ca="1">OFFSET(FTRA!U$136,$E99,0)</f>
        <v>89.681500444885785</v>
      </c>
      <c r="Q99" s="17">
        <f ca="1">OFFSET(FTRA!V$136,$E99,0)</f>
        <v>90.228652143593962</v>
      </c>
      <c r="R99" s="17">
        <f ca="1">OFFSET(FTRA!W$136,$E99,0)</f>
        <v>90.775803842302139</v>
      </c>
      <c r="S99" s="17">
        <f ca="1">OFFSET(FTRA!X$136,$E99,0)</f>
        <v>91.322955541010316</v>
      </c>
      <c r="T99" s="17">
        <f ca="1">OFFSET(FTRA!Y$136,$E99,0)</f>
        <v>91.870107239718436</v>
      </c>
      <c r="U99" s="17">
        <f ca="1">OFFSET(FTRA!Z$136,$E99,0)</f>
        <v>93.941525788489685</v>
      </c>
      <c r="V99" s="17">
        <f ca="1">OFFSET(FTRA!AC$136,$E99,0)</f>
        <v>96.012944337260933</v>
      </c>
      <c r="W99" s="17">
        <f ca="1">OFFSET(FTRA!AD$136,$E99,0)</f>
        <v>98.084362886032181</v>
      </c>
      <c r="X99" s="17">
        <f ca="1">OFFSET(FTRA!AE$136,$E99,0)</f>
        <v>100.15578143480343</v>
      </c>
      <c r="Y99" s="17">
        <f ca="1">OFFSET(FTRA!AF$136,$E99,0)</f>
        <v>102.22719998357468</v>
      </c>
      <c r="Z99" s="17">
        <f ca="1">OFFSET(FTRA!AG$136,$E99,0)</f>
        <v>104.29861853234593</v>
      </c>
      <c r="AA99" s="17">
        <f ca="1">OFFSET(FTRA!AH$136,$E99,0)</f>
        <v>106.37003708111718</v>
      </c>
      <c r="AB99" s="17">
        <f ca="1">OFFSET(FTRA!AI$136,$E99,0)</f>
        <v>108.44145562988842</v>
      </c>
      <c r="AC99" s="17">
        <f ca="1">OFFSET(FTRA!AJ$136,$E99,0)</f>
        <v>110.51287417865967</v>
      </c>
      <c r="AD99" s="17">
        <f ca="1">OFFSET(FTRA!AK$136,$E99,0)</f>
        <v>112.58429272743091</v>
      </c>
      <c r="AE99" s="17">
        <f ca="1">OFFSET(FTRA!AL$136,$E99,0)</f>
        <v>130.49756643209119</v>
      </c>
      <c r="AF99" s="17">
        <f ca="1">OFFSET(FTRA!AM$136,$E99,0)</f>
        <v>148.41084013675146</v>
      </c>
      <c r="AG99" s="17">
        <f ca="1">OFFSET(FTRA!AN$136,$E99,0)</f>
        <v>183.24497714602427</v>
      </c>
      <c r="AH99" s="17">
        <f ca="1">OFFSET(FTRA!AO$136,$E99,0)</f>
        <v>196.27767980712804</v>
      </c>
      <c r="AJ99">
        <f t="shared" ca="1" si="3"/>
        <v>2.2135067461337914</v>
      </c>
    </row>
    <row r="100" spans="1:36">
      <c r="A100" s="26" t="s">
        <v>116</v>
      </c>
      <c r="B100">
        <v>73.203613436309993</v>
      </c>
      <c r="C100" t="s">
        <v>731</v>
      </c>
      <c r="D100" t="s">
        <v>272</v>
      </c>
      <c r="E100" s="109">
        <f>MATCH(F100,PTRA!$H$219:$H$226,0)</f>
        <v>1</v>
      </c>
      <c r="F100" t="str">
        <f t="shared" si="2"/>
        <v>TPPRCAR</v>
      </c>
      <c r="G100" s="17">
        <f ca="1">OFFSET(PTRA!N$218,$E100,0)</f>
        <v>81.1386031348502</v>
      </c>
      <c r="H100" s="17">
        <f ca="1">OFFSET(PTRA!O$218,$E100,0)</f>
        <v>82.877544068846106</v>
      </c>
      <c r="I100" s="17">
        <f ca="1">OFFSET(PTRA!P$218,$E100,0)</f>
        <v>84.616485002842012</v>
      </c>
      <c r="J100" s="17">
        <f ca="1">OFFSET(PTRA!Q$218,$E100,0)</f>
        <v>78.308349507973659</v>
      </c>
      <c r="K100" s="17">
        <f ca="1">OFFSET(PTRA!R$218,$E100,0)</f>
        <v>83.011371976970224</v>
      </c>
      <c r="L100" s="17">
        <f ca="1">OFFSET(PTRA!S$218,$E100,0)</f>
        <v>83.345339439927955</v>
      </c>
      <c r="M100" s="17">
        <f ca="1">OFFSET(PTRA!T$218,$E100,0)</f>
        <v>83.679306902885685</v>
      </c>
      <c r="N100" s="17">
        <f ca="1">OFFSET(PTRA!W$218,$E100,0)</f>
        <v>84.013274365843415</v>
      </c>
      <c r="O100" s="17">
        <f ca="1">OFFSET(PTRA!X$218,$E100,0)</f>
        <v>84.347241828801145</v>
      </c>
      <c r="P100" s="17">
        <f ca="1">OFFSET(PTRA!Y$218,$E100,0)</f>
        <v>84.681209291758876</v>
      </c>
      <c r="Q100" s="17">
        <f ca="1">OFFSET(PTRA!Z$218,$E100,0)</f>
        <v>85.015176754716606</v>
      </c>
      <c r="R100" s="17">
        <f ca="1">OFFSET(PTRA!AA$218,$E100,0)</f>
        <v>85.349144217674336</v>
      </c>
      <c r="S100" s="17">
        <f ca="1">OFFSET(PTRA!AB$218,$E100,0)</f>
        <v>85.683111680632067</v>
      </c>
      <c r="T100" s="17">
        <f ca="1">OFFSET(PTRA!AC$218,$E100,0)</f>
        <v>86.017079143589797</v>
      </c>
      <c r="U100" s="17">
        <f ca="1">OFFSET(PTRA!AD$218,$E100,0)</f>
        <v>87.448677199003043</v>
      </c>
      <c r="V100" s="17">
        <f ca="1">OFFSET(PTRA!AE$218,$E100,0)</f>
        <v>88.88027525441629</v>
      </c>
      <c r="W100" s="17">
        <f ca="1">OFFSET(PTRA!AH$218,$E100,0)</f>
        <v>90.311873309829537</v>
      </c>
      <c r="X100" s="17">
        <f ca="1">OFFSET(PTRA!AI$218,$E100,0)</f>
        <v>91.743471365242783</v>
      </c>
      <c r="Y100" s="17">
        <f ca="1">OFFSET(PTRA!AJ$218,$E100,0)</f>
        <v>93.17506942065603</v>
      </c>
      <c r="Z100" s="17">
        <f ca="1">OFFSET(PTRA!AK$218,$E100,0)</f>
        <v>94.606667476069276</v>
      </c>
      <c r="AA100" s="17">
        <f ca="1">OFFSET(PTRA!AL$218,$E100,0)</f>
        <v>96.038265531482523</v>
      </c>
      <c r="AB100" s="17">
        <f ca="1">OFFSET(PTRA!AM$218,$E100,0)</f>
        <v>97.469863586895769</v>
      </c>
      <c r="AC100" s="17">
        <f ca="1">OFFSET(PTRA!AO$218,$E100,0)</f>
        <v>98.901461642309016</v>
      </c>
      <c r="AD100" s="17">
        <f ca="1">OFFSET(PTRA!AQ$218,$E100,0)</f>
        <v>100.33305969772233</v>
      </c>
      <c r="AE100" s="17">
        <f ca="1">OFFSET(PTRA!AR$218,$E100,0)</f>
        <v>114.02004021832019</v>
      </c>
      <c r="AF100" s="17">
        <f ca="1">OFFSET(PTRA!AS$218,$E100,0)</f>
        <v>127.70702073891803</v>
      </c>
      <c r="AG100" s="17">
        <f ca="1">OFFSET(PTRA!AT$218,$E100,0)</f>
        <v>142.8009038136552</v>
      </c>
      <c r="AH100" s="17">
        <f ca="1">OFFSET(PTRA!AU$218,$E100,0)</f>
        <v>141.71981463375749</v>
      </c>
      <c r="AJ100">
        <f t="shared" ca="1" si="3"/>
        <v>1.7466385808765148</v>
      </c>
    </row>
    <row r="101" spans="1:36">
      <c r="A101" s="26" t="s">
        <v>171</v>
      </c>
      <c r="B101">
        <v>2.2210937076119999</v>
      </c>
      <c r="C101" t="s">
        <v>731</v>
      </c>
      <c r="D101" t="s">
        <v>272</v>
      </c>
      <c r="E101" s="110">
        <f>MATCH(F101,PTRA!$H$219:$H$226,0)</f>
        <v>3</v>
      </c>
      <c r="F101" t="str">
        <f t="shared" si="2"/>
        <v>TPPRMOT</v>
      </c>
      <c r="G101" s="17">
        <f ca="1">OFFSET(PTRA!N$218,$E101,0)</f>
        <v>5.9227912022632498</v>
      </c>
      <c r="H101" s="17">
        <f ca="1">OFFSET(PTRA!O$218,$E101,0)</f>
        <v>4.5479546949349121</v>
      </c>
      <c r="I101" s="17">
        <f ca="1">OFFSET(PTRA!P$218,$E101,0)</f>
        <v>3.1731181876065753</v>
      </c>
      <c r="J101" s="17">
        <f ca="1">OFFSET(PTRA!Q$218,$E101,0)</f>
        <v>2.9365631065490123</v>
      </c>
      <c r="K101" s="17">
        <f ca="1">OFFSET(PTRA!R$218,$E101,0)</f>
        <v>3.1129264491363839</v>
      </c>
      <c r="L101" s="17">
        <f ca="1">OFFSET(PTRA!S$218,$E101,0)</f>
        <v>3.1254502289972987</v>
      </c>
      <c r="M101" s="17">
        <f ca="1">OFFSET(PTRA!T$218,$E101,0)</f>
        <v>3.1379740088582135</v>
      </c>
      <c r="N101" s="17">
        <f ca="1">OFFSET(PTRA!W$218,$E101,0)</f>
        <v>3.1504977887191283</v>
      </c>
      <c r="O101" s="17">
        <f ca="1">OFFSET(PTRA!X$218,$E101,0)</f>
        <v>3.1630215685800431</v>
      </c>
      <c r="P101" s="17">
        <f ca="1">OFFSET(PTRA!Y$218,$E101,0)</f>
        <v>3.1755453484409579</v>
      </c>
      <c r="Q101" s="17">
        <f ca="1">OFFSET(PTRA!Z$218,$E101,0)</f>
        <v>3.1880691283018727</v>
      </c>
      <c r="R101" s="17">
        <f ca="1">OFFSET(PTRA!AA$218,$E101,0)</f>
        <v>3.2005929081627875</v>
      </c>
      <c r="S101" s="17">
        <f ca="1">OFFSET(PTRA!AB$218,$E101,0)</f>
        <v>3.2131166880237023</v>
      </c>
      <c r="T101" s="17">
        <f ca="1">OFFSET(PTRA!AC$218,$E101,0)</f>
        <v>3.2256404678846176</v>
      </c>
      <c r="U101" s="17">
        <f ca="1">OFFSET(PTRA!AD$218,$E101,0)</f>
        <v>3.2793253949626147</v>
      </c>
      <c r="V101" s="17">
        <f ca="1">OFFSET(PTRA!AE$218,$E101,0)</f>
        <v>3.3330103220406118</v>
      </c>
      <c r="W101" s="17">
        <f ca="1">OFFSET(PTRA!AH$218,$E101,0)</f>
        <v>3.3866952491186089</v>
      </c>
      <c r="X101" s="17">
        <f ca="1">OFFSET(PTRA!AI$218,$E101,0)</f>
        <v>3.440380176196606</v>
      </c>
      <c r="Y101" s="17">
        <f ca="1">OFFSET(PTRA!AJ$218,$E101,0)</f>
        <v>3.4940651032746031</v>
      </c>
      <c r="Z101" s="17">
        <f ca="1">OFFSET(PTRA!AK$218,$E101,0)</f>
        <v>3.5477500303526002</v>
      </c>
      <c r="AA101" s="17">
        <f ca="1">OFFSET(PTRA!AL$218,$E101,0)</f>
        <v>3.6014349574305973</v>
      </c>
      <c r="AB101" s="17">
        <f ca="1">OFFSET(PTRA!AM$218,$E101,0)</f>
        <v>3.6551198845085944</v>
      </c>
      <c r="AC101" s="17">
        <f ca="1">OFFSET(PTRA!AO$218,$E101,0)</f>
        <v>3.7088048115865915</v>
      </c>
      <c r="AD101" s="17">
        <f ca="1">OFFSET(PTRA!AQ$218,$E101,0)</f>
        <v>3.7624897386645877</v>
      </c>
      <c r="AE101" s="17">
        <f ca="1">OFFSET(PTRA!AR$218,$E101,0)</f>
        <v>4.2757515081870068</v>
      </c>
      <c r="AF101" s="17">
        <f ca="1">OFFSET(PTRA!AS$218,$E101,0)</f>
        <v>4.7890132777094268</v>
      </c>
      <c r="AG101" s="17">
        <f ca="1">OFFSET(PTRA!AT$218,$E101,0)</f>
        <v>5.3550338930120702</v>
      </c>
      <c r="AH101" s="17">
        <f ca="1">OFFSET(PTRA!AU$218,$E101,0)</f>
        <v>5.3144930487659066</v>
      </c>
      <c r="AJ101">
        <f t="shared" ca="1" si="3"/>
        <v>0.89729535742119404</v>
      </c>
    </row>
    <row r="102" spans="1:36">
      <c r="A102" s="26" t="s">
        <v>115</v>
      </c>
      <c r="B102">
        <v>9.7306216335790001</v>
      </c>
      <c r="C102" t="s">
        <v>731</v>
      </c>
      <c r="D102" t="s">
        <v>272</v>
      </c>
      <c r="E102" s="110">
        <f>MATCH(F102,PTRA!$H$219:$H$226,0)</f>
        <v>2</v>
      </c>
      <c r="F102" t="str">
        <f t="shared" si="2"/>
        <v>TPPRSUV</v>
      </c>
      <c r="G102" s="17">
        <f ca="1">OFFSET(PTRA!N$218,$E102,0)</f>
        <v>17.754191802068</v>
      </c>
      <c r="H102" s="17">
        <f ca="1">OFFSET(PTRA!O$218,$E102,0)</f>
        <v>17.867597432585967</v>
      </c>
      <c r="I102" s="17">
        <f ca="1">OFFSET(PTRA!P$218,$E102,0)</f>
        <v>17.98100306310393</v>
      </c>
      <c r="J102" s="17">
        <f ca="1">OFFSET(PTRA!Q$218,$E102,0)</f>
        <v>16.640524270444406</v>
      </c>
      <c r="K102" s="17">
        <f ca="1">OFFSET(PTRA!R$218,$E102,0)</f>
        <v>17.639916545106175</v>
      </c>
      <c r="L102" s="17">
        <f ca="1">OFFSET(PTRA!S$218,$E102,0)</f>
        <v>17.710884630984694</v>
      </c>
      <c r="M102" s="17">
        <f ca="1">OFFSET(PTRA!T$218,$E102,0)</f>
        <v>17.781852716863213</v>
      </c>
      <c r="N102" s="17">
        <f ca="1">OFFSET(PTRA!W$218,$E102,0)</f>
        <v>17.852820802741732</v>
      </c>
      <c r="O102" s="17">
        <f ca="1">OFFSET(PTRA!X$218,$E102,0)</f>
        <v>17.923788888620251</v>
      </c>
      <c r="P102" s="17">
        <f ca="1">OFFSET(PTRA!Y$218,$E102,0)</f>
        <v>17.99475697449877</v>
      </c>
      <c r="Q102" s="17">
        <f ca="1">OFFSET(PTRA!Z$218,$E102,0)</f>
        <v>18.065725060377289</v>
      </c>
      <c r="R102" s="17">
        <f ca="1">OFFSET(PTRA!AA$218,$E102,0)</f>
        <v>18.136693146255809</v>
      </c>
      <c r="S102" s="17">
        <f ca="1">OFFSET(PTRA!AB$218,$E102,0)</f>
        <v>18.207661232134328</v>
      </c>
      <c r="T102" s="17">
        <f ca="1">OFFSET(PTRA!AC$218,$E102,0)</f>
        <v>18.278629318012836</v>
      </c>
      <c r="U102" s="17">
        <f ca="1">OFFSET(PTRA!AD$218,$E102,0)</f>
        <v>18.582843904788152</v>
      </c>
      <c r="V102" s="17">
        <f ca="1">OFFSET(PTRA!AE$218,$E102,0)</f>
        <v>18.887058491563469</v>
      </c>
      <c r="W102" s="17">
        <f ca="1">OFFSET(PTRA!AH$218,$E102,0)</f>
        <v>19.191273078338785</v>
      </c>
      <c r="X102" s="17">
        <f ca="1">OFFSET(PTRA!AI$218,$E102,0)</f>
        <v>19.495487665114101</v>
      </c>
      <c r="Y102" s="17">
        <f ca="1">OFFSET(PTRA!AJ$218,$E102,0)</f>
        <v>19.799702251889418</v>
      </c>
      <c r="Z102" s="17">
        <f ca="1">OFFSET(PTRA!AK$218,$E102,0)</f>
        <v>20.103916838664734</v>
      </c>
      <c r="AA102" s="17">
        <f ca="1">OFFSET(PTRA!AL$218,$E102,0)</f>
        <v>20.40813142544005</v>
      </c>
      <c r="AB102" s="17">
        <f ca="1">OFFSET(PTRA!AM$218,$E102,0)</f>
        <v>20.712346012215367</v>
      </c>
      <c r="AC102" s="17">
        <f ca="1">OFFSET(PTRA!AO$218,$E102,0)</f>
        <v>21.016560598990683</v>
      </c>
      <c r="AD102" s="17">
        <f ca="1">OFFSET(PTRA!AQ$218,$E102,0)</f>
        <v>21.320775185765999</v>
      </c>
      <c r="AE102" s="17">
        <f ca="1">OFFSET(PTRA!AR$218,$E102,0)</f>
        <v>24.229258546393041</v>
      </c>
      <c r="AF102" s="17">
        <f ca="1">OFFSET(PTRA!AS$218,$E102,0)</f>
        <v>27.137741907020086</v>
      </c>
      <c r="AG102" s="17">
        <f ca="1">OFFSET(PTRA!AT$218,$E102,0)</f>
        <v>30.345192060401736</v>
      </c>
      <c r="AH102" s="17">
        <f ca="1">OFFSET(PTRA!AU$218,$E102,0)</f>
        <v>30.115460609673473</v>
      </c>
      <c r="AJ102">
        <f t="shared" ca="1" si="3"/>
        <v>1.6962450865358816</v>
      </c>
    </row>
    <row r="103" spans="1:36">
      <c r="A103" s="26" t="s">
        <v>119</v>
      </c>
      <c r="B103" t="s">
        <v>370</v>
      </c>
      <c r="C103" t="s">
        <v>731</v>
      </c>
      <c r="D103" t="s">
        <v>272</v>
      </c>
      <c r="E103" s="110">
        <f>MATCH(F103,PTRA!$H$219:$H$226,0)</f>
        <v>6</v>
      </c>
      <c r="F103" t="str">
        <f t="shared" si="2"/>
        <v>TPPUBRT</v>
      </c>
      <c r="G103" s="17">
        <f ca="1">OFFSET(PTRA!N$218,$E103,0)</f>
        <v>7.2799982901224303E-2</v>
      </c>
      <c r="H103" s="17">
        <f ca="1">OFFSET(PTRA!O$218,$E103,0)</f>
        <v>9.2054765383727061E-2</v>
      </c>
      <c r="I103" s="17">
        <f ca="1">OFFSET(PTRA!P$218,$E103,0)</f>
        <v>0.1113095478662298</v>
      </c>
      <c r="J103" s="17">
        <f ca="1">OFFSET(PTRA!Q$218,$E103,0)</f>
        <v>0.11091277099762989</v>
      </c>
      <c r="K103" s="17">
        <f ca="1">OFFSET(PTRA!R$218,$E103,0)</f>
        <v>0.11324882528963676</v>
      </c>
      <c r="L103" s="17">
        <f ca="1">OFFSET(PTRA!S$218,$E103,0)</f>
        <v>0.11271362139902404</v>
      </c>
      <c r="M103" s="17">
        <f ca="1">OFFSET(PTRA!T$218,$E103,0)</f>
        <v>0.11217841750841132</v>
      </c>
      <c r="N103" s="17">
        <f ca="1">OFFSET(PTRA!W$218,$E103,0)</f>
        <v>0.1116432136177986</v>
      </c>
      <c r="O103" s="17">
        <f ca="1">OFFSET(PTRA!X$218,$E103,0)</f>
        <v>0.11110800972718587</v>
      </c>
      <c r="P103" s="17">
        <f ca="1">OFFSET(PTRA!Y$218,$E103,0)</f>
        <v>0.11057280583657315</v>
      </c>
      <c r="Q103" s="17">
        <f ca="1">OFFSET(PTRA!Z$218,$E103,0)</f>
        <v>0.11003760194596043</v>
      </c>
      <c r="R103" s="17">
        <f ca="1">OFFSET(PTRA!AA$218,$E103,0)</f>
        <v>0.10950239805534771</v>
      </c>
      <c r="S103" s="17">
        <f ca="1">OFFSET(PTRA!AB$218,$E103,0)</f>
        <v>0.10896719416473499</v>
      </c>
      <c r="T103" s="17">
        <f ca="1">OFFSET(PTRA!AC$218,$E103,0)</f>
        <v>0.10843199027412222</v>
      </c>
      <c r="U103" s="17">
        <f ca="1">OFFSET(PTRA!AD$218,$E103,0)</f>
        <v>0.10928770473741774</v>
      </c>
      <c r="V103" s="17">
        <f ca="1">OFFSET(PTRA!AE$218,$E103,0)</f>
        <v>0.11014341920071326</v>
      </c>
      <c r="W103" s="17">
        <f ca="1">OFFSET(PTRA!AH$218,$E103,0)</f>
        <v>0.11099913366400878</v>
      </c>
      <c r="X103" s="17">
        <f ca="1">OFFSET(PTRA!AI$218,$E103,0)</f>
        <v>0.1118548481273043</v>
      </c>
      <c r="Y103" s="17">
        <f ca="1">OFFSET(PTRA!AJ$218,$E103,0)</f>
        <v>0.11271056259059982</v>
      </c>
      <c r="Z103" s="17">
        <f ca="1">OFFSET(PTRA!AK$218,$E103,0)</f>
        <v>0.11356627705389534</v>
      </c>
      <c r="AA103" s="17">
        <f ca="1">OFFSET(PTRA!AL$218,$E103,0)</f>
        <v>0.11442199151719086</v>
      </c>
      <c r="AB103" s="17">
        <f ca="1">OFFSET(PTRA!AM$218,$E103,0)</f>
        <v>0.11527770598048638</v>
      </c>
      <c r="AC103" s="17">
        <f ca="1">OFFSET(PTRA!AO$218,$E103,0)</f>
        <v>0.1161334204437819</v>
      </c>
      <c r="AD103" s="17">
        <f ca="1">OFFSET(PTRA!AQ$218,$E103,0)</f>
        <v>0.11698913490707746</v>
      </c>
      <c r="AE103" s="17">
        <f ca="1">OFFSET(PTRA!AR$218,$E103,0)</f>
        <v>0.12023348355867683</v>
      </c>
      <c r="AF103" s="17">
        <f ca="1">OFFSET(PTRA!AS$218,$E103,0)</f>
        <v>0.12347783221027619</v>
      </c>
      <c r="AG103" s="17">
        <f ca="1">OFFSET(PTRA!AT$218,$E103,0)</f>
        <v>0.12714609186757148</v>
      </c>
      <c r="AH103" s="17">
        <f ca="1">OFFSET(PTRA!AU$218,$E103,0)</f>
        <v>0.12864270203435063</v>
      </c>
      <c r="AJ103">
        <f t="shared" ca="1" si="3"/>
        <v>1.7670704979270977</v>
      </c>
    </row>
    <row r="104" spans="1:36">
      <c r="A104" s="26" t="s">
        <v>117</v>
      </c>
      <c r="B104">
        <v>0.62801975359410001</v>
      </c>
      <c r="C104" t="s">
        <v>731</v>
      </c>
      <c r="D104" t="s">
        <v>272</v>
      </c>
      <c r="E104" s="110">
        <f>MATCH(F104,PTRA!$H$219:$H$226,0)</f>
        <v>4</v>
      </c>
      <c r="F104" t="str">
        <f t="shared" si="2"/>
        <v>TPPUBUS</v>
      </c>
      <c r="G104" s="17">
        <f ca="1">OFFSET(PTRA!N$218,$E104,0)</f>
        <v>0.64296697178877804</v>
      </c>
      <c r="H104" s="17">
        <f ca="1">OFFSET(PTRA!O$218,$E104,0)</f>
        <v>0.64929079481231411</v>
      </c>
      <c r="I104" s="17">
        <f ca="1">OFFSET(PTRA!P$218,$E104,0)</f>
        <v>0.65561461783585018</v>
      </c>
      <c r="J104" s="17">
        <f ca="1">OFFSET(PTRA!Q$218,$E104,0)</f>
        <v>0.6666265611015576</v>
      </c>
      <c r="K104" s="17">
        <f ca="1">OFFSET(PTRA!R$218,$E104,0)</f>
        <v>0.67369816503155333</v>
      </c>
      <c r="L104" s="17">
        <f ca="1">OFFSET(PTRA!S$218,$E104,0)</f>
        <v>0.68105375839995996</v>
      </c>
      <c r="M104" s="17">
        <f ca="1">OFFSET(PTRA!T$218,$E104,0)</f>
        <v>0.6884093517683666</v>
      </c>
      <c r="N104" s="17">
        <f ca="1">OFFSET(PTRA!W$218,$E104,0)</f>
        <v>0.69576494513677323</v>
      </c>
      <c r="O104" s="17">
        <f ca="1">OFFSET(PTRA!X$218,$E104,0)</f>
        <v>0.70312053850517986</v>
      </c>
      <c r="P104" s="17">
        <f ca="1">OFFSET(PTRA!Y$218,$E104,0)</f>
        <v>0.71047613187358649</v>
      </c>
      <c r="Q104" s="17">
        <f ca="1">OFFSET(PTRA!Z$218,$E104,0)</f>
        <v>0.71783172524199312</v>
      </c>
      <c r="R104" s="17">
        <f ca="1">OFFSET(PTRA!AA$218,$E104,0)</f>
        <v>0.72518731861039976</v>
      </c>
      <c r="S104" s="17">
        <f ca="1">OFFSET(PTRA!AB$218,$E104,0)</f>
        <v>0.73254291197880639</v>
      </c>
      <c r="T104" s="17">
        <f ca="1">OFFSET(PTRA!AC$218,$E104,0)</f>
        <v>0.73989850534721346</v>
      </c>
      <c r="U104" s="17">
        <f ca="1">OFFSET(PTRA!AD$218,$E104,0)</f>
        <v>0.74377591664829645</v>
      </c>
      <c r="V104" s="17">
        <f ca="1">OFFSET(PTRA!AE$218,$E104,0)</f>
        <v>0.74765332794937933</v>
      </c>
      <c r="W104" s="17">
        <f ca="1">OFFSET(PTRA!AH$218,$E104,0)</f>
        <v>0.75153073925046221</v>
      </c>
      <c r="X104" s="17">
        <f ca="1">OFFSET(PTRA!AI$218,$E104,0)</f>
        <v>0.75540815055154509</v>
      </c>
      <c r="Y104" s="17">
        <f ca="1">OFFSET(PTRA!AJ$218,$E104,0)</f>
        <v>0.75928556185262797</v>
      </c>
      <c r="Z104" s="17">
        <f ca="1">OFFSET(PTRA!AK$218,$E104,0)</f>
        <v>0.76316297315371084</v>
      </c>
      <c r="AA104" s="17">
        <f ca="1">OFFSET(PTRA!AL$218,$E104,0)</f>
        <v>0.76704038445479372</v>
      </c>
      <c r="AB104" s="17">
        <f ca="1">OFFSET(PTRA!AM$218,$E104,0)</f>
        <v>0.7709177957558766</v>
      </c>
      <c r="AC104" s="17">
        <f ca="1">OFFSET(PTRA!AO$218,$E104,0)</f>
        <v>0.77479520705695948</v>
      </c>
      <c r="AD104" s="17">
        <f ca="1">OFFSET(PTRA!AQ$218,$E104,0)</f>
        <v>0.7786726183580428</v>
      </c>
      <c r="AE104" s="17">
        <f ca="1">OFFSET(PTRA!AR$218,$E104,0)</f>
        <v>0.77371580455156641</v>
      </c>
      <c r="AF104" s="17">
        <f ca="1">OFFSET(PTRA!AS$218,$E104,0)</f>
        <v>0.76875899074509002</v>
      </c>
      <c r="AG104" s="17">
        <f ca="1">OFFSET(PTRA!AT$218,$E104,0)</f>
        <v>0.7614728390026565</v>
      </c>
      <c r="AH104" s="17">
        <f ca="1">OFFSET(PTRA!AU$218,$E104,0)</f>
        <v>0.77216368414084546</v>
      </c>
      <c r="AJ104">
        <f t="shared" ca="1" si="3"/>
        <v>1.2009383343480822</v>
      </c>
    </row>
    <row r="105" spans="1:36">
      <c r="A105" s="26" t="s">
        <v>121</v>
      </c>
      <c r="B105" t="s">
        <v>370</v>
      </c>
      <c r="C105" t="s">
        <v>731</v>
      </c>
      <c r="D105" t="s">
        <v>272</v>
      </c>
      <c r="E105" s="110">
        <f>MATCH(F105,PTRA!$H$219:$H$226,0)</f>
        <v>8</v>
      </c>
      <c r="F105" t="str">
        <f t="shared" si="2"/>
        <v>TPPUGAT</v>
      </c>
      <c r="G105" s="17">
        <f ca="1">OFFSET(PTRA!N$218,$E105,0)</f>
        <v>0.64854136839212595</v>
      </c>
      <c r="H105" s="17">
        <f ca="1">OFFSET(PTRA!O$218,$E105,0)</f>
        <v>0.67405613843991108</v>
      </c>
      <c r="I105" s="17">
        <f ca="1">OFFSET(PTRA!P$218,$E105,0)</f>
        <v>0.6995709084876961</v>
      </c>
      <c r="J105" s="17">
        <f ca="1">OFFSET(PTRA!Q$218,$E105,0)</f>
        <v>0.64248252977129328</v>
      </c>
      <c r="K105" s="17">
        <f ca="1">OFFSET(PTRA!R$218,$E105,0)</f>
        <v>0.68522387738371804</v>
      </c>
      <c r="L105" s="17">
        <f ca="1">OFFSET(PTRA!S$218,$E105,0)</f>
        <v>0.77236302620910391</v>
      </c>
      <c r="M105" s="17">
        <f ca="1">OFFSET(PTRA!T$218,$E105,0)</f>
        <v>0.85950217503448978</v>
      </c>
      <c r="N105" s="17">
        <f ca="1">OFFSET(PTRA!W$218,$E105,0)</f>
        <v>0.94664132385987565</v>
      </c>
      <c r="O105" s="17">
        <f ca="1">OFFSET(PTRA!X$218,$E105,0)</f>
        <v>1.0337804726852615</v>
      </c>
      <c r="P105" s="17">
        <f ca="1">OFFSET(PTRA!Y$218,$E105,0)</f>
        <v>1.1209196215106474</v>
      </c>
      <c r="Q105" s="17">
        <f ca="1">OFFSET(PTRA!Z$218,$E105,0)</f>
        <v>1.2080587703360333</v>
      </c>
      <c r="R105" s="17">
        <f ca="1">OFFSET(PTRA!AA$218,$E105,0)</f>
        <v>1.2951979191614191</v>
      </c>
      <c r="S105" s="17">
        <f ca="1">OFFSET(PTRA!AB$218,$E105,0)</f>
        <v>1.382337067986805</v>
      </c>
      <c r="T105" s="17">
        <f ca="1">OFFSET(PTRA!AC$218,$E105,0)</f>
        <v>1.4694762168121909</v>
      </c>
      <c r="U105" s="17">
        <f ca="1">OFFSET(PTRA!AD$218,$E105,0)</f>
        <v>1.5712807158053483</v>
      </c>
      <c r="V105" s="17">
        <f ca="1">OFFSET(PTRA!AE$218,$E105,0)</f>
        <v>1.6730852147985058</v>
      </c>
      <c r="W105" s="17">
        <f ca="1">OFFSET(PTRA!AH$218,$E105,0)</f>
        <v>1.7748897137916633</v>
      </c>
      <c r="X105" s="17">
        <f ca="1">OFFSET(PTRA!AI$218,$E105,0)</f>
        <v>1.8766942127848207</v>
      </c>
      <c r="Y105" s="17">
        <f ca="1">OFFSET(PTRA!AJ$218,$E105,0)</f>
        <v>1.9784987117779782</v>
      </c>
      <c r="Z105" s="17">
        <f ca="1">OFFSET(PTRA!AK$218,$E105,0)</f>
        <v>2.0803032107711359</v>
      </c>
      <c r="AA105" s="17">
        <f ca="1">OFFSET(PTRA!AL$218,$E105,0)</f>
        <v>2.1821077097642934</v>
      </c>
      <c r="AB105" s="17">
        <f ca="1">OFFSET(PTRA!AM$218,$E105,0)</f>
        <v>2.2839122087574508</v>
      </c>
      <c r="AC105" s="17">
        <f ca="1">OFFSET(PTRA!AO$218,$E105,0)</f>
        <v>2.3857167077506083</v>
      </c>
      <c r="AD105" s="17">
        <f ca="1">OFFSET(PTRA!AQ$218,$E105,0)</f>
        <v>2.4875212067437662</v>
      </c>
      <c r="AE105" s="17">
        <f ca="1">OFFSET(PTRA!AR$218,$E105,0)</f>
        <v>3.3725538357024973</v>
      </c>
      <c r="AF105" s="17">
        <f ca="1">OFFSET(PTRA!AS$218,$E105,0)</f>
        <v>4.2575864646612285</v>
      </c>
      <c r="AG105" s="17">
        <f ca="1">OFFSET(PTRA!AT$218,$E105,0)</f>
        <v>5.5494308972229671</v>
      </c>
      <c r="AH105" s="17">
        <f ca="1">OFFSET(PTRA!AU$218,$E105,0)</f>
        <v>6.5688265757783757</v>
      </c>
      <c r="AJ105">
        <f t="shared" ca="1" si="3"/>
        <v>10.128616146821775</v>
      </c>
    </row>
    <row r="106" spans="1:36">
      <c r="A106" s="26" t="s">
        <v>118</v>
      </c>
      <c r="B106">
        <v>8.3842691666009994</v>
      </c>
      <c r="C106" t="s">
        <v>731</v>
      </c>
      <c r="D106" t="s">
        <v>272</v>
      </c>
      <c r="E106" s="110">
        <f>MATCH(F106,PTRA!$H$219:$H$226,0)</f>
        <v>5</v>
      </c>
      <c r="F106" t="str">
        <f t="shared" si="2"/>
        <v>TPPUMBT</v>
      </c>
      <c r="G106" s="17">
        <f ca="1">OFFSET(PTRA!N$218,$E106,0)</f>
        <v>7.2130505455454896</v>
      </c>
      <c r="H106" s="17">
        <f ca="1">OFFSET(PTRA!O$218,$E106,0)</f>
        <v>7.2845555245765379</v>
      </c>
      <c r="I106" s="17">
        <f ca="1">OFFSET(PTRA!P$218,$E106,0)</f>
        <v>7.3560605036075861</v>
      </c>
      <c r="J106" s="17">
        <f ca="1">OFFSET(PTRA!Q$218,$E106,0)</f>
        <v>7.4796155902715018</v>
      </c>
      <c r="K106" s="17">
        <f ca="1">OFFSET(PTRA!R$218,$E106,0)</f>
        <v>7.5589596819854874</v>
      </c>
      <c r="L106" s="17">
        <f ca="1">OFFSET(PTRA!S$218,$E106,0)</f>
        <v>7.6118534207071953</v>
      </c>
      <c r="M106" s="17">
        <f ca="1">OFFSET(PTRA!T$218,$E106,0)</f>
        <v>7.6647471594289032</v>
      </c>
      <c r="N106" s="17">
        <f ca="1">OFFSET(PTRA!W$218,$E106,0)</f>
        <v>7.7176408981506111</v>
      </c>
      <c r="O106" s="17">
        <f ca="1">OFFSET(PTRA!X$218,$E106,0)</f>
        <v>7.7705346368723189</v>
      </c>
      <c r="P106" s="17">
        <f ca="1">OFFSET(PTRA!Y$218,$E106,0)</f>
        <v>7.8234283755940268</v>
      </c>
      <c r="Q106" s="17">
        <f ca="1">OFFSET(PTRA!Z$218,$E106,0)</f>
        <v>7.8763221143157347</v>
      </c>
      <c r="R106" s="17">
        <f ca="1">OFFSET(PTRA!AA$218,$E106,0)</f>
        <v>7.9292158530374426</v>
      </c>
      <c r="S106" s="17">
        <f ca="1">OFFSET(PTRA!AB$218,$E106,0)</f>
        <v>7.9821095917591505</v>
      </c>
      <c r="T106" s="17">
        <f ca="1">OFFSET(PTRA!AC$218,$E106,0)</f>
        <v>8.0350033304808619</v>
      </c>
      <c r="U106" s="17">
        <f ca="1">OFFSET(PTRA!AD$218,$E106,0)</f>
        <v>8.0553501171241315</v>
      </c>
      <c r="V106" s="17">
        <f ca="1">OFFSET(PTRA!AE$218,$E106,0)</f>
        <v>8.0756969037674011</v>
      </c>
      <c r="W106" s="17">
        <f ca="1">OFFSET(PTRA!AH$218,$E106,0)</f>
        <v>8.0960436904106707</v>
      </c>
      <c r="X106" s="17">
        <f ca="1">OFFSET(PTRA!AI$218,$E106,0)</f>
        <v>8.1163904770539403</v>
      </c>
      <c r="Y106" s="17">
        <f ca="1">OFFSET(PTRA!AJ$218,$E106,0)</f>
        <v>8.13673726369721</v>
      </c>
      <c r="Z106" s="17">
        <f ca="1">OFFSET(PTRA!AK$218,$E106,0)</f>
        <v>8.1570840503404796</v>
      </c>
      <c r="AA106" s="17">
        <f ca="1">OFFSET(PTRA!AL$218,$E106,0)</f>
        <v>8.1774308369837492</v>
      </c>
      <c r="AB106" s="17">
        <f ca="1">OFFSET(PTRA!AM$218,$E106,0)</f>
        <v>8.1977776236270188</v>
      </c>
      <c r="AC106" s="17">
        <f ca="1">OFFSET(PTRA!AO$218,$E106,0)</f>
        <v>8.2181244102702884</v>
      </c>
      <c r="AD106" s="17">
        <f ca="1">OFFSET(PTRA!AQ$218,$E106,0)</f>
        <v>8.2384711969135651</v>
      </c>
      <c r="AE106" s="17">
        <f ca="1">OFFSET(PTRA!AR$218,$E106,0)</f>
        <v>8.1860273754533601</v>
      </c>
      <c r="AF106" s="17">
        <f ca="1">OFFSET(PTRA!AS$218,$E106,0)</f>
        <v>8.1335835539931569</v>
      </c>
      <c r="AG106" s="17">
        <f ca="1">OFFSET(PTRA!AT$218,$E106,0)</f>
        <v>8.0564949934721035</v>
      </c>
      <c r="AH106" s="17">
        <f ca="1">OFFSET(PTRA!AU$218,$E106,0)</f>
        <v>8.1696057124894956</v>
      </c>
      <c r="AJ106">
        <f t="shared" ca="1" si="3"/>
        <v>1.1326145104493603</v>
      </c>
    </row>
    <row r="107" spans="1:36">
      <c r="A107" s="26" t="s">
        <v>120</v>
      </c>
      <c r="B107">
        <v>13.9</v>
      </c>
      <c r="C107" t="s">
        <v>731</v>
      </c>
      <c r="D107" t="s">
        <v>272</v>
      </c>
      <c r="E107" s="111">
        <f>MATCH(F107,PTRA!$H$219:$H$226,0)</f>
        <v>7</v>
      </c>
      <c r="F107" t="str">
        <f t="shared" si="2"/>
        <v>TPPUMER</v>
      </c>
      <c r="G107" s="17">
        <f ca="1">OFFSET(PTRA!N$218,$E107,0)</f>
        <v>8.7048317578401608</v>
      </c>
      <c r="H107" s="17">
        <f ca="1">OFFSET(PTRA!O$218,$E107,0)</f>
        <v>8.7898700606728966</v>
      </c>
      <c r="I107" s="17">
        <f ca="1">OFFSET(PTRA!P$218,$E107,0)</f>
        <v>8.8749083635056305</v>
      </c>
      <c r="J107" s="17">
        <f ca="1">OFFSET(PTRA!Q$218,$E107,0)</f>
        <v>9.0239745751619225</v>
      </c>
      <c r="K107" s="17">
        <f ca="1">OFFSET(PTRA!R$218,$E107,0)</f>
        <v>9.1197012950280598</v>
      </c>
      <c r="L107" s="17">
        <f ca="1">OFFSET(PTRA!S$218,$E107,0)</f>
        <v>9.6341867103428278</v>
      </c>
      <c r="M107" s="17">
        <f ca="1">OFFSET(PTRA!T$218,$E107,0)</f>
        <v>10.148672125657596</v>
      </c>
      <c r="N107" s="17">
        <f ca="1">OFFSET(PTRA!W$218,$E107,0)</f>
        <v>10.663157540972364</v>
      </c>
      <c r="O107" s="17">
        <f ca="1">OFFSET(PTRA!X$218,$E107,0)</f>
        <v>11.177642956287132</v>
      </c>
      <c r="P107" s="17">
        <f ca="1">OFFSET(PTRA!Y$218,$E107,0)</f>
        <v>11.6921283716019</v>
      </c>
      <c r="Q107" s="17">
        <f ca="1">OFFSET(PTRA!Z$218,$E107,0)</f>
        <v>12.206613786916668</v>
      </c>
      <c r="R107" s="17">
        <f ca="1">OFFSET(PTRA!AA$218,$E107,0)</f>
        <v>12.721099202231436</v>
      </c>
      <c r="S107" s="17">
        <f ca="1">OFFSET(PTRA!AB$218,$E107,0)</f>
        <v>13.235584617546204</v>
      </c>
      <c r="T107" s="17">
        <f ca="1">OFFSET(PTRA!AC$218,$E107,0)</f>
        <v>13.75007003286097</v>
      </c>
      <c r="U107" s="17">
        <f ca="1">OFFSET(PTRA!AD$218,$E107,0)</f>
        <v>14.126771775881112</v>
      </c>
      <c r="V107" s="17">
        <f ca="1">OFFSET(PTRA!AE$218,$E107,0)</f>
        <v>14.503473518901254</v>
      </c>
      <c r="W107" s="17">
        <f ca="1">OFFSET(PTRA!AH$218,$E107,0)</f>
        <v>14.880175261921396</v>
      </c>
      <c r="X107" s="17">
        <f ca="1">OFFSET(PTRA!AI$218,$E107,0)</f>
        <v>15.256877004941538</v>
      </c>
      <c r="Y107" s="17">
        <f ca="1">OFFSET(PTRA!AJ$218,$E107,0)</f>
        <v>15.63357874796168</v>
      </c>
      <c r="Z107" s="17">
        <f ca="1">OFFSET(PTRA!AK$218,$E107,0)</f>
        <v>16.01028049098182</v>
      </c>
      <c r="AA107" s="17">
        <f ca="1">OFFSET(PTRA!AL$218,$E107,0)</f>
        <v>16.386982234001962</v>
      </c>
      <c r="AB107" s="17">
        <f ca="1">OFFSET(PTRA!AM$218,$E107,0)</f>
        <v>16.763683977022104</v>
      </c>
      <c r="AC107" s="17">
        <f ca="1">OFFSET(PTRA!AO$218,$E107,0)</f>
        <v>17.140385720042246</v>
      </c>
      <c r="AD107" s="17">
        <f ca="1">OFFSET(PTRA!AQ$218,$E107,0)</f>
        <v>17.517087463062389</v>
      </c>
      <c r="AE107" s="17">
        <f ca="1">OFFSET(PTRA!AR$218,$E107,0)</f>
        <v>17.405578545271936</v>
      </c>
      <c r="AF107" s="17">
        <f ca="1">OFFSET(PTRA!AS$218,$E107,0)</f>
        <v>17.294069627481488</v>
      </c>
      <c r="AG107" s="17">
        <f ca="1">OFFSET(PTRA!AT$218,$E107,0)</f>
        <v>17.130159719347713</v>
      </c>
      <c r="AH107" s="17">
        <f ca="1">OFFSET(PTRA!AU$218,$E107,0)</f>
        <v>17.370661908489286</v>
      </c>
      <c r="AJ107">
        <f t="shared" ca="1" si="3"/>
        <v>1.9955195449750183</v>
      </c>
    </row>
    <row r="108" spans="1:36">
      <c r="A108" s="26" t="s">
        <v>146</v>
      </c>
      <c r="B108">
        <v>0.1024485696</v>
      </c>
      <c r="C108" t="s">
        <v>731</v>
      </c>
      <c r="D108" t="s">
        <v>272</v>
      </c>
      <c r="E108" s="112">
        <f>MATCH(F108,OtherTRA!$D$52:$D$56,0)</f>
        <v>5</v>
      </c>
      <c r="F108" t="str">
        <f t="shared" si="2"/>
        <v>TSHFO</v>
      </c>
      <c r="G108" s="17">
        <f ca="1">OFFSET(OtherTRA!J$51,$E108,0)</f>
        <v>4.5086140100000014</v>
      </c>
      <c r="H108" s="17">
        <f ca="1">OFFSET(OtherTRA!K$51,$E108,0)</f>
        <v>4.8159747836716882</v>
      </c>
      <c r="I108" s="17">
        <f ca="1">OFFSET(OtherTRA!L$51,$E108,0)</f>
        <v>5.123335557343375</v>
      </c>
      <c r="J108" s="17">
        <f ca="1">OFFSET(OtherTRA!M$51,$E108,0)</f>
        <v>4.849247646868216</v>
      </c>
      <c r="K108" s="17">
        <f ca="1">OFFSET(OtherTRA!N$51,$E108,0)</f>
        <v>4.4717798539264564</v>
      </c>
      <c r="L108" s="17">
        <f ca="1">OFFSET(OtherTRA!O$51,$E108,0)</f>
        <v>4.6107998746698247</v>
      </c>
      <c r="M108" s="17">
        <f ca="1">OFFSET(OtherTRA!P$51,$E108,0)</f>
        <v>4.7498198954131929</v>
      </c>
      <c r="N108" s="17">
        <f ca="1">OFFSET(OtherTRA!Q$51,$E108,0)</f>
        <v>4.8888399161565612</v>
      </c>
      <c r="O108" s="17">
        <f ca="1">OFFSET(OtherTRA!R$51,$E108,0)</f>
        <v>5.0278599368999295</v>
      </c>
      <c r="P108" s="17">
        <f ca="1">OFFSET(OtherTRA!S$51,$E108,0)</f>
        <v>5.1668799576432978</v>
      </c>
      <c r="Q108" s="17">
        <f ca="1">OFFSET(OtherTRA!T$51,$E108,0)</f>
        <v>5.305899978386666</v>
      </c>
      <c r="R108" s="17">
        <f ca="1">OFFSET(OtherTRA!U$51,$E108,0)</f>
        <v>5.4449199991300343</v>
      </c>
      <c r="S108" s="17">
        <f ca="1">OFFSET(OtherTRA!V$51,$E108,0)</f>
        <v>5.5839400198734026</v>
      </c>
      <c r="T108" s="17">
        <f ca="1">OFFSET(OtherTRA!W$51,$E108,0)</f>
        <v>5.7229600406167682</v>
      </c>
      <c r="U108" s="17">
        <f ca="1">OFFSET(OtherTRA!X$51,$E108,0)</f>
        <v>5.9750684246867625</v>
      </c>
      <c r="V108" s="17">
        <f ca="1">OFFSET(OtherTRA!Y$51,$E108,0)</f>
        <v>6.2271768087567567</v>
      </c>
      <c r="W108" s="17">
        <f ca="1">OFFSET(OtherTRA!Z$51,$E108,0)</f>
        <v>6.479285192826751</v>
      </c>
      <c r="X108" s="17">
        <f ca="1">OFFSET(OtherTRA!AA$51,$E108,0)</f>
        <v>6.7313935768967452</v>
      </c>
      <c r="Y108" s="17">
        <f ca="1">OFFSET(OtherTRA!AB$51,$E108,0)</f>
        <v>6.9835019609667395</v>
      </c>
      <c r="Z108" s="17">
        <f ca="1">OFFSET(OtherTRA!AC$51,$E108,0)</f>
        <v>7.2356103450367337</v>
      </c>
      <c r="AA108" s="17">
        <f ca="1">OFFSET(OtherTRA!AD$51,$E108,0)</f>
        <v>7.487718729106728</v>
      </c>
      <c r="AB108" s="17">
        <f ca="1">OFFSET(OtherTRA!AE$51,$E108,0)</f>
        <v>7.7398271131767222</v>
      </c>
      <c r="AC108" s="17">
        <f ca="1">OFFSET(OtherTRA!AF$51,$E108,0)</f>
        <v>7.9919354972467165</v>
      </c>
      <c r="AD108" s="17">
        <f ca="1">OFFSET(OtherTRA!AG$51,$E108,0)</f>
        <v>8.2440438813167116</v>
      </c>
      <c r="AE108" s="17">
        <f ca="1">OFFSET(OtherTRA!AH$51,$E108,0)</f>
        <v>8.6028053671791618</v>
      </c>
      <c r="AF108" s="17">
        <f ca="1">OFFSET(OtherTRA!AI$51,$E108,0)</f>
        <v>8.9615668530416119</v>
      </c>
      <c r="AG108" s="17">
        <f ca="1">OFFSET(OtherTRA!AJ$51,$E108,0)</f>
        <v>9.3203283389040621</v>
      </c>
      <c r="AH108" s="17">
        <f ca="1">OFFSET(OtherTRA!AK$51,$E108,0)</f>
        <v>9.6790898247665123</v>
      </c>
      <c r="AJ108">
        <f t="shared" ca="1" si="3"/>
        <v>2.1467993940706647</v>
      </c>
    </row>
    <row r="109" spans="1:36">
      <c r="A109" s="26" t="s">
        <v>225</v>
      </c>
      <c r="B109">
        <v>82.184767358499997</v>
      </c>
      <c r="C109" t="s">
        <v>731</v>
      </c>
      <c r="D109" t="s">
        <v>272</v>
      </c>
      <c r="E109" s="109">
        <f>MATCH(F109,COM!$D$248:$D$266,0)</f>
        <v>1</v>
      </c>
      <c r="F109" t="str">
        <f t="shared" si="2"/>
        <v>CEC</v>
      </c>
      <c r="G109" s="17">
        <f ca="1">OFFSET(COM!Q$247,$E109,0)</f>
        <v>128.41271933541799</v>
      </c>
      <c r="H109" s="17">
        <f ca="1">OFFSET(COM!R$247,$E109,0)</f>
        <v>127.5701706714746</v>
      </c>
      <c r="I109" s="17">
        <f ca="1">OFFSET(COM!S$247,$E109,0)</f>
        <v>126.6952018486339</v>
      </c>
      <c r="J109" s="167">
        <f ca="1">OFFSET(COM!T$247,$E109,0)</f>
        <v>125.66790009395055</v>
      </c>
      <c r="K109" s="17">
        <f ca="1">OFFSET(COM!U$247,$E109,0)</f>
        <v>120.88343774366243</v>
      </c>
      <c r="L109" s="17">
        <f ca="1">OFFSET(COM!V$247,$E109,0)</f>
        <v>115.78072607996171</v>
      </c>
      <c r="M109" s="17">
        <f ca="1">OFFSET(COM!W$247,$E109,0)</f>
        <v>110.54871044182232</v>
      </c>
      <c r="N109" s="17">
        <f ca="1">OFFSET(COM!X$247,$E109,0)</f>
        <v>105.45744845726982</v>
      </c>
      <c r="O109" s="167">
        <f ca="1">OFFSET(COM!Y$247,$E109,0)</f>
        <v>100.43004755893899</v>
      </c>
      <c r="P109" s="17">
        <f ca="1">OFFSET(COM!Z$247,$E109,0)</f>
        <v>95.482342178926345</v>
      </c>
      <c r="Q109" s="17">
        <f ca="1">OFFSET(COM!AA$247,$E109,0)</f>
        <v>90.601505172019984</v>
      </c>
      <c r="R109" s="17">
        <f ca="1">OFFSET(COM!AB$247,$E109,0)</f>
        <v>85.784388033840415</v>
      </c>
      <c r="S109" s="17">
        <f ca="1">OFFSET(COM!AC$247,$E109,0)</f>
        <v>81.04244792357872</v>
      </c>
      <c r="T109" s="17">
        <f ca="1">OFFSET(COM!AD$247,$E109,0)</f>
        <v>76.370433206571349</v>
      </c>
      <c r="U109" s="17">
        <f ca="1">OFFSET(COM!AE$247,$E109,0)</f>
        <v>75.868426062404353</v>
      </c>
      <c r="V109" s="17">
        <f ca="1">OFFSET(COM!AF$247,$E109,0)</f>
        <v>75.373829530766045</v>
      </c>
      <c r="W109" s="17">
        <f ca="1">OFFSET(COM!AG$247,$E109,0)</f>
        <v>74.888270527742534</v>
      </c>
      <c r="X109" s="17">
        <f ca="1">OFFSET(COM!AH$247,$E109,0)</f>
        <v>74.429632750027906</v>
      </c>
      <c r="Y109" s="17">
        <f ca="1">OFFSET(COM!AI$247,$E109,0)</f>
        <v>73.980716016692867</v>
      </c>
      <c r="Z109" s="17">
        <f ca="1">OFFSET(COM!AJ$247,$E109,0)</f>
        <v>73.541856247279227</v>
      </c>
      <c r="AA109" s="17">
        <f ca="1">OFFSET(COM!AK$247,$E109,0)</f>
        <v>73.114329904571065</v>
      </c>
      <c r="AB109" s="17">
        <f ca="1">OFFSET(COM!AL$247,$E109,0)</f>
        <v>72.693925346154856</v>
      </c>
      <c r="AC109" s="17">
        <f ca="1">OFFSET(COM!AM$247,$E109,0)</f>
        <v>72.272127582164075</v>
      </c>
      <c r="AD109" s="17">
        <f ca="1">OFFSET(COM!AN$247,$E109,0)</f>
        <v>71.84586773490976</v>
      </c>
      <c r="AE109" s="17">
        <f ca="1">OFFSET(COM!AO$247,$E109,0)</f>
        <v>69.753524999640931</v>
      </c>
      <c r="AF109" s="17">
        <f ca="1">OFFSET(COM!AP$247,$E109,0)</f>
        <v>67.796962626616008</v>
      </c>
      <c r="AG109" s="17">
        <f ca="1">OFFSET(COM!AQ$247,$E109,0)</f>
        <v>63.369481138053416</v>
      </c>
      <c r="AH109" s="17">
        <f ca="1">OFFSET(COM!AR$247,$E109,0)</f>
        <v>57.261757921979267</v>
      </c>
      <c r="AJ109">
        <f t="shared" ca="1" si="3"/>
        <v>0.44591967383238562</v>
      </c>
    </row>
    <row r="110" spans="1:36">
      <c r="A110" s="26" t="s">
        <v>231</v>
      </c>
      <c r="B110">
        <v>9.1664843454099998</v>
      </c>
      <c r="C110" t="s">
        <v>731</v>
      </c>
      <c r="D110" t="s">
        <v>272</v>
      </c>
      <c r="E110" s="109">
        <f>MATCH(F110,COM!$D$248:$D$266,0)</f>
        <v>7</v>
      </c>
      <c r="F110" t="str">
        <f t="shared" si="2"/>
        <v>CEG</v>
      </c>
      <c r="G110" s="17">
        <f ca="1">OFFSET(COM!Q$247,$E110,0)</f>
        <v>9.4707173671475111</v>
      </c>
      <c r="H110" s="17">
        <f ca="1">OFFSET(COM!R$247,$E110,0)</f>
        <v>9.5388470786807869</v>
      </c>
      <c r="I110" s="17">
        <f ca="1">OFFSET(COM!S$247,$E110,0)</f>
        <v>9.5950215040281002</v>
      </c>
      <c r="J110" s="167">
        <f ca="1">OFFSET(COM!T$247,$E110,0)</f>
        <v>9.5950215040281002</v>
      </c>
      <c r="K110" s="17">
        <f ca="1">OFFSET(COM!U$247,$E110,0)</f>
        <v>9.6816157767045059</v>
      </c>
      <c r="L110" s="17">
        <f ca="1">OFFSET(COM!V$247,$E110,0)</f>
        <v>9.6322350001341945</v>
      </c>
      <c r="M110" s="17">
        <f ca="1">OFFSET(COM!W$247,$E110,0)</f>
        <v>9.5093054380631052</v>
      </c>
      <c r="N110" s="17">
        <f ca="1">OFFSET(COM!X$247,$E110,0)</f>
        <v>9.4193990507318315</v>
      </c>
      <c r="O110" s="167">
        <f ca="1">OFFSET(COM!Y$247,$E110,0)</f>
        <v>9.3326249745505656</v>
      </c>
      <c r="P110" s="17">
        <f ca="1">OFFSET(COM!Z$247,$E110,0)</f>
        <v>9.2570127081242788</v>
      </c>
      <c r="Q110" s="17">
        <f ca="1">OFFSET(COM!AA$247,$E110,0)</f>
        <v>9.188189617735059</v>
      </c>
      <c r="R110" s="17">
        <f ca="1">OFFSET(COM!AB$247,$E110,0)</f>
        <v>9.1259499257437575</v>
      </c>
      <c r="S110" s="17">
        <f ca="1">OFFSET(COM!AC$247,$E110,0)</f>
        <v>9.0781964496864234</v>
      </c>
      <c r="T110" s="17">
        <f ca="1">OFFSET(COM!AD$247,$E110,0)</f>
        <v>9.045230491445281</v>
      </c>
      <c r="U110" s="17">
        <f ca="1">OFFSET(COM!AE$247,$E110,0)</f>
        <v>9.162999081504335</v>
      </c>
      <c r="V110" s="17">
        <f ca="1">OFFSET(COM!AF$247,$E110,0)</f>
        <v>9.2851400619085158</v>
      </c>
      <c r="W110" s="17">
        <f ca="1">OFFSET(COM!AG$247,$E110,0)</f>
        <v>9.4126133414588207</v>
      </c>
      <c r="X110" s="17">
        <f ca="1">OFFSET(COM!AH$247,$E110,0)</f>
        <v>9.5559706124017243</v>
      </c>
      <c r="Y110" s="17">
        <f ca="1">OFFSET(COM!AI$247,$E110,0)</f>
        <v>9.7050634686859549</v>
      </c>
      <c r="Z110" s="17">
        <f ca="1">OFFSET(COM!AJ$247,$E110,0)</f>
        <v>9.8600901086865704</v>
      </c>
      <c r="AA110" s="17">
        <f ca="1">OFFSET(COM!AK$247,$E110,0)</f>
        <v>10.021803667658098</v>
      </c>
      <c r="AB110" s="17">
        <f ca="1">OFFSET(COM!AL$247,$E110,0)</f>
        <v>10.187719203289143</v>
      </c>
      <c r="AC110" s="17">
        <f ca="1">OFFSET(COM!AM$247,$E110,0)</f>
        <v>10.352812723387796</v>
      </c>
      <c r="AD110" s="17">
        <f ca="1">OFFSET(COM!AN$247,$E110,0)</f>
        <v>10.515273536715586</v>
      </c>
      <c r="AE110" s="17">
        <f ca="1">OFFSET(COM!AO$247,$E110,0)</f>
        <v>11.350562616834122</v>
      </c>
      <c r="AF110" s="17">
        <f ca="1">OFFSET(COM!AP$247,$E110,0)</f>
        <v>12.265964473411325</v>
      </c>
      <c r="AG110" s="17">
        <f ca="1">OFFSET(COM!AQ$247,$E110,0)</f>
        <v>13.7932887580832</v>
      </c>
      <c r="AH110" s="17">
        <f ca="1">OFFSET(COM!AR$247,$E110,0)</f>
        <v>14.329241185381104</v>
      </c>
      <c r="AJ110">
        <f t="shared" ca="1" si="3"/>
        <v>1.5130048368972637</v>
      </c>
    </row>
    <row r="111" spans="1:36">
      <c r="A111" s="26" t="s">
        <v>226</v>
      </c>
      <c r="B111">
        <v>29.897246584059999</v>
      </c>
      <c r="C111" t="s">
        <v>731</v>
      </c>
      <c r="D111" t="s">
        <v>272</v>
      </c>
      <c r="E111" s="109">
        <f>MATCH(F111,COM!$D$248:$D$266,0)</f>
        <v>2</v>
      </c>
      <c r="F111" t="str">
        <f t="shared" si="2"/>
        <v>CEH</v>
      </c>
      <c r="G111" s="17">
        <f ca="1">OFFSET(COM!Q$247,$E111,0)</f>
        <v>11.992907577983001</v>
      </c>
      <c r="H111" s="17">
        <f ca="1">OFFSET(COM!R$247,$E111,0)</f>
        <v>11.914219046901959</v>
      </c>
      <c r="I111" s="17">
        <f ca="1">OFFSET(COM!S$247,$E111,0)</f>
        <v>11.832502685156392</v>
      </c>
      <c r="J111" s="167">
        <f ca="1">OFFSET(COM!T$247,$E111,0)</f>
        <v>11.736559424532528</v>
      </c>
      <c r="K111" s="17">
        <f ca="1">OFFSET(COM!U$247,$E111,0)</f>
        <v>11.097890296865071</v>
      </c>
      <c r="L111" s="17">
        <f ca="1">OFFSET(COM!V$247,$E111,0)</f>
        <v>10.432217555393779</v>
      </c>
      <c r="M111" s="17">
        <f ca="1">OFFSET(COM!W$247,$E111,0)</f>
        <v>9.7579560498029316</v>
      </c>
      <c r="N111" s="17">
        <f ca="1">OFFSET(COM!X$247,$E111,0)</f>
        <v>9.0995868051351216</v>
      </c>
      <c r="O111" s="167">
        <f ca="1">OFFSET(COM!Y$247,$E111,0)</f>
        <v>8.4500913967169602</v>
      </c>
      <c r="P111" s="17">
        <f ca="1">OFFSET(COM!Z$247,$E111,0)</f>
        <v>7.8107164292691316</v>
      </c>
      <c r="Q111" s="17">
        <f ca="1">OFFSET(COM!AA$247,$E111,0)</f>
        <v>7.180226026992897</v>
      </c>
      <c r="R111" s="17">
        <f ca="1">OFFSET(COM!AB$247,$E111,0)</f>
        <v>6.5582248611592204</v>
      </c>
      <c r="S111" s="17">
        <f ca="1">OFFSET(COM!AC$247,$E111,0)</f>
        <v>5.9453930221674813</v>
      </c>
      <c r="T111" s="17">
        <f ca="1">OFFSET(COM!AD$247,$E111,0)</f>
        <v>5.3410027759843191</v>
      </c>
      <c r="U111" s="17">
        <f ca="1">OFFSET(COM!AE$247,$E111,0)</f>
        <v>5.3058946662357798</v>
      </c>
      <c r="V111" s="17">
        <f ca="1">OFFSET(COM!AF$247,$E111,0)</f>
        <v>5.2713048212190952</v>
      </c>
      <c r="W111" s="17">
        <f ca="1">OFFSET(COM!AG$247,$E111,0)</f>
        <v>5.2373470200889365</v>
      </c>
      <c r="X111" s="17">
        <f ca="1">OFFSET(COM!AH$247,$E111,0)</f>
        <v>5.2052719677277768</v>
      </c>
      <c r="Y111" s="17">
        <f ca="1">OFFSET(COM!AI$247,$E111,0)</f>
        <v>5.1738767612550989</v>
      </c>
      <c r="Z111" s="17">
        <f ca="1">OFFSET(COM!AJ$247,$E111,0)</f>
        <v>5.1431848933647331</v>
      </c>
      <c r="AA111" s="17">
        <f ca="1">OFFSET(COM!AK$247,$E111,0)</f>
        <v>5.1132856340920458</v>
      </c>
      <c r="AB111" s="17">
        <f ca="1">OFFSET(COM!AL$247,$E111,0)</f>
        <v>5.0838844402103245</v>
      </c>
      <c r="AC111" s="17">
        <f ca="1">OFFSET(COM!AM$247,$E111,0)</f>
        <v>5.0543858118303442</v>
      </c>
      <c r="AD111" s="17">
        <f ca="1">OFFSET(COM!AN$247,$E111,0)</f>
        <v>5.0245751255230156</v>
      </c>
      <c r="AE111" s="17">
        <f ca="1">OFFSET(COM!AO$247,$E111,0)</f>
        <v>4.8782461355177595</v>
      </c>
      <c r="AF111" s="17">
        <f ca="1">OFFSET(COM!AP$247,$E111,0)</f>
        <v>4.7414130100928098</v>
      </c>
      <c r="AG111" s="17">
        <f ca="1">OFFSET(COM!AQ$247,$E111,0)</f>
        <v>4.4317749744269683</v>
      </c>
      <c r="AH111" s="17">
        <f ca="1">OFFSET(COM!AR$247,$E111,0)</f>
        <v>4.0046284298504879</v>
      </c>
      <c r="AJ111">
        <f t="shared" ca="1" si="3"/>
        <v>0.33391639215183522</v>
      </c>
    </row>
    <row r="112" spans="1:36">
      <c r="A112" s="26" t="s">
        <v>227</v>
      </c>
      <c r="B112">
        <v>0.29916376652240001</v>
      </c>
      <c r="C112" t="s">
        <v>731</v>
      </c>
      <c r="D112" t="s">
        <v>272</v>
      </c>
      <c r="E112" s="109">
        <f>MATCH(F112,COM!$D$248:$D$266,0)</f>
        <v>3</v>
      </c>
      <c r="F112" t="str">
        <f t="shared" si="2"/>
        <v>CEK</v>
      </c>
      <c r="G112" s="17">
        <f ca="1">OFFSET(COM!Q$247,$E112,0)</f>
        <v>8.9629891158025892</v>
      </c>
      <c r="H112" s="17">
        <f ca="1">OFFSET(COM!R$247,$E112,0)</f>
        <v>8.904180653965307</v>
      </c>
      <c r="I112" s="17">
        <f ca="1">OFFSET(COM!S$247,$E112,0)</f>
        <v>8.8431093202502762</v>
      </c>
      <c r="J112" s="167">
        <f ca="1">OFFSET(COM!T$247,$E112,0)</f>
        <v>8.7714054073238561</v>
      </c>
      <c r="K112" s="17">
        <f ca="1">OFFSET(COM!U$247,$E112,0)</f>
        <v>8.4428584584866169</v>
      </c>
      <c r="L112" s="17">
        <f ca="1">OFFSET(COM!V$247,$E112,0)</f>
        <v>8.0920217112027082</v>
      </c>
      <c r="M112" s="17">
        <f ca="1">OFFSET(COM!W$247,$E112,0)</f>
        <v>7.7320615912374242</v>
      </c>
      <c r="N112" s="17">
        <f ca="1">OFFSET(COM!X$247,$E112,0)</f>
        <v>7.3818485099244802</v>
      </c>
      <c r="O112" s="167">
        <f ca="1">OFFSET(COM!Y$247,$E112,0)</f>
        <v>7.036010912860986</v>
      </c>
      <c r="P112" s="17">
        <f ca="1">OFFSET(COM!Z$247,$E112,0)</f>
        <v>6.6956605540275085</v>
      </c>
      <c r="Q112" s="17">
        <f ca="1">OFFSET(COM!AA$247,$E112,0)</f>
        <v>6.3599031876040177</v>
      </c>
      <c r="R112" s="17">
        <f ca="1">OFFSET(COM!AB$247,$E112,0)</f>
        <v>6.0285219045171932</v>
      </c>
      <c r="S112" s="17">
        <f ca="1">OFFSET(COM!AC$247,$E112,0)</f>
        <v>5.7023273722264545</v>
      </c>
      <c r="T112" s="17">
        <f ca="1">OFFSET(COM!AD$247,$E112,0)</f>
        <v>5.3809597149945079</v>
      </c>
      <c r="U112" s="17">
        <f ca="1">OFFSET(COM!AE$247,$E112,0)</f>
        <v>5.3455889555790748</v>
      </c>
      <c r="V112" s="17">
        <f ca="1">OFFSET(COM!AF$247,$E112,0)</f>
        <v>5.3107403381210201</v>
      </c>
      <c r="W112" s="17">
        <f ca="1">OFFSET(COM!AG$247,$E112,0)</f>
        <v>5.2765284929759853</v>
      </c>
      <c r="X112" s="17">
        <f ca="1">OFFSET(COM!AH$247,$E112,0)</f>
        <v>5.2442134817597763</v>
      </c>
      <c r="Y112" s="17">
        <f ca="1">OFFSET(COM!AI$247,$E112,0)</f>
        <v>5.2125834024733484</v>
      </c>
      <c r="Z112" s="17">
        <f ca="1">OFFSET(COM!AJ$247,$E112,0)</f>
        <v>5.1816619235633219</v>
      </c>
      <c r="AA112" s="17">
        <f ca="1">OFFSET(COM!AK$247,$E112,0)</f>
        <v>5.1515389829091935</v>
      </c>
      <c r="AB112" s="17">
        <f ca="1">OFFSET(COM!AL$247,$E112,0)</f>
        <v>5.1219178337568945</v>
      </c>
      <c r="AC112" s="17">
        <f ca="1">OFFSET(COM!AM$247,$E112,0)</f>
        <v>5.0921985211824836</v>
      </c>
      <c r="AD112" s="17">
        <f ca="1">OFFSET(COM!AN$247,$E112,0)</f>
        <v>5.062164816122948</v>
      </c>
      <c r="AE112" s="17">
        <f ca="1">OFFSET(COM!AO$247,$E112,0)</f>
        <v>4.914741114361437</v>
      </c>
      <c r="AF112" s="17">
        <f ca="1">OFFSET(COM!AP$247,$E112,0)</f>
        <v>4.7768843173383813</v>
      </c>
      <c r="AG112" s="17">
        <f ca="1">OFFSET(COM!AQ$247,$E112,0)</f>
        <v>4.4649298275111668</v>
      </c>
      <c r="AH112" s="17">
        <f ca="1">OFFSET(COM!AR$247,$E112,0)</f>
        <v>4.0345877278777227</v>
      </c>
      <c r="AJ112">
        <f t="shared" ca="1" si="3"/>
        <v>0.45013863966033013</v>
      </c>
    </row>
    <row r="113" spans="1:36">
      <c r="A113" s="26" t="s">
        <v>228</v>
      </c>
      <c r="B113">
        <v>177.48088542799999</v>
      </c>
      <c r="C113" t="s">
        <v>731</v>
      </c>
      <c r="D113" t="s">
        <v>272</v>
      </c>
      <c r="E113" s="109">
        <f>MATCH(F113,COM!$D$248:$D$266,0)</f>
        <v>4</v>
      </c>
      <c r="F113" t="str">
        <f t="shared" si="2"/>
        <v>CEL</v>
      </c>
      <c r="G113" s="17">
        <f ca="1">OFFSET(COM!Q$247,$E113,0)</f>
        <v>111.748716602955</v>
      </c>
      <c r="H113" s="17">
        <f ca="1">OFFSET(COM!R$247,$E113,0)</f>
        <v>111.01550471897272</v>
      </c>
      <c r="I113" s="17">
        <f ca="1">OFFSET(COM!S$247,$E113,0)</f>
        <v>110.25407981086335</v>
      </c>
      <c r="J113" s="167">
        <f ca="1">OFFSET(COM!T$247,$E113,0)</f>
        <v>109.3600900780397</v>
      </c>
      <c r="K113" s="17">
        <f ca="1">OFFSET(COM!U$247,$E113,0)</f>
        <v>105.19650309034176</v>
      </c>
      <c r="L113" s="17">
        <f ca="1">OFFSET(COM!V$247,$E113,0)</f>
        <v>100.75596571550396</v>
      </c>
      <c r="M113" s="17">
        <f ca="1">OFFSET(COM!W$247,$E113,0)</f>
        <v>96.202904026330572</v>
      </c>
      <c r="N113" s="17">
        <f ca="1">OFFSET(COM!X$247,$E113,0)</f>
        <v>91.772330516107957</v>
      </c>
      <c r="O113" s="167">
        <f ca="1">OFFSET(COM!Y$247,$E113,0)</f>
        <v>87.39733089656437</v>
      </c>
      <c r="P113" s="17">
        <f ca="1">OFFSET(COM!Z$247,$E113,0)</f>
        <v>83.091684779829194</v>
      </c>
      <c r="Q113" s="17">
        <f ca="1">OFFSET(COM!AA$247,$E113,0)</f>
        <v>78.84422958775184</v>
      </c>
      <c r="R113" s="17">
        <f ca="1">OFFSET(COM!AB$247,$E113,0)</f>
        <v>74.652225394525558</v>
      </c>
      <c r="S113" s="17">
        <f ca="1">OFFSET(COM!AC$247,$E113,0)</f>
        <v>70.525642574129961</v>
      </c>
      <c r="T113" s="17">
        <f ca="1">OFFSET(COM!AD$247,$E113,0)</f>
        <v>66.459910991793663</v>
      </c>
      <c r="U113" s="17">
        <f ca="1">OFFSET(COM!AE$247,$E113,0)</f>
        <v>66.023048861807581</v>
      </c>
      <c r="V113" s="17">
        <f ca="1">OFFSET(COM!AF$247,$E113,0)</f>
        <v>65.592635675848285</v>
      </c>
      <c r="W113" s="17">
        <f ca="1">OFFSET(COM!AG$247,$E113,0)</f>
        <v>65.170087226569223</v>
      </c>
      <c r="X113" s="17">
        <f ca="1">OFFSET(COM!AH$247,$E113,0)</f>
        <v>64.770966459479396</v>
      </c>
      <c r="Y113" s="17">
        <f ca="1">OFFSET(COM!AI$247,$E113,0)</f>
        <v>64.380305245610501</v>
      </c>
      <c r="Z113" s="17">
        <f ca="1">OFFSET(COM!AJ$247,$E113,0)</f>
        <v>63.99839591252843</v>
      </c>
      <c r="AA113" s="17">
        <f ca="1">OFFSET(COM!AK$247,$E113,0)</f>
        <v>63.626349277593448</v>
      </c>
      <c r="AB113" s="17">
        <f ca="1">OFFSET(COM!AL$247,$E113,0)</f>
        <v>63.260500239428239</v>
      </c>
      <c r="AC113" s="17">
        <f ca="1">OFFSET(COM!AM$247,$E113,0)</f>
        <v>62.893438790718882</v>
      </c>
      <c r="AD113" s="17">
        <f ca="1">OFFSET(COM!AN$247,$E113,0)</f>
        <v>62.522494299265354</v>
      </c>
      <c r="AE113" s="17">
        <f ca="1">OFFSET(COM!AO$247,$E113,0)</f>
        <v>60.701672993012409</v>
      </c>
      <c r="AF113" s="17">
        <f ca="1">OFFSET(COM!AP$247,$E113,0)</f>
        <v>58.999011953897863</v>
      </c>
      <c r="AG113" s="17">
        <f ca="1">OFFSET(COM!AQ$247,$E113,0)</f>
        <v>55.14608074357227</v>
      </c>
      <c r="AH113" s="17">
        <f ca="1">OFFSET(COM!AR$247,$E113,0)</f>
        <v>49.830951258777475</v>
      </c>
      <c r="AJ113">
        <f t="shared" ca="1" si="3"/>
        <v>0.4459196738323864</v>
      </c>
    </row>
    <row r="114" spans="1:36">
      <c r="A114" s="26" t="s">
        <v>233</v>
      </c>
      <c r="B114">
        <v>30.831061307799999</v>
      </c>
      <c r="C114" t="s">
        <v>731</v>
      </c>
      <c r="D114" t="s">
        <v>272</v>
      </c>
      <c r="E114" s="109">
        <f>MATCH(F114,COM!$D$248:$D$266,0)</f>
        <v>9</v>
      </c>
      <c r="F114" t="str">
        <f t="shared" si="2"/>
        <v>CEO</v>
      </c>
      <c r="G114" s="17">
        <f ca="1">OFFSET(COM!Q$247,$E114,0)</f>
        <v>20.198960613823004</v>
      </c>
      <c r="H114" s="17">
        <f ca="1">OFFSET(COM!R$247,$E114,0)</f>
        <v>20.066430071939777</v>
      </c>
      <c r="I114" s="17">
        <f ca="1">OFFSET(COM!S$247,$E114,0)</f>
        <v>19.928799929985388</v>
      </c>
      <c r="J114" s="167">
        <f ca="1">OFFSET(COM!T$247,$E114,0)</f>
        <v>19.767208245074805</v>
      </c>
      <c r="K114" s="17">
        <f ca="1">OFFSET(COM!U$247,$E114,0)</f>
        <v>18.896074283394661</v>
      </c>
      <c r="L114" s="17">
        <f ca="1">OFFSET(COM!V$247,$E114,0)</f>
        <v>17.976560801767519</v>
      </c>
      <c r="M114" s="17">
        <f ca="1">OFFSET(COM!W$247,$E114,0)</f>
        <v>17.038863359665552</v>
      </c>
      <c r="N114" s="17">
        <f ca="1">OFFSET(COM!X$247,$E114,0)</f>
        <v>16.1250035819467</v>
      </c>
      <c r="O114" s="167">
        <f ca="1">OFFSET(COM!Y$247,$E114,0)</f>
        <v>15.222987116793046</v>
      </c>
      <c r="P114" s="17">
        <f ca="1">OFFSET(COM!Z$247,$E114,0)</f>
        <v>14.335161159923107</v>
      </c>
      <c r="Q114" s="17">
        <f ca="1">OFFSET(COM!AA$247,$E114,0)</f>
        <v>13.459484612560786</v>
      </c>
      <c r="R114" s="17">
        <f ca="1">OFFSET(COM!AB$247,$E114,0)</f>
        <v>12.595399633629494</v>
      </c>
      <c r="S114" s="17">
        <f ca="1">OFFSET(COM!AC$247,$E114,0)</f>
        <v>11.744467424406615</v>
      </c>
      <c r="T114" s="17">
        <f ca="1">OFFSET(COM!AD$247,$E114,0)</f>
        <v>10.905715287902259</v>
      </c>
      <c r="U114" s="17">
        <f ca="1">OFFSET(COM!AE$247,$E114,0)</f>
        <v>10.834028553168547</v>
      </c>
      <c r="V114" s="17">
        <f ca="1">OFFSET(COM!AF$247,$E114,0)</f>
        <v>10.763400055594868</v>
      </c>
      <c r="W114" s="17">
        <f ca="1">OFFSET(COM!AG$247,$E114,0)</f>
        <v>10.694062119169537</v>
      </c>
      <c r="X114" s="17">
        <f ca="1">OFFSET(COM!AH$247,$E114,0)</f>
        <v>10.628568539861128</v>
      </c>
      <c r="Y114" s="17">
        <f ca="1">OFFSET(COM!AI$247,$E114,0)</f>
        <v>10.564463127908251</v>
      </c>
      <c r="Z114" s="17">
        <f ca="1">OFFSET(COM!AJ$247,$E114,0)</f>
        <v>10.501793852698118</v>
      </c>
      <c r="AA114" s="17">
        <f ca="1">OFFSET(COM!AK$247,$E114,0)</f>
        <v>10.440742993407559</v>
      </c>
      <c r="AB114" s="17">
        <f ca="1">OFFSET(COM!AL$247,$E114,0)</f>
        <v>10.380709126538925</v>
      </c>
      <c r="AC114" s="17">
        <f ca="1">OFFSET(COM!AM$247,$E114,0)</f>
        <v>10.320476309596341</v>
      </c>
      <c r="AD114" s="17">
        <f ca="1">OFFSET(COM!AN$247,$E114,0)</f>
        <v>10.259606306145578</v>
      </c>
      <c r="AE114" s="17">
        <f ca="1">OFFSET(COM!AO$247,$E114,0)</f>
        <v>9.9608192861239466</v>
      </c>
      <c r="AF114" s="17">
        <f ca="1">OFFSET(COM!AP$247,$E114,0)</f>
        <v>9.6814217328127494</v>
      </c>
      <c r="AG114" s="17">
        <f ca="1">OFFSET(COM!AQ$247,$E114,0)</f>
        <v>9.0491763659949687</v>
      </c>
      <c r="AH114" s="17">
        <f ca="1">OFFSET(COM!AR$247,$E114,0)</f>
        <v>8.1769920970954217</v>
      </c>
      <c r="AJ114">
        <f t="shared" ca="1" si="3"/>
        <v>0.40482241900603338</v>
      </c>
    </row>
    <row r="115" spans="1:36">
      <c r="A115" s="26" t="s">
        <v>229</v>
      </c>
      <c r="B115">
        <v>7.3604096683640003</v>
      </c>
      <c r="C115" t="s">
        <v>731</v>
      </c>
      <c r="D115" t="s">
        <v>272</v>
      </c>
      <c r="E115" s="109">
        <f>MATCH(F115,COM!$D$248:$D$266,0)</f>
        <v>5</v>
      </c>
      <c r="F115" t="str">
        <f t="shared" si="2"/>
        <v>CER</v>
      </c>
      <c r="G115" s="17">
        <f ca="1">OFFSET(COM!Q$247,$E115,0)</f>
        <v>27.184456041138404</v>
      </c>
      <c r="H115" s="17">
        <f ca="1">OFFSET(COM!R$247,$E115,0)</f>
        <v>27.006091878802874</v>
      </c>
      <c r="I115" s="17">
        <f ca="1">OFFSET(COM!S$247,$E115,0)</f>
        <v>26.82086449926463</v>
      </c>
      <c r="J115" s="167">
        <f ca="1">OFFSET(COM!T$247,$E115,0)</f>
        <v>26.603388850935517</v>
      </c>
      <c r="K115" s="17">
        <f ca="1">OFFSET(COM!U$247,$E115,0)</f>
        <v>25.590537420679915</v>
      </c>
      <c r="L115" s="17">
        <f ca="1">OFFSET(COM!V$247,$E115,0)</f>
        <v>24.510313891185536</v>
      </c>
      <c r="M115" s="17">
        <f ca="1">OFFSET(COM!W$247,$E115,0)</f>
        <v>23.402717230530442</v>
      </c>
      <c r="N115" s="17">
        <f ca="1">OFFSET(COM!X$247,$E115,0)</f>
        <v>22.324917552046301</v>
      </c>
      <c r="O115" s="167">
        <f ca="1">OFFSET(COM!Y$247,$E115,0)</f>
        <v>21.260637008583352</v>
      </c>
      <c r="P115" s="17">
        <f ca="1">OFFSET(COM!Z$247,$E115,0)</f>
        <v>20.213227685709832</v>
      </c>
      <c r="Q115" s="17">
        <f ca="1">OFFSET(COM!AA$247,$E115,0)</f>
        <v>19.179974128391756</v>
      </c>
      <c r="R115" s="17">
        <f ca="1">OFFSET(COM!AB$247,$E115,0)</f>
        <v>18.160209810919365</v>
      </c>
      <c r="S115" s="17">
        <f ca="1">OFFSET(COM!AC$247,$E115,0)</f>
        <v>17.156360167797864</v>
      </c>
      <c r="T115" s="17">
        <f ca="1">OFFSET(COM!AD$247,$E115,0)</f>
        <v>16.167313449097875</v>
      </c>
      <c r="U115" s="17">
        <f ca="1">OFFSET(COM!AE$247,$E115,0)</f>
        <v>16.061040556400233</v>
      </c>
      <c r="V115" s="17">
        <f ca="1">OFFSET(COM!AF$247,$E115,0)</f>
        <v>15.956336460559843</v>
      </c>
      <c r="W115" s="17">
        <f ca="1">OFFSET(COM!AG$247,$E115,0)</f>
        <v>15.85354557316656</v>
      </c>
      <c r="X115" s="17">
        <f ca="1">OFFSET(COM!AH$247,$E115,0)</f>
        <v>15.756453800859159</v>
      </c>
      <c r="Y115" s="17">
        <f ca="1">OFFSET(COM!AI$247,$E115,0)</f>
        <v>15.661419934536294</v>
      </c>
      <c r="Z115" s="17">
        <f ca="1">OFFSET(COM!AJ$247,$E115,0)</f>
        <v>15.568515087013461</v>
      </c>
      <c r="AA115" s="17">
        <f ca="1">OFFSET(COM!AK$247,$E115,0)</f>
        <v>15.478009480326467</v>
      </c>
      <c r="AB115" s="17">
        <f ca="1">OFFSET(COM!AL$247,$E115,0)</f>
        <v>15.389011526721045</v>
      </c>
      <c r="AC115" s="17">
        <f ca="1">OFFSET(COM!AM$247,$E115,0)</f>
        <v>15.299718637100762</v>
      </c>
      <c r="AD115" s="17">
        <f ca="1">OFFSET(COM!AN$247,$E115,0)</f>
        <v>15.209481142405865</v>
      </c>
      <c r="AE115" s="17">
        <f ca="1">OFFSET(COM!AO$247,$E115,0)</f>
        <v>14.76654060346018</v>
      </c>
      <c r="AF115" s="17">
        <f ca="1">OFFSET(COM!AP$247,$E115,0)</f>
        <v>14.352344220917168</v>
      </c>
      <c r="AG115" s="17">
        <f ca="1">OFFSET(COM!AQ$247,$E115,0)</f>
        <v>13.415064202849774</v>
      </c>
      <c r="AH115" s="17">
        <f ca="1">OFFSET(COM!AR$247,$E115,0)</f>
        <v>12.122083771175253</v>
      </c>
      <c r="AJ115">
        <f t="shared" ca="1" si="3"/>
        <v>0.44591967383238529</v>
      </c>
    </row>
    <row r="116" spans="1:36">
      <c r="A116" s="26" t="s">
        <v>232</v>
      </c>
      <c r="B116">
        <v>3.1678360284579998</v>
      </c>
      <c r="C116" t="s">
        <v>731</v>
      </c>
      <c r="D116" t="s">
        <v>272</v>
      </c>
      <c r="E116" s="109">
        <f>MATCH(F116,COM!$D$248:$D$266,0)</f>
        <v>8</v>
      </c>
      <c r="F116" t="str">
        <f t="shared" si="2"/>
        <v>CET</v>
      </c>
      <c r="G116" s="17">
        <f ca="1">OFFSET(COM!Q$247,$E116,0)</f>
        <v>3.2726019758762099</v>
      </c>
      <c r="H116" s="17">
        <f ca="1">OFFSET(COM!R$247,$E116,0)</f>
        <v>3.2961441659697601</v>
      </c>
      <c r="I116" s="17">
        <f ca="1">OFFSET(COM!S$247,$E116,0)</f>
        <v>3.3155552124891114</v>
      </c>
      <c r="J116" s="167">
        <f ca="1">OFFSET(COM!T$247,$E116,0)</f>
        <v>3.3155552124891114</v>
      </c>
      <c r="K116" s="17">
        <f ca="1">OFFSET(COM!U$247,$E116,0)</f>
        <v>3.3454778230870588</v>
      </c>
      <c r="L116" s="17">
        <f ca="1">OFFSET(COM!V$247,$E116,0)</f>
        <v>3.3284143187389215</v>
      </c>
      <c r="M116" s="17">
        <f ca="1">OFFSET(COM!W$247,$E116,0)</f>
        <v>3.2859360658113284</v>
      </c>
      <c r="N116" s="17">
        <f ca="1">OFFSET(COM!X$247,$E116,0)</f>
        <v>3.2548689555367836</v>
      </c>
      <c r="O116" s="167">
        <f ca="1">OFFSET(COM!Y$247,$E116,0)</f>
        <v>3.2248842139214635</v>
      </c>
      <c r="P116" s="17">
        <f ca="1">OFFSET(COM!Z$247,$E116,0)</f>
        <v>3.1987564304691238</v>
      </c>
      <c r="Q116" s="17">
        <f ca="1">OFFSET(COM!AA$247,$E116,0)</f>
        <v>3.1749746436347963</v>
      </c>
      <c r="R116" s="17">
        <f ca="1">OFFSET(COM!AB$247,$E116,0)</f>
        <v>3.1534677470511006</v>
      </c>
      <c r="S116" s="17">
        <f ca="1">OFFSET(COM!AC$247,$E116,0)</f>
        <v>3.136966555637418</v>
      </c>
      <c r="T116" s="17">
        <f ca="1">OFFSET(COM!AD$247,$E116,0)</f>
        <v>3.1255751841188411</v>
      </c>
      <c r="U116" s="17">
        <f ca="1">OFFSET(COM!AE$247,$E116,0)</f>
        <v>3.1662700655710467</v>
      </c>
      <c r="V116" s="17">
        <f ca="1">OFFSET(COM!AF$247,$E116,0)</f>
        <v>3.2084758244708684</v>
      </c>
      <c r="W116" s="17">
        <f ca="1">OFFSET(COM!AG$247,$E116,0)</f>
        <v>3.2525241568574779</v>
      </c>
      <c r="X116" s="17">
        <f ca="1">OFFSET(COM!AH$247,$E116,0)</f>
        <v>3.3020611950729126</v>
      </c>
      <c r="Y116" s="17">
        <f ca="1">OFFSET(COM!AI$247,$E116,0)</f>
        <v>3.3535801621320847</v>
      </c>
      <c r="Z116" s="17">
        <f ca="1">OFFSET(COM!AJ$247,$E116,0)</f>
        <v>3.407149545391198</v>
      </c>
      <c r="AA116" s="17">
        <f ca="1">OFFSET(COM!AK$247,$E116,0)</f>
        <v>3.4630295903867321</v>
      </c>
      <c r="AB116" s="17">
        <f ca="1">OFFSET(COM!AL$247,$E116,0)</f>
        <v>3.5203616264601791</v>
      </c>
      <c r="AC116" s="17">
        <f ca="1">OFFSET(COM!AM$247,$E116,0)</f>
        <v>3.5774096154492057</v>
      </c>
      <c r="AD116" s="17">
        <f ca="1">OFFSET(COM!AN$247,$E116,0)</f>
        <v>3.6335478738395635</v>
      </c>
      <c r="AE116" s="17">
        <f ca="1">OFFSET(COM!AO$247,$E116,0)</f>
        <v>3.9221816264955223</v>
      </c>
      <c r="AF116" s="17">
        <f ca="1">OFFSET(COM!AP$247,$E116,0)</f>
        <v>4.2384983117497033</v>
      </c>
      <c r="AG116" s="17">
        <f ca="1">OFFSET(COM!AQ$247,$E116,0)</f>
        <v>4.7662645070708027</v>
      </c>
      <c r="AH116" s="17">
        <f ca="1">OFFSET(COM!AR$247,$E116,0)</f>
        <v>4.9514626187402522</v>
      </c>
      <c r="AJ116">
        <f t="shared" ca="1" si="3"/>
        <v>1.5130048368972651</v>
      </c>
    </row>
    <row r="117" spans="1:36">
      <c r="A117" s="26" t="s">
        <v>230</v>
      </c>
      <c r="B117">
        <v>31.577350492680001</v>
      </c>
      <c r="C117" t="s">
        <v>731</v>
      </c>
      <c r="D117" t="s">
        <v>272</v>
      </c>
      <c r="E117" s="109">
        <f>MATCH(F117,COM!$D$248:$D$266,0)</f>
        <v>6</v>
      </c>
      <c r="F117" t="str">
        <f t="shared" si="2"/>
        <v>CEW</v>
      </c>
      <c r="G117" s="17">
        <f ca="1">OFFSET(COM!Q$247,$E117,0)</f>
        <v>14.3921338097343</v>
      </c>
      <c r="H117" s="17">
        <f ca="1">OFFSET(COM!R$247,$E117,0)</f>
        <v>14.297703342289619</v>
      </c>
      <c r="I117" s="17">
        <f ca="1">OFFSET(COM!S$247,$E117,0)</f>
        <v>14.199639315277025</v>
      </c>
      <c r="J117" s="167">
        <f ca="1">OFFSET(COM!T$247,$E117,0)</f>
        <v>14.08450224479915</v>
      </c>
      <c r="K117" s="17">
        <f ca="1">OFFSET(COM!U$247,$E117,0)</f>
        <v>13.327692814661191</v>
      </c>
      <c r="L117" s="17">
        <f ca="1">OFFSET(COM!V$247,$E117,0)</f>
        <v>12.538341142730044</v>
      </c>
      <c r="M117" s="17">
        <f ca="1">OFFSET(COM!W$247,$E117,0)</f>
        <v>11.738507463660122</v>
      </c>
      <c r="N117" s="17">
        <f ca="1">OFFSET(COM!X$247,$E117,0)</f>
        <v>10.957607493096273</v>
      </c>
      <c r="O117" s="167">
        <f ca="1">OFFSET(COM!Y$247,$E117,0)</f>
        <v>10.187210571447293</v>
      </c>
      <c r="P117" s="17">
        <f ca="1">OFFSET(COM!Z$247,$E117,0)</f>
        <v>9.4288243466859498</v>
      </c>
      <c r="Q117" s="17">
        <f ca="1">OFFSET(COM!AA$247,$E117,0)</f>
        <v>8.6809676038020438</v>
      </c>
      <c r="R117" s="17">
        <f ca="1">OFFSET(COM!AB$247,$E117,0)</f>
        <v>7.9431710101709685</v>
      </c>
      <c r="S117" s="17">
        <f ca="1">OFFSET(COM!AC$247,$E117,0)</f>
        <v>7.2162702812300772</v>
      </c>
      <c r="T117" s="17">
        <f ca="1">OFFSET(COM!AD$247,$E117,0)</f>
        <v>6.4994040051691346</v>
      </c>
      <c r="U117" s="17">
        <f ca="1">OFFSET(COM!AE$247,$E117,0)</f>
        <v>6.4566813557558831</v>
      </c>
      <c r="V117" s="17">
        <f ca="1">OFFSET(COM!AF$247,$E117,0)</f>
        <v>6.4145893766521676</v>
      </c>
      <c r="W117" s="17">
        <f ca="1">OFFSET(COM!AG$247,$E117,0)</f>
        <v>6.3732665243847073</v>
      </c>
      <c r="X117" s="17">
        <f ca="1">OFFSET(COM!AH$247,$E117,0)</f>
        <v>6.3342347671425117</v>
      </c>
      <c r="Y117" s="17">
        <f ca="1">OFFSET(COM!AI$247,$E117,0)</f>
        <v>6.2960303064354051</v>
      </c>
      <c r="Z117" s="17">
        <f ca="1">OFFSET(COM!AJ$247,$E117,0)</f>
        <v>6.258681730248604</v>
      </c>
      <c r="AA117" s="17">
        <f ca="1">OFFSET(COM!AK$247,$E117,0)</f>
        <v>6.2222976702473085</v>
      </c>
      <c r="AB117" s="17">
        <f ca="1">OFFSET(COM!AL$247,$E117,0)</f>
        <v>6.1865197002131342</v>
      </c>
      <c r="AC117" s="17">
        <f ca="1">OFFSET(COM!AM$247,$E117,0)</f>
        <v>6.1506231632740569</v>
      </c>
      <c r="AD117" s="17">
        <f ca="1">OFFSET(COM!AN$247,$E117,0)</f>
        <v>6.1143468866815978</v>
      </c>
      <c r="AE117" s="17">
        <f ca="1">OFFSET(COM!AO$247,$E117,0)</f>
        <v>5.9362808448534805</v>
      </c>
      <c r="AF117" s="17">
        <f ca="1">OFFSET(COM!AP$247,$E117,0)</f>
        <v>5.7697702099169854</v>
      </c>
      <c r="AG117" s="17">
        <f ca="1">OFFSET(COM!AQ$247,$E117,0)</f>
        <v>5.3929752945111638</v>
      </c>
      <c r="AH117" s="17">
        <f ca="1">OFFSET(COM!AR$247,$E117,0)</f>
        <v>4.8731856446915387</v>
      </c>
      <c r="AJ117">
        <f t="shared" ca="1" si="3"/>
        <v>0.33860063484092251</v>
      </c>
    </row>
    <row r="118" spans="1:36">
      <c r="A118" s="26" t="s">
        <v>234</v>
      </c>
      <c r="B118" t="s">
        <v>370</v>
      </c>
      <c r="C118" t="s">
        <v>731</v>
      </c>
      <c r="D118" t="s">
        <v>272</v>
      </c>
      <c r="E118" s="109">
        <f>MATCH(F118,COM!$D$248:$D$266,0)</f>
        <v>11</v>
      </c>
      <c r="F118" t="str">
        <f t="shared" si="2"/>
        <v>CNC</v>
      </c>
      <c r="G118" s="17">
        <f ca="1">OFFSET(COM!Q$247,$E118,0)</f>
        <v>0</v>
      </c>
      <c r="H118" s="17">
        <f ca="1">OFFSET(COM!R$247,$E118,0)</f>
        <v>1.6937258662331782</v>
      </c>
      <c r="I118" s="17">
        <f ca="1">OFFSET(COM!S$247,$E118,0)</f>
        <v>3.2631004380656852</v>
      </c>
      <c r="J118" s="167">
        <f ca="1">OFFSET(COM!T$247,$E118,0)</f>
        <v>4.2481843124195784</v>
      </c>
      <c r="K118" s="17">
        <f ca="1">OFFSET(COM!U$247,$E118,0)</f>
        <v>7.2513038866541759</v>
      </c>
      <c r="L118" s="17">
        <f ca="1">OFFSET(COM!V$247,$E118,0)</f>
        <v>8.745787562750623</v>
      </c>
      <c r="M118" s="17">
        <f ca="1">OFFSET(COM!W$247,$E118,0)</f>
        <v>9.4236823396923111</v>
      </c>
      <c r="N118" s="17">
        <f ca="1">OFFSET(COM!X$247,$E118,0)</f>
        <v>10.352310122641784</v>
      </c>
      <c r="O118" s="167">
        <f ca="1">OFFSET(COM!Y$247,$E118,0)</f>
        <v>11.229817849504327</v>
      </c>
      <c r="P118" s="17">
        <f ca="1">OFFSET(COM!Z$247,$E118,0)</f>
        <v>12.126812934403056</v>
      </c>
      <c r="Q118" s="17">
        <f ca="1">OFFSET(COM!AA$247,$E118,0)</f>
        <v>12.995706783327593</v>
      </c>
      <c r="R118" s="17">
        <f ca="1">OFFSET(COM!AB$247,$E118,0)</f>
        <v>13.82872857875264</v>
      </c>
      <c r="S118" s="17">
        <f ca="1">OFFSET(COM!AC$247,$E118,0)</f>
        <v>14.686400677906796</v>
      </c>
      <c r="T118" s="17">
        <f ca="1">OFFSET(COM!AD$247,$E118,0)</f>
        <v>15.558666614278101</v>
      </c>
      <c r="U118" s="17">
        <f ca="1">OFFSET(COM!AE$247,$E118,0)</f>
        <v>16.982516291115292</v>
      </c>
      <c r="V118" s="17">
        <f ca="1">OFFSET(COM!AF$247,$E118,0)</f>
        <v>18.437509078138614</v>
      </c>
      <c r="W118" s="17">
        <f ca="1">OFFSET(COM!AG$247,$E118,0)</f>
        <v>19.930482092622192</v>
      </c>
      <c r="X118" s="17">
        <f ca="1">OFFSET(COM!AH$247,$E118,0)</f>
        <v>21.536591596551681</v>
      </c>
      <c r="Y118" s="17">
        <f ca="1">OFFSET(COM!AI$247,$E118,0)</f>
        <v>23.183553803960816</v>
      </c>
      <c r="Z118" s="17">
        <f ca="1">OFFSET(COM!AJ$247,$E118,0)</f>
        <v>24.87278041722427</v>
      </c>
      <c r="AA118" s="17">
        <f ca="1">OFFSET(COM!AK$247,$E118,0)</f>
        <v>26.60963577309272</v>
      </c>
      <c r="AB118" s="17">
        <f ca="1">OFFSET(COM!AL$247,$E118,0)</f>
        <v>28.376420438052385</v>
      </c>
      <c r="AC118" s="17">
        <f ca="1">OFFSET(COM!AM$247,$E118,0)</f>
        <v>30.137350154510393</v>
      </c>
      <c r="AD118" s="17">
        <f ca="1">OFFSET(COM!AN$247,$E118,0)</f>
        <v>31.879527959409508</v>
      </c>
      <c r="AE118" s="17">
        <f ca="1">OFFSET(COM!AO$247,$E118,0)</f>
        <v>38.453308535679774</v>
      </c>
      <c r="AF118" s="17">
        <f ca="1">OFFSET(COM!AP$247,$E118,0)</f>
        <v>45.44976850047189</v>
      </c>
      <c r="AG118" s="17">
        <f ca="1">OFFSET(COM!AQ$247,$E118,0)</f>
        <v>57.841514373554219</v>
      </c>
      <c r="AH118" s="17">
        <f ca="1">OFFSET(COM!AR$247,$E118,0)</f>
        <v>65.00272812684679</v>
      </c>
      <c r="AJ118" t="e">
        <f t="shared" ca="1" si="3"/>
        <v>#DIV/0!</v>
      </c>
    </row>
    <row r="119" spans="1:36">
      <c r="A119" s="26" t="s">
        <v>240</v>
      </c>
      <c r="B119" t="s">
        <v>370</v>
      </c>
      <c r="C119" t="s">
        <v>731</v>
      </c>
      <c r="D119" t="s">
        <v>272</v>
      </c>
      <c r="E119" s="109">
        <f>MATCH(F119,COM!$D$248:$D$266,0)</f>
        <v>17</v>
      </c>
      <c r="F119" t="str">
        <f t="shared" si="2"/>
        <v>CNG</v>
      </c>
      <c r="G119" s="17">
        <f ca="1">OFFSET(COM!Q$247,$E119,0)</f>
        <v>0</v>
      </c>
      <c r="H119" s="17">
        <f ca="1">OFFSET(COM!R$247,$E119,0)</f>
        <v>0</v>
      </c>
      <c r="I119" s="17">
        <f ca="1">OFFSET(COM!S$247,$E119,0)</f>
        <v>0</v>
      </c>
      <c r="J119" s="167">
        <f ca="1">OFFSET(COM!T$247,$E119,0)</f>
        <v>0</v>
      </c>
      <c r="K119" s="17">
        <f ca="1">OFFSET(COM!U$247,$E119,0)</f>
        <v>0</v>
      </c>
      <c r="L119" s="17">
        <f ca="1">OFFSET(COM!V$247,$E119,0)</f>
        <v>0</v>
      </c>
      <c r="M119" s="17">
        <f ca="1">OFFSET(COM!W$247,$E119,0)</f>
        <v>0</v>
      </c>
      <c r="N119" s="17">
        <f ca="1">OFFSET(COM!X$247,$E119,0)</f>
        <v>0</v>
      </c>
      <c r="O119" s="167">
        <f ca="1">OFFSET(COM!Y$247,$E119,0)</f>
        <v>0</v>
      </c>
      <c r="P119" s="17">
        <f ca="1">OFFSET(COM!Z$247,$E119,0)</f>
        <v>0</v>
      </c>
      <c r="Q119" s="17">
        <f ca="1">OFFSET(COM!AA$247,$E119,0)</f>
        <v>0</v>
      </c>
      <c r="R119" s="17">
        <f ca="1">OFFSET(COM!AB$247,$E119,0)</f>
        <v>0</v>
      </c>
      <c r="S119" s="17">
        <f ca="1">OFFSET(COM!AC$247,$E119,0)</f>
        <v>0</v>
      </c>
      <c r="T119" s="17">
        <f ca="1">OFFSET(COM!AD$247,$E119,0)</f>
        <v>0</v>
      </c>
      <c r="U119" s="17">
        <f ca="1">OFFSET(COM!AE$247,$E119,0)</f>
        <v>0</v>
      </c>
      <c r="V119" s="17">
        <f ca="1">OFFSET(COM!AF$247,$E119,0)</f>
        <v>0</v>
      </c>
      <c r="W119" s="17">
        <f ca="1">OFFSET(COM!AG$247,$E119,0)</f>
        <v>0</v>
      </c>
      <c r="X119" s="17">
        <f ca="1">OFFSET(COM!AH$247,$E119,0)</f>
        <v>0</v>
      </c>
      <c r="Y119" s="17">
        <f ca="1">OFFSET(COM!AI$247,$E119,0)</f>
        <v>0</v>
      </c>
      <c r="Z119" s="17">
        <f ca="1">OFFSET(COM!AJ$247,$E119,0)</f>
        <v>0</v>
      </c>
      <c r="AA119" s="17">
        <f ca="1">OFFSET(COM!AK$247,$E119,0)</f>
        <v>0</v>
      </c>
      <c r="AB119" s="17">
        <f ca="1">OFFSET(COM!AL$247,$E119,0)</f>
        <v>0</v>
      </c>
      <c r="AC119" s="17">
        <f ca="1">OFFSET(COM!AM$247,$E119,0)</f>
        <v>0</v>
      </c>
      <c r="AD119" s="17">
        <f ca="1">OFFSET(COM!AN$247,$E119,0)</f>
        <v>0</v>
      </c>
      <c r="AE119" s="17">
        <f ca="1">OFFSET(COM!AO$247,$E119,0)</f>
        <v>0</v>
      </c>
      <c r="AF119" s="17">
        <f ca="1">OFFSET(COM!AP$247,$E119,0)</f>
        <v>0</v>
      </c>
      <c r="AG119" s="17">
        <f ca="1">OFFSET(COM!AQ$247,$E119,0)</f>
        <v>0</v>
      </c>
      <c r="AH119" s="17">
        <f ca="1">OFFSET(COM!AR$247,$E119,0)</f>
        <v>0</v>
      </c>
      <c r="AJ119" t="e">
        <f t="shared" ca="1" si="3"/>
        <v>#DIV/0!</v>
      </c>
    </row>
    <row r="120" spans="1:36">
      <c r="A120" s="26" t="s">
        <v>235</v>
      </c>
      <c r="B120" t="s">
        <v>370</v>
      </c>
      <c r="C120" t="s">
        <v>731</v>
      </c>
      <c r="D120" t="s">
        <v>272</v>
      </c>
      <c r="E120" s="109">
        <f>MATCH(F120,COM!$D$248:$D$266,0)</f>
        <v>12</v>
      </c>
      <c r="F120" t="str">
        <f t="shared" si="2"/>
        <v>CNH</v>
      </c>
      <c r="G120" s="17">
        <f ca="1">OFFSET(COM!Q$247,$E120,0)</f>
        <v>0</v>
      </c>
      <c r="H120" s="17">
        <f ca="1">OFFSET(COM!R$247,$E120,0)</f>
        <v>0.15818291117343533</v>
      </c>
      <c r="I120" s="17">
        <f ca="1">OFFSET(COM!S$247,$E120,0)</f>
        <v>0.3047522252774526</v>
      </c>
      <c r="J120" s="167">
        <f ca="1">OFFSET(COM!T$247,$E120,0)</f>
        <v>0.39675261217704844</v>
      </c>
      <c r="K120" s="17">
        <f ca="1">OFFSET(COM!U$247,$E120,0)</f>
        <v>0.66522669420813563</v>
      </c>
      <c r="L120" s="17">
        <f ca="1">OFFSET(COM!V$247,$E120,0)</f>
        <v>0.78687902352032635</v>
      </c>
      <c r="M120" s="17">
        <f ca="1">OFFSET(COM!W$247,$E120,0)</f>
        <v>0.83005676906906911</v>
      </c>
      <c r="N120" s="17">
        <f ca="1">OFFSET(COM!X$247,$E120,0)</f>
        <v>0.89086163145376862</v>
      </c>
      <c r="O120" s="167">
        <f ca="1">OFFSET(COM!Y$247,$E120,0)</f>
        <v>0.94188948561735575</v>
      </c>
      <c r="P120" s="17">
        <f ca="1">OFFSET(COM!Z$247,$E120,0)</f>
        <v>0.98861227454724632</v>
      </c>
      <c r="Q120" s="17">
        <f ca="1">OFFSET(COM!AA$247,$E120,0)</f>
        <v>1.0264023477943514</v>
      </c>
      <c r="R120" s="17">
        <f ca="1">OFFSET(COM!AB$247,$E120,0)</f>
        <v>1.0540444928140638</v>
      </c>
      <c r="S120" s="17">
        <f ca="1">OFFSET(COM!AC$247,$E120,0)</f>
        <v>1.0753066021771158</v>
      </c>
      <c r="T120" s="17">
        <f ca="1">OFFSET(COM!AD$247,$E120,0)</f>
        <v>1.0881027917270423</v>
      </c>
      <c r="U120" s="17">
        <f ca="1">OFFSET(COM!AE$247,$E120,0)</f>
        <v>1.1876803999357313</v>
      </c>
      <c r="V120" s="17">
        <f ca="1">OFFSET(COM!AF$247,$E120,0)</f>
        <v>1.2894360164517322</v>
      </c>
      <c r="W120" s="17">
        <f ca="1">OFFSET(COM!AG$247,$E120,0)</f>
        <v>1.3938477983419562</v>
      </c>
      <c r="X120" s="17">
        <f ca="1">OFFSET(COM!AH$247,$E120,0)</f>
        <v>1.5061718347372883</v>
      </c>
      <c r="Y120" s="17">
        <f ca="1">OFFSET(COM!AI$247,$E120,0)</f>
        <v>1.6213529244912295</v>
      </c>
      <c r="Z120" s="17">
        <f ca="1">OFFSET(COM!AJ$247,$E120,0)</f>
        <v>1.7394897956846007</v>
      </c>
      <c r="AA120" s="17">
        <f ca="1">OFFSET(COM!AK$247,$E120,0)</f>
        <v>1.8609576057739434</v>
      </c>
      <c r="AB120" s="17">
        <f ca="1">OFFSET(COM!AL$247,$E120,0)</f>
        <v>1.9845185364104365</v>
      </c>
      <c r="AC120" s="17">
        <f ca="1">OFFSET(COM!AM$247,$E120,0)</f>
        <v>2.1076699984229137</v>
      </c>
      <c r="AD120" s="17">
        <f ca="1">OFFSET(COM!AN$247,$E120,0)</f>
        <v>2.2295100365310621</v>
      </c>
      <c r="AE120" s="17">
        <f ca="1">OFFSET(COM!AO$247,$E120,0)</f>
        <v>2.6892505255184962</v>
      </c>
      <c r="AF120" s="17">
        <f ca="1">OFFSET(COM!AP$247,$E120,0)</f>
        <v>3.1785512997191914</v>
      </c>
      <c r="AG120" s="17">
        <f ca="1">OFFSET(COM!AQ$247,$E120,0)</f>
        <v>4.0451739746018323</v>
      </c>
      <c r="AH120" s="17">
        <f ca="1">OFFSET(COM!AR$247,$E120,0)</f>
        <v>4.5459968838067208</v>
      </c>
      <c r="AJ120" t="e">
        <f t="shared" ca="1" si="3"/>
        <v>#DIV/0!</v>
      </c>
    </row>
    <row r="121" spans="1:36">
      <c r="A121" s="26" t="s">
        <v>236</v>
      </c>
      <c r="B121" t="s">
        <v>370</v>
      </c>
      <c r="C121" t="s">
        <v>731</v>
      </c>
      <c r="D121" t="s">
        <v>272</v>
      </c>
      <c r="E121" s="109">
        <f>MATCH(F121,COM!$D$248:$D$266,0)</f>
        <v>13</v>
      </c>
      <c r="F121" t="str">
        <f t="shared" si="2"/>
        <v>CNK</v>
      </c>
      <c r="G121" s="17">
        <f ca="1">OFFSET(COM!Q$247,$E121,0)</f>
        <v>0</v>
      </c>
      <c r="H121" s="17">
        <f ca="1">OFFSET(COM!R$247,$E121,0)</f>
        <v>0.11821918095627622</v>
      </c>
      <c r="I121" s="17">
        <f ca="1">OFFSET(COM!S$247,$E121,0)</f>
        <v>0.22775885334036872</v>
      </c>
      <c r="J121" s="167">
        <f ca="1">OFFSET(COM!T$247,$E121,0)</f>
        <v>0.29651603011912847</v>
      </c>
      <c r="K121" s="17">
        <f ca="1">OFFSET(COM!U$247,$E121,0)</f>
        <v>0.50646641489839994</v>
      </c>
      <c r="L121" s="17">
        <f ca="1">OFFSET(COM!V$247,$E121,0)</f>
        <v>0.61128338265642834</v>
      </c>
      <c r="M121" s="17">
        <f ca="1">OFFSET(COM!W$247,$E121,0)</f>
        <v>0.65916606583913251</v>
      </c>
      <c r="N121" s="17">
        <f ca="1">OFFSET(COM!X$247,$E121,0)</f>
        <v>0.72471247549795592</v>
      </c>
      <c r="O121" s="167">
        <f ca="1">OFFSET(COM!Y$247,$E121,0)</f>
        <v>0.78683162732447087</v>
      </c>
      <c r="P121" s="17">
        <f ca="1">OFFSET(COM!Z$247,$E121,0)</f>
        <v>0.85048339392881778</v>
      </c>
      <c r="Q121" s="17">
        <f ca="1">OFFSET(COM!AA$247,$E121,0)</f>
        <v>0.91235132951489606</v>
      </c>
      <c r="R121" s="17">
        <f ca="1">OFFSET(COM!AB$247,$E121,0)</f>
        <v>0.97190682360806147</v>
      </c>
      <c r="S121" s="17">
        <f ca="1">OFFSET(COM!AC$247,$E121,0)</f>
        <v>1.0334272854144815</v>
      </c>
      <c r="T121" s="17">
        <f ca="1">OFFSET(COM!AD$247,$E121,0)</f>
        <v>1.0962430715039686</v>
      </c>
      <c r="U121" s="17">
        <f ca="1">OFFSET(COM!AE$247,$E121,0)</f>
        <v>1.1965656365278583</v>
      </c>
      <c r="V121" s="17">
        <f ca="1">OFFSET(COM!AF$247,$E121,0)</f>
        <v>1.2990825039050935</v>
      </c>
      <c r="W121" s="17">
        <f ca="1">OFFSET(COM!AG$247,$E121,0)</f>
        <v>1.4042754078759301</v>
      </c>
      <c r="X121" s="17">
        <f ca="1">OFFSET(COM!AH$247,$E121,0)</f>
        <v>1.5174397592570186</v>
      </c>
      <c r="Y121" s="17">
        <f ca="1">OFFSET(COM!AI$247,$E121,0)</f>
        <v>1.6334825380928526</v>
      </c>
      <c r="Z121" s="17">
        <f ca="1">OFFSET(COM!AJ$247,$E121,0)</f>
        <v>1.7525032110656114</v>
      </c>
      <c r="AA121" s="17">
        <f ca="1">OFFSET(COM!AK$247,$E121,0)</f>
        <v>1.8748797422477914</v>
      </c>
      <c r="AB121" s="17">
        <f ca="1">OFFSET(COM!AL$247,$E121,0)</f>
        <v>1.9993650529635618</v>
      </c>
      <c r="AC121" s="17">
        <f ca="1">OFFSET(COM!AM$247,$E121,0)</f>
        <v>2.1234378317517528</v>
      </c>
      <c r="AD121" s="17">
        <f ca="1">OFFSET(COM!AN$247,$E121,0)</f>
        <v>2.2461893756530782</v>
      </c>
      <c r="AE121" s="17">
        <f ca="1">OFFSET(COM!AO$247,$E121,0)</f>
        <v>2.7093692604711204</v>
      </c>
      <c r="AF121" s="17">
        <f ca="1">OFFSET(COM!AP$247,$E121,0)</f>
        <v>3.2023305759619802</v>
      </c>
      <c r="AG121" s="17">
        <f ca="1">OFFSET(COM!AQ$247,$E121,0)</f>
        <v>4.0754366006606588</v>
      </c>
      <c r="AH121" s="17">
        <f ca="1">OFFSET(COM!AR$247,$E121,0)</f>
        <v>4.580006250183299</v>
      </c>
      <c r="AJ121" t="e">
        <f t="shared" ca="1" si="3"/>
        <v>#DIV/0!</v>
      </c>
    </row>
    <row r="122" spans="1:36">
      <c r="A122" s="26" t="s">
        <v>237</v>
      </c>
      <c r="B122" t="s">
        <v>370</v>
      </c>
      <c r="C122" t="s">
        <v>731</v>
      </c>
      <c r="D122" t="s">
        <v>272</v>
      </c>
      <c r="E122" s="109">
        <f>MATCH(F122,COM!$D$248:$D$266,0)</f>
        <v>14</v>
      </c>
      <c r="F122" t="str">
        <f t="shared" si="2"/>
        <v>CNL</v>
      </c>
      <c r="G122" s="17">
        <f ca="1">OFFSET(COM!Q$247,$E122,0)</f>
        <v>0</v>
      </c>
      <c r="H122" s="17">
        <f ca="1">OFFSET(COM!R$247,$E122,0)</f>
        <v>1.4739325886745098</v>
      </c>
      <c r="I122" s="17">
        <f ca="1">OFFSET(COM!S$247,$E122,0)</f>
        <v>2.8396508382313019</v>
      </c>
      <c r="J122" s="167">
        <f ca="1">OFFSET(COM!T$247,$E122,0)</f>
        <v>3.6969012669663002</v>
      </c>
      <c r="K122" s="17">
        <f ca="1">OFFSET(COM!U$247,$E122,0)</f>
        <v>6.3103087235076201</v>
      </c>
      <c r="L122" s="17">
        <f ca="1">OFFSET(COM!V$247,$E122,0)</f>
        <v>7.6108546013004421</v>
      </c>
      <c r="M122" s="17">
        <f ca="1">OFFSET(COM!W$247,$E122,0)</f>
        <v>8.2007795846442573</v>
      </c>
      <c r="N122" s="17">
        <f ca="1">OFFSET(COM!X$247,$E122,0)</f>
        <v>9.0089001780209408</v>
      </c>
      <c r="O122" s="167">
        <f ca="1">OFFSET(COM!Y$247,$E122,0)</f>
        <v>9.772534518867884</v>
      </c>
      <c r="P122" s="17">
        <f ca="1">OFFSET(COM!Z$247,$E122,0)</f>
        <v>10.553127360880422</v>
      </c>
      <c r="Q122" s="17">
        <f ca="1">OFFSET(COM!AA$247,$E122,0)</f>
        <v>11.30926563895782</v>
      </c>
      <c r="R122" s="17">
        <f ca="1">OFFSET(COM!AB$247,$E122,0)</f>
        <v>12.034186947554112</v>
      </c>
      <c r="S122" s="17">
        <f ca="1">OFFSET(COM!AC$247,$E122,0)</f>
        <v>12.78055971220442</v>
      </c>
      <c r="T122" s="17">
        <f ca="1">OFFSET(COM!AD$247,$E122,0)</f>
        <v>13.539632484982953</v>
      </c>
      <c r="U122" s="17">
        <f ca="1">OFFSET(COM!AE$247,$E122,0)</f>
        <v>14.778710473873442</v>
      </c>
      <c r="V122" s="17">
        <f ca="1">OFFSET(COM!AF$247,$E122,0)</f>
        <v>16.044890159638946</v>
      </c>
      <c r="W122" s="17">
        <f ca="1">OFFSET(COM!AG$247,$E122,0)</f>
        <v>17.344121413013461</v>
      </c>
      <c r="X122" s="17">
        <f ca="1">OFFSET(COM!AH$247,$E122,0)</f>
        <v>18.741807535671761</v>
      </c>
      <c r="Y122" s="17">
        <f ca="1">OFFSET(COM!AI$247,$E122,0)</f>
        <v>20.175044943337024</v>
      </c>
      <c r="Z122" s="17">
        <f ca="1">OFFSET(COM!AJ$247,$E122,0)</f>
        <v>21.645062143040406</v>
      </c>
      <c r="AA122" s="17">
        <f ca="1">OFFSET(COM!AK$247,$E122,0)</f>
        <v>23.156527346392231</v>
      </c>
      <c r="AB122" s="17">
        <f ca="1">OFFSET(COM!AL$247,$E122,0)</f>
        <v>24.694037959397129</v>
      </c>
      <c r="AC122" s="17">
        <f ca="1">OFFSET(COM!AM$247,$E122,0)</f>
        <v>26.226453415285022</v>
      </c>
      <c r="AD122" s="17">
        <f ca="1">OFFSET(COM!AN$247,$E122,0)</f>
        <v>27.742550378258784</v>
      </c>
      <c r="AE122" s="17">
        <f ca="1">OFFSET(COM!AO$247,$E122,0)</f>
        <v>33.463257380100316</v>
      </c>
      <c r="AF122" s="17">
        <f ca="1">OFFSET(COM!AP$247,$E122,0)</f>
        <v>39.551793047562285</v>
      </c>
      <c r="AG122" s="17">
        <f ca="1">OFFSET(COM!AQ$247,$E122,0)</f>
        <v>50.335473238695656</v>
      </c>
      <c r="AH122" s="17">
        <f ca="1">OFFSET(COM!AR$247,$E122,0)</f>
        <v>56.567382744167482</v>
      </c>
      <c r="AJ122" t="e">
        <f t="shared" ca="1" si="3"/>
        <v>#DIV/0!</v>
      </c>
    </row>
    <row r="123" spans="1:36">
      <c r="A123" s="26" t="s">
        <v>242</v>
      </c>
      <c r="B123" t="s">
        <v>370</v>
      </c>
      <c r="C123" t="s">
        <v>731</v>
      </c>
      <c r="D123" t="s">
        <v>272</v>
      </c>
      <c r="E123" s="109">
        <f>MATCH(F123,COM!$D$248:$D$266,0)</f>
        <v>19</v>
      </c>
      <c r="F123" t="str">
        <f t="shared" si="2"/>
        <v>CNO</v>
      </c>
      <c r="G123" s="17">
        <f ca="1">OFFSET(COM!Q$247,$E123,0)</f>
        <v>0</v>
      </c>
      <c r="H123" s="17">
        <f ca="1">OFFSET(COM!R$247,$E123,0)</f>
        <v>0.2664183286493273</v>
      </c>
      <c r="I123" s="17">
        <f ca="1">OFFSET(COM!S$247,$E123,0)</f>
        <v>0.51327654743666928</v>
      </c>
      <c r="J123" s="167">
        <f ca="1">OFFSET(COM!T$247,$E123,0)</f>
        <v>0.668227478172846</v>
      </c>
      <c r="K123" s="17">
        <f ca="1">OFFSET(COM!U$247,$E123,0)</f>
        <v>1.1331952602511981</v>
      </c>
      <c r="L123" s="17">
        <f ca="1">OFFSET(COM!V$247,$E123,0)</f>
        <v>1.3571971918352403</v>
      </c>
      <c r="M123" s="17">
        <f ca="1">OFFSET(COM!W$247,$E123,0)</f>
        <v>1.4513858812895115</v>
      </c>
      <c r="N123" s="17">
        <f ca="1">OFFSET(COM!X$247,$E123,0)</f>
        <v>1.5814361471601028</v>
      </c>
      <c r="O123" s="167">
        <f ca="1">OFFSET(COM!Y$247,$E123,0)</f>
        <v>1.700353698059333</v>
      </c>
      <c r="P123" s="17">
        <f ca="1">OFFSET(COM!Z$247,$E123,0)</f>
        <v>1.8185512868703899</v>
      </c>
      <c r="Q123" s="17">
        <f ca="1">OFFSET(COM!AA$247,$E123,0)</f>
        <v>1.9284301520081257</v>
      </c>
      <c r="R123" s="17">
        <f ca="1">OFFSET(COM!AB$247,$E123,0)</f>
        <v>2.0284654751050288</v>
      </c>
      <c r="S123" s="17">
        <f ca="1">OFFSET(COM!AC$247,$E123,0)</f>
        <v>2.1270126375500173</v>
      </c>
      <c r="T123" s="17">
        <f ca="1">OFFSET(COM!AD$247,$E123,0)</f>
        <v>2.2217811426543936</v>
      </c>
      <c r="U123" s="17">
        <f ca="1">OFFSET(COM!AE$247,$E123,0)</f>
        <v>2.4251072013970054</v>
      </c>
      <c r="V123" s="17">
        <f ca="1">OFFSET(COM!AF$247,$E123,0)</f>
        <v>2.63288050338035</v>
      </c>
      <c r="W123" s="17">
        <f ca="1">OFFSET(COM!AG$247,$E123,0)</f>
        <v>2.8460773905112462</v>
      </c>
      <c r="X123" s="17">
        <f ca="1">OFFSET(COM!AH$247,$E123,0)</f>
        <v>3.0754301941502042</v>
      </c>
      <c r="Y123" s="17">
        <f ca="1">OFFSET(COM!AI$247,$E123,0)</f>
        <v>3.3106167731677187</v>
      </c>
      <c r="Z123" s="17">
        <f ca="1">OFFSET(COM!AJ$247,$E123,0)</f>
        <v>3.5518387189850094</v>
      </c>
      <c r="AA123" s="17">
        <f ca="1">OFFSET(COM!AK$247,$E123,0)</f>
        <v>3.7998620601140951</v>
      </c>
      <c r="AB123" s="17">
        <f ca="1">OFFSET(COM!AL$247,$E123,0)</f>
        <v>4.0521593134105967</v>
      </c>
      <c r="AC123" s="17">
        <f ca="1">OFFSET(COM!AM$247,$E123,0)</f>
        <v>4.3036204787250956</v>
      </c>
      <c r="AD123" s="17">
        <f ca="1">OFFSET(COM!AN$247,$E123,0)</f>
        <v>4.5524038667902218</v>
      </c>
      <c r="AE123" s="17">
        <f ca="1">OFFSET(COM!AO$247,$E123,0)</f>
        <v>5.4911412330695164</v>
      </c>
      <c r="AF123" s="17">
        <f ca="1">OFFSET(COM!AP$247,$E123,0)</f>
        <v>6.4902373124755979</v>
      </c>
      <c r="AG123" s="17">
        <f ca="1">OFFSET(COM!AQ$247,$E123,0)</f>
        <v>8.2597814506676208</v>
      </c>
      <c r="AH123" s="17">
        <f ca="1">OFFSET(COM!AR$247,$E123,0)</f>
        <v>9.2824044086646502</v>
      </c>
      <c r="AJ123" t="e">
        <f t="shared" ca="1" si="3"/>
        <v>#DIV/0!</v>
      </c>
    </row>
    <row r="124" spans="1:36">
      <c r="A124" s="26" t="s">
        <v>238</v>
      </c>
      <c r="B124" t="s">
        <v>370</v>
      </c>
      <c r="C124" t="s">
        <v>731</v>
      </c>
      <c r="D124" t="s">
        <v>272</v>
      </c>
      <c r="E124" s="109">
        <f>MATCH(F124,COM!$D$248:$D$266,0)</f>
        <v>15</v>
      </c>
      <c r="F124" t="str">
        <f t="shared" si="2"/>
        <v>CNR</v>
      </c>
      <c r="G124" s="17">
        <f ca="1">OFFSET(COM!Q$247,$E124,0)</f>
        <v>0</v>
      </c>
      <c r="H124" s="17">
        <f ca="1">OFFSET(COM!R$247,$E124,0)</f>
        <v>0.3585549515238371</v>
      </c>
      <c r="I124" s="17">
        <f ca="1">OFFSET(COM!S$247,$E124,0)</f>
        <v>0.69078523432491357</v>
      </c>
      <c r="J124" s="167">
        <f ca="1">OFFSET(COM!T$247,$E124,0)</f>
        <v>0.89932352724323594</v>
      </c>
      <c r="K124" s="17">
        <f ca="1">OFFSET(COM!U$247,$E124,0)</f>
        <v>1.5350718586746517</v>
      </c>
      <c r="L124" s="17">
        <f ca="1">OFFSET(COM!V$247,$E124,0)</f>
        <v>1.8514480401565225</v>
      </c>
      <c r="M124" s="17">
        <f ca="1">OFFSET(COM!W$247,$E124,0)</f>
        <v>1.994955637064844</v>
      </c>
      <c r="N124" s="17">
        <f ca="1">OFFSET(COM!X$247,$E124,0)</f>
        <v>2.1915424025723245</v>
      </c>
      <c r="O124" s="167">
        <f ca="1">OFFSET(COM!Y$247,$E124,0)</f>
        <v>2.3773072578772352</v>
      </c>
      <c r="P124" s="17">
        <f ca="1">OFFSET(COM!Z$247,$E124,0)</f>
        <v>2.5671975084750289</v>
      </c>
      <c r="Q124" s="17">
        <f ca="1">OFFSET(COM!AA$247,$E124,0)</f>
        <v>2.7511388404766297</v>
      </c>
      <c r="R124" s="17">
        <f ca="1">OFFSET(COM!AB$247,$E124,0)</f>
        <v>2.9274862030762203</v>
      </c>
      <c r="S124" s="17">
        <f ca="1">OFFSET(COM!AC$247,$E124,0)</f>
        <v>3.1090519357998345</v>
      </c>
      <c r="T124" s="17">
        <f ca="1">OFFSET(COM!AD$247,$E124,0)</f>
        <v>3.2937071251470176</v>
      </c>
      <c r="U124" s="17">
        <f ca="1">OFFSET(COM!AE$247,$E124,0)</f>
        <v>3.5951303731670752</v>
      </c>
      <c r="V124" s="17">
        <f ca="1">OFFSET(COM!AF$247,$E124,0)</f>
        <v>3.9031464923156367</v>
      </c>
      <c r="W124" s="17">
        <f ca="1">OFFSET(COM!AG$247,$E124,0)</f>
        <v>4.2192028728118993</v>
      </c>
      <c r="X124" s="17">
        <f ca="1">OFFSET(COM!AH$247,$E124,0)</f>
        <v>4.5592097929424611</v>
      </c>
      <c r="Y124" s="17">
        <f ca="1">OFFSET(COM!AI$247,$E124,0)</f>
        <v>4.9078650660372141</v>
      </c>
      <c r="Z124" s="17">
        <f ca="1">OFFSET(COM!AJ$247,$E124,0)</f>
        <v>5.2654675438091783</v>
      </c>
      <c r="AA124" s="17">
        <f ca="1">OFFSET(COM!AK$247,$E124,0)</f>
        <v>5.6331528347661699</v>
      </c>
      <c r="AB124" s="17">
        <f ca="1">OFFSET(COM!AL$247,$E124,0)</f>
        <v>6.0071740400433509</v>
      </c>
      <c r="AC124" s="17">
        <f ca="1">OFFSET(COM!AM$247,$E124,0)</f>
        <v>6.3799557762789139</v>
      </c>
      <c r="AD124" s="17">
        <f ca="1">OFFSET(COM!AN$247,$E124,0)</f>
        <v>6.7487678082819169</v>
      </c>
      <c r="AE124" s="17">
        <f ca="1">OFFSET(COM!AO$247,$E124,0)</f>
        <v>8.1404107080240085</v>
      </c>
      <c r="AF124" s="17">
        <f ca="1">OFFSET(COM!AP$247,$E124,0)</f>
        <v>9.6215331337525747</v>
      </c>
      <c r="AG124" s="17">
        <f ca="1">OFFSET(COM!AQ$247,$E124,0)</f>
        <v>12.244815879442807</v>
      </c>
      <c r="AH124" s="17">
        <f ca="1">OFFSET(COM!AR$247,$E124,0)</f>
        <v>13.760816019343931</v>
      </c>
      <c r="AJ124" t="e">
        <f t="shared" ca="1" si="3"/>
        <v>#DIV/0!</v>
      </c>
    </row>
    <row r="125" spans="1:36">
      <c r="A125" s="26" t="s">
        <v>241</v>
      </c>
      <c r="B125" t="s">
        <v>370</v>
      </c>
      <c r="C125" t="s">
        <v>731</v>
      </c>
      <c r="D125" t="s">
        <v>272</v>
      </c>
      <c r="E125" s="109">
        <f>MATCH(F125,COM!$D$248:$D$266,0)</f>
        <v>18</v>
      </c>
      <c r="F125" t="str">
        <f t="shared" si="2"/>
        <v>CNT</v>
      </c>
      <c r="G125" s="17">
        <f ca="1">OFFSET(COM!Q$247,$E125,0)</f>
        <v>0</v>
      </c>
      <c r="H125" s="17">
        <f ca="1">OFFSET(COM!R$247,$E125,0)</f>
        <v>0</v>
      </c>
      <c r="I125" s="17">
        <f ca="1">OFFSET(COM!S$247,$E125,0)</f>
        <v>0</v>
      </c>
      <c r="J125" s="167">
        <f ca="1">OFFSET(COM!T$247,$E125,0)</f>
        <v>0</v>
      </c>
      <c r="K125" s="17">
        <f ca="1">OFFSET(COM!U$247,$E125,0)</f>
        <v>0</v>
      </c>
      <c r="L125" s="17">
        <f ca="1">OFFSET(COM!V$247,$E125,0)</f>
        <v>0</v>
      </c>
      <c r="M125" s="17">
        <f ca="1">OFFSET(COM!W$247,$E125,0)</f>
        <v>0</v>
      </c>
      <c r="N125" s="17">
        <f ca="1">OFFSET(COM!X$247,$E125,0)</f>
        <v>0</v>
      </c>
      <c r="O125" s="167">
        <f ca="1">OFFSET(COM!Y$247,$E125,0)</f>
        <v>0</v>
      </c>
      <c r="P125" s="17">
        <f ca="1">OFFSET(COM!Z$247,$E125,0)</f>
        <v>0</v>
      </c>
      <c r="Q125" s="17">
        <f ca="1">OFFSET(COM!AA$247,$E125,0)</f>
        <v>0</v>
      </c>
      <c r="R125" s="17">
        <f ca="1">OFFSET(COM!AB$247,$E125,0)</f>
        <v>0</v>
      </c>
      <c r="S125" s="17">
        <f ca="1">OFFSET(COM!AC$247,$E125,0)</f>
        <v>0</v>
      </c>
      <c r="T125" s="17">
        <f ca="1">OFFSET(COM!AD$247,$E125,0)</f>
        <v>0</v>
      </c>
      <c r="U125" s="17">
        <f ca="1">OFFSET(COM!AE$247,$E125,0)</f>
        <v>0</v>
      </c>
      <c r="V125" s="17">
        <f ca="1">OFFSET(COM!AF$247,$E125,0)</f>
        <v>0</v>
      </c>
      <c r="W125" s="17">
        <f ca="1">OFFSET(COM!AG$247,$E125,0)</f>
        <v>0</v>
      </c>
      <c r="X125" s="17">
        <f ca="1">OFFSET(COM!AH$247,$E125,0)</f>
        <v>0</v>
      </c>
      <c r="Y125" s="17">
        <f ca="1">OFFSET(COM!AI$247,$E125,0)</f>
        <v>0</v>
      </c>
      <c r="Z125" s="17">
        <f ca="1">OFFSET(COM!AJ$247,$E125,0)</f>
        <v>0</v>
      </c>
      <c r="AA125" s="17">
        <f ca="1">OFFSET(COM!AK$247,$E125,0)</f>
        <v>0</v>
      </c>
      <c r="AB125" s="17">
        <f ca="1">OFFSET(COM!AL$247,$E125,0)</f>
        <v>0</v>
      </c>
      <c r="AC125" s="17">
        <f ca="1">OFFSET(COM!AM$247,$E125,0)</f>
        <v>0</v>
      </c>
      <c r="AD125" s="17">
        <f ca="1">OFFSET(COM!AN$247,$E125,0)</f>
        <v>0</v>
      </c>
      <c r="AE125" s="17">
        <f ca="1">OFFSET(COM!AO$247,$E125,0)</f>
        <v>0</v>
      </c>
      <c r="AF125" s="17">
        <f ca="1">OFFSET(COM!AP$247,$E125,0)</f>
        <v>0</v>
      </c>
      <c r="AG125" s="17">
        <f ca="1">OFFSET(COM!AQ$247,$E125,0)</f>
        <v>0</v>
      </c>
      <c r="AH125" s="17">
        <f ca="1">OFFSET(COM!AR$247,$E125,0)</f>
        <v>0</v>
      </c>
      <c r="AJ125" t="e">
        <f t="shared" ca="1" si="3"/>
        <v>#DIV/0!</v>
      </c>
    </row>
    <row r="126" spans="1:36">
      <c r="A126" s="26" t="s">
        <v>239</v>
      </c>
      <c r="B126" t="s">
        <v>370</v>
      </c>
      <c r="C126" t="s">
        <v>731</v>
      </c>
      <c r="D126" t="s">
        <v>272</v>
      </c>
      <c r="E126" s="109">
        <f>MATCH(F126,COM!$D$248:$D$266,0)</f>
        <v>16</v>
      </c>
      <c r="F126" t="str">
        <f t="shared" si="2"/>
        <v>CNW</v>
      </c>
      <c r="G126" s="17">
        <f ca="1">OFFSET(COM!Q$247,$E126,0)</f>
        <v>0</v>
      </c>
      <c r="H126" s="17">
        <f ca="1">OFFSET(COM!R$247,$E126,0)</f>
        <v>0.18982799702391095</v>
      </c>
      <c r="I126" s="17">
        <f ca="1">OFFSET(COM!S$247,$E126,0)</f>
        <v>0.36571905323938514</v>
      </c>
      <c r="J126" s="167">
        <f ca="1">OFFSET(COM!T$247,$E126,0)</f>
        <v>0.47612446328666219</v>
      </c>
      <c r="K126" s="17">
        <f ca="1">OFFSET(COM!U$247,$E126,0)</f>
        <v>0.79890994464715237</v>
      </c>
      <c r="L126" s="17">
        <f ca="1">OFFSET(COM!V$247,$E126,0)</f>
        <v>0.94579880192331833</v>
      </c>
      <c r="M126" s="17">
        <f ca="1">OFFSET(COM!W$247,$E126,0)</f>
        <v>0.99862488427144869</v>
      </c>
      <c r="N126" s="17">
        <f ca="1">OFFSET(COM!X$247,$E126,0)</f>
        <v>1.0728950344611337</v>
      </c>
      <c r="O126" s="167">
        <f ca="1">OFFSET(COM!Y$247,$E126,0)</f>
        <v>1.1356833316466897</v>
      </c>
      <c r="P126" s="17">
        <f ca="1">OFFSET(COM!Z$247,$E126,0)</f>
        <v>1.1936127301676287</v>
      </c>
      <c r="Q126" s="17">
        <f ca="1">OFFSET(COM!AA$247,$E126,0)</f>
        <v>1.2411389947113591</v>
      </c>
      <c r="R126" s="17">
        <f ca="1">OFFSET(COM!AB$247,$E126,0)</f>
        <v>1.2768283709038679</v>
      </c>
      <c r="S126" s="17">
        <f ca="1">OFFSET(COM!AC$247,$E126,0)</f>
        <v>1.3052971137042466</v>
      </c>
      <c r="T126" s="17">
        <f ca="1">OFFSET(COM!AD$247,$E126,0)</f>
        <v>1.3240996006191212</v>
      </c>
      <c r="U126" s="17">
        <f ca="1">OFFSET(COM!AE$247,$E126,0)</f>
        <v>1.4452744310323935</v>
      </c>
      <c r="V126" s="17">
        <f ca="1">OFFSET(COM!AF$247,$E126,0)</f>
        <v>1.5690996543605478</v>
      </c>
      <c r="W126" s="17">
        <f ca="1">OFFSET(COM!AG$247,$E126,0)</f>
        <v>1.6961571343632809</v>
      </c>
      <c r="X126" s="17">
        <f ca="1">OFFSET(COM!AH$247,$E126,0)</f>
        <v>1.8328429446210825</v>
      </c>
      <c r="Y126" s="17">
        <f ca="1">OFFSET(COM!AI$247,$E126,0)</f>
        <v>1.973005469799427</v>
      </c>
      <c r="Z126" s="17">
        <f ca="1">OFFSET(COM!AJ$247,$E126,0)</f>
        <v>2.1167648509487549</v>
      </c>
      <c r="AA126" s="17">
        <f ca="1">OFFSET(COM!AK$247,$E126,0)</f>
        <v>2.2645776128038175</v>
      </c>
      <c r="AB126" s="17">
        <f ca="1">OFFSET(COM!AL$247,$E126,0)</f>
        <v>2.4149374686481622</v>
      </c>
      <c r="AC126" s="17">
        <f ca="1">OFFSET(COM!AM$247,$E126,0)</f>
        <v>2.5647990468981043</v>
      </c>
      <c r="AD126" s="17">
        <f ca="1">OFFSET(COM!AN$247,$E126,0)</f>
        <v>2.7130647686892928</v>
      </c>
      <c r="AE126" s="17">
        <f ca="1">OFFSET(COM!AO$247,$E126,0)</f>
        <v>3.2725176094365374</v>
      </c>
      <c r="AF126" s="17">
        <f ca="1">OFFSET(COM!AP$247,$E126,0)</f>
        <v>3.8679420166043972</v>
      </c>
      <c r="AG126" s="17">
        <f ca="1">OFFSET(COM!AQ$247,$E126,0)</f>
        <v>4.9225250453624341</v>
      </c>
      <c r="AH126" s="17">
        <f ca="1">OFFSET(COM!AR$247,$E126,0)</f>
        <v>5.5319706042756334</v>
      </c>
      <c r="AJ126" t="e">
        <f t="shared" ca="1" si="3"/>
        <v>#DIV/0!</v>
      </c>
    </row>
    <row r="127" spans="1:36">
      <c r="A127" s="26" t="s">
        <v>276</v>
      </c>
      <c r="B127">
        <v>9</v>
      </c>
      <c r="C127" t="s">
        <v>731</v>
      </c>
      <c r="D127" t="s">
        <v>272</v>
      </c>
      <c r="E127" s="110">
        <f>MATCH(F127,IND!$D$29:$D$137,0)</f>
        <v>5</v>
      </c>
      <c r="F127" t="str">
        <f t="shared" si="2"/>
        <v>IISCRS</v>
      </c>
      <c r="G127" s="3">
        <f ca="1">OFFSET(IND!P$28,$E127,0)</f>
        <v>6.23</v>
      </c>
      <c r="H127" s="6">
        <f ca="1">OFFSET(IND!Q$28,$E127,0)</f>
        <v>6.3</v>
      </c>
      <c r="I127" s="6">
        <f ca="1">OFFSET(IND!R$28,$E127,0)</f>
        <v>6.1267974837582679</v>
      </c>
      <c r="J127" s="176">
        <f ca="1">OFFSET(IND!S$28,$E127,0)</f>
        <v>5.0030232389251985</v>
      </c>
      <c r="K127" s="6">
        <f ca="1">OFFSET(IND!T$28,$E127,0)</f>
        <v>5.1013946759073407</v>
      </c>
      <c r="L127" s="6">
        <f ca="1">OFFSET(IND!U$28,$E127,0)</f>
        <v>5.1445049223084123</v>
      </c>
      <c r="M127" s="6">
        <f ca="1">OFFSET(IND!V$28,$E127,0)</f>
        <v>5.2384070464887156</v>
      </c>
      <c r="N127" s="6">
        <f ca="1">OFFSET(IND!W$28,$E127,0)</f>
        <v>5.3620580340062602</v>
      </c>
      <c r="O127" s="176">
        <f ca="1">OFFSET(IND!X$28,$E127,0)</f>
        <v>5.4954390879361403</v>
      </c>
      <c r="P127" s="6">
        <f ca="1">OFFSET(IND!Y$28,$E127,0)</f>
        <v>5.6660644152146791</v>
      </c>
      <c r="Q127" s="6">
        <f ca="1">OFFSET(IND!Z$28,$E127,0)</f>
        <v>5.8164847242015707</v>
      </c>
      <c r="R127" s="6">
        <f ca="1">OFFSET(IND!AA$28,$E127,0)</f>
        <v>6.1395322401594914</v>
      </c>
      <c r="S127" s="6">
        <f ca="1">OFFSET(IND!AB$28,$E127,0)</f>
        <v>6.3855772209690613</v>
      </c>
      <c r="T127" s="6">
        <f ca="1">OFFSET(IND!AC$28,$E127,0)</f>
        <v>6.5501037984867567</v>
      </c>
      <c r="U127" s="6">
        <f ca="1">OFFSET(IND!AD$28,$E127,0)</f>
        <v>6.688605940002077</v>
      </c>
      <c r="V127" s="6">
        <f ca="1">OFFSET(IND!AE$28,$E127,0)</f>
        <v>6.8400970218477433</v>
      </c>
      <c r="W127" s="6">
        <f ca="1">OFFSET(IND!AF$28,$E127,0)</f>
        <v>7.0298565945591553</v>
      </c>
      <c r="X127" s="6">
        <f ca="1">OFFSET(IND!AG$28,$E127,0)</f>
        <v>7.2595140950953159</v>
      </c>
      <c r="Y127" s="6">
        <f ca="1">OFFSET(IND!AH$28,$E127,0)</f>
        <v>7.7595184648010473</v>
      </c>
      <c r="Z127" s="6">
        <f ca="1">OFFSET(IND!AI$28,$E127,0)</f>
        <v>8.1907140394951323</v>
      </c>
      <c r="AA127" s="6">
        <f ca="1">OFFSET(IND!AJ$28,$E127,0)</f>
        <v>8.3636671338579625</v>
      </c>
      <c r="AB127" s="6">
        <f ca="1">OFFSET(IND!AK$28,$E127,0)</f>
        <v>8.5577097980044705</v>
      </c>
      <c r="AC127" s="6">
        <f ca="1">OFFSET(IND!AL$28,$E127,0)</f>
        <v>8.674749927002626</v>
      </c>
      <c r="AD127" s="6">
        <f ca="1">OFFSET(IND!AM$28,$E127,0)</f>
        <v>9.0054325189970204</v>
      </c>
      <c r="AE127" s="6">
        <f ca="1">OFFSET(IND!AN$28,$E127,0)</f>
        <v>9.9372376828387505</v>
      </c>
      <c r="AF127" s="6">
        <f ca="1">OFFSET(IND!AO$28,$E127,0)</f>
        <v>10.655400383684245</v>
      </c>
      <c r="AG127" s="6">
        <f ca="1">OFFSET(IND!AP$28,$E127,0)</f>
        <v>11.33329976109915</v>
      </c>
      <c r="AH127" s="6">
        <f ca="1">OFFSET(IND!AQ$28,$E127,0)</f>
        <v>11.980021022458072</v>
      </c>
      <c r="AJ127">
        <f t="shared" ca="1" si="3"/>
        <v>1.9229568254346823</v>
      </c>
    </row>
    <row r="128" spans="1:36">
      <c r="A128" s="26" t="s">
        <v>283</v>
      </c>
      <c r="B128">
        <v>3.4</v>
      </c>
      <c r="C128" t="s">
        <v>731</v>
      </c>
      <c r="D128" t="s">
        <v>272</v>
      </c>
      <c r="E128" s="110">
        <f>MATCH(F128,IND!$D$29:$D$137,0)</f>
        <v>12</v>
      </c>
      <c r="F128" t="str">
        <f t="shared" si="2"/>
        <v>INMBRI</v>
      </c>
      <c r="G128" s="6">
        <f ca="1">OFFSET(IND!P$28,$E128,0)</f>
        <v>9.6111784370000013</v>
      </c>
      <c r="H128" s="6">
        <f ca="1">OFFSET(IND!Q$28,$E128,0)</f>
        <v>9.7349446433321738</v>
      </c>
      <c r="I128" s="6">
        <f ca="1">OFFSET(IND!R$28,$E128,0)</f>
        <v>9.7244951418217358</v>
      </c>
      <c r="J128" s="176">
        <f ca="1">OFFSET(IND!S$28,$E128,0)</f>
        <v>9.0791372679742359</v>
      </c>
      <c r="K128" s="6">
        <f ca="1">OFFSET(IND!T$28,$E128,0)</f>
        <v>9.3896821562576456</v>
      </c>
      <c r="L128" s="6">
        <f ca="1">OFFSET(IND!U$28,$E128,0)</f>
        <v>9.587875579363951</v>
      </c>
      <c r="M128" s="6">
        <f ca="1">OFFSET(IND!V$28,$E128,0)</f>
        <v>9.6046338029116249</v>
      </c>
      <c r="N128" s="6">
        <f ca="1">OFFSET(IND!W$28,$E128,0)</f>
        <v>9.7026720436034335</v>
      </c>
      <c r="O128" s="176">
        <f ca="1">OFFSET(IND!X$28,$E128,0)</f>
        <v>9.8072673341177694</v>
      </c>
      <c r="P128" s="6">
        <f ca="1">OFFSET(IND!Y$28,$E128,0)</f>
        <v>9.9618606822302151</v>
      </c>
      <c r="Q128" s="6">
        <f ca="1">OFFSET(IND!Z$28,$E128,0)</f>
        <v>10.136631889271539</v>
      </c>
      <c r="R128" s="6">
        <f ca="1">OFFSET(IND!AA$28,$E128,0)</f>
        <v>10.328015209561583</v>
      </c>
      <c r="S128" s="6">
        <f ca="1">OFFSET(IND!AB$28,$E128,0)</f>
        <v>10.569169231172744</v>
      </c>
      <c r="T128" s="6">
        <f ca="1">OFFSET(IND!AC$28,$E128,0)</f>
        <v>10.86262972411582</v>
      </c>
      <c r="U128" s="6">
        <f ca="1">OFFSET(IND!AD$28,$E128,0)</f>
        <v>11.210068816144439</v>
      </c>
      <c r="V128" s="6">
        <f ca="1">OFFSET(IND!AE$28,$E128,0)</f>
        <v>11.573104842317875</v>
      </c>
      <c r="W128" s="6">
        <f ca="1">OFFSET(IND!AF$28,$E128,0)</f>
        <v>11.968070264641707</v>
      </c>
      <c r="X128" s="6">
        <f ca="1">OFFSET(IND!AG$28,$E128,0)</f>
        <v>12.410764198522815</v>
      </c>
      <c r="Y128" s="6">
        <f ca="1">OFFSET(IND!AH$28,$E128,0)</f>
        <v>12.891611467337382</v>
      </c>
      <c r="Z128" s="6">
        <f ca="1">OFFSET(IND!AI$28,$E128,0)</f>
        <v>13.400200452393284</v>
      </c>
      <c r="AA128" s="6">
        <f ca="1">OFFSET(IND!AJ$28,$E128,0)</f>
        <v>13.933439004843468</v>
      </c>
      <c r="AB128" s="6">
        <f ca="1">OFFSET(IND!AK$28,$E128,0)</f>
        <v>14.498469319289143</v>
      </c>
      <c r="AC128" s="6">
        <f ca="1">OFFSET(IND!AL$28,$E128,0)</f>
        <v>15.071966752234252</v>
      </c>
      <c r="AD128" s="6">
        <f ca="1">OFFSET(IND!AM$28,$E128,0)</f>
        <v>15.647845778502942</v>
      </c>
      <c r="AE128" s="6">
        <f ca="1">OFFSET(IND!AN$28,$E128,0)</f>
        <v>18.73994837911107</v>
      </c>
      <c r="AF128" s="6">
        <f ca="1">OFFSET(IND!AO$28,$E128,0)</f>
        <v>22.457421858956256</v>
      </c>
      <c r="AG128" s="6">
        <f ca="1">OFFSET(IND!AP$28,$E128,0)</f>
        <v>26.326186145632789</v>
      </c>
      <c r="AH128" s="6">
        <f ca="1">OFFSET(IND!AQ$28,$E128,0)</f>
        <v>29.479553526770381</v>
      </c>
      <c r="AJ128">
        <f t="shared" ca="1" si="3"/>
        <v>3.0672152972712912</v>
      </c>
    </row>
    <row r="129" spans="1:36">
      <c r="A129" s="26" t="s">
        <v>277</v>
      </c>
      <c r="B129">
        <v>10</v>
      </c>
      <c r="C129" t="s">
        <v>731</v>
      </c>
      <c r="D129" t="s">
        <v>272</v>
      </c>
      <c r="E129" s="110">
        <f>MATCH(F129,IND!$D$29:$D$137,0)</f>
        <v>9</v>
      </c>
      <c r="F129" t="str">
        <f t="shared" si="2"/>
        <v>INMCEM</v>
      </c>
      <c r="G129" s="6">
        <f ca="1">OFFSET(IND!P$28,$E129,0)</f>
        <v>14.759960880300349</v>
      </c>
      <c r="H129" s="6">
        <f ca="1">OFFSET(IND!Q$28,$E129,0)</f>
        <v>14.950029598277064</v>
      </c>
      <c r="I129" s="6">
        <f ca="1">OFFSET(IND!R$28,$E129,0)</f>
        <v>14.933982218184843</v>
      </c>
      <c r="J129" s="176">
        <f ca="1">OFFSET(IND!S$28,$E129,0)</f>
        <v>13.942901152088631</v>
      </c>
      <c r="K129" s="6">
        <f ca="1">OFFSET(IND!T$28,$E129,0)</f>
        <v>14.419807333020081</v>
      </c>
      <c r="L129" s="6">
        <f ca="1">OFFSET(IND!U$28,$E129,0)</f>
        <v>14.724174502036556</v>
      </c>
      <c r="M129" s="6">
        <f ca="1">OFFSET(IND!V$28,$E129,0)</f>
        <v>14.749910235236014</v>
      </c>
      <c r="N129" s="6">
        <f ca="1">OFFSET(IND!W$28,$E129,0)</f>
        <v>14.900468317875902</v>
      </c>
      <c r="O129" s="176">
        <f ca="1">OFFSET(IND!X$28,$E129,0)</f>
        <v>15.061096112518857</v>
      </c>
      <c r="P129" s="6">
        <f ca="1">OFFSET(IND!Y$28,$E129,0)</f>
        <v>15.298506309972918</v>
      </c>
      <c r="Q129" s="6">
        <f ca="1">OFFSET(IND!Z$28,$E129,0)</f>
        <v>15.566903801065388</v>
      </c>
      <c r="R129" s="6">
        <f ca="1">OFFSET(IND!AA$28,$E129,0)</f>
        <v>15.8608126426439</v>
      </c>
      <c r="S129" s="6">
        <f ca="1">OFFSET(IND!AB$28,$E129,0)</f>
        <v>16.231154734244779</v>
      </c>
      <c r="T129" s="6">
        <f ca="1">OFFSET(IND!AC$28,$E129,0)</f>
        <v>16.681824277438221</v>
      </c>
      <c r="U129" s="6">
        <f ca="1">OFFSET(IND!AD$28,$E129,0)</f>
        <v>17.215389171716698</v>
      </c>
      <c r="V129" s="6">
        <f ca="1">OFFSET(IND!AE$28,$E129,0)</f>
        <v>17.77290639809879</v>
      </c>
      <c r="W129" s="6">
        <f ca="1">OFFSET(IND!AF$28,$E129,0)</f>
        <v>18.379457844498816</v>
      </c>
      <c r="X129" s="6">
        <f ca="1">OFFSET(IND!AG$28,$E129,0)</f>
        <v>19.059306334344456</v>
      </c>
      <c r="Y129" s="6">
        <f ca="1">OFFSET(IND!AH$28,$E129,0)</f>
        <v>19.797747195017685</v>
      </c>
      <c r="Z129" s="6">
        <f ca="1">OFFSET(IND!AI$28,$E129,0)</f>
        <v>20.57879122336265</v>
      </c>
      <c r="AA129" s="6">
        <f ca="1">OFFSET(IND!AJ$28,$E129,0)</f>
        <v>21.397689782537608</v>
      </c>
      <c r="AB129" s="6">
        <f ca="1">OFFSET(IND!AK$28,$E129,0)</f>
        <v>22.265411195896895</v>
      </c>
      <c r="AC129" s="6">
        <f ca="1">OFFSET(IND!AL$28,$E129,0)</f>
        <v>23.146135628463423</v>
      </c>
      <c r="AD129" s="6">
        <f ca="1">OFFSET(IND!AM$28,$E129,0)</f>
        <v>24.030517492272047</v>
      </c>
      <c r="AE129" s="6">
        <f ca="1">OFFSET(IND!AN$28,$E129,0)</f>
        <v>28.7790833129995</v>
      </c>
      <c r="AF129" s="6">
        <f ca="1">OFFSET(IND!AO$28,$E129,0)</f>
        <v>34.488036017991192</v>
      </c>
      <c r="AG129" s="6">
        <f ca="1">OFFSET(IND!AP$28,$E129,0)</f>
        <v>40.429327182310949</v>
      </c>
      <c r="AH129" s="6">
        <f ca="1">OFFSET(IND!AQ$28,$E129,0)</f>
        <v>45.27197779918307</v>
      </c>
      <c r="AJ129">
        <f t="shared" ca="1" si="3"/>
        <v>3.0672152972712916</v>
      </c>
    </row>
    <row r="130" spans="1:36">
      <c r="A130" s="26" t="s">
        <v>697</v>
      </c>
      <c r="C130" t="s">
        <v>731</v>
      </c>
      <c r="D130" t="s">
        <v>272</v>
      </c>
      <c r="E130" s="110">
        <f>MATCH(F130,IND!$D$29:$D$137,0)</f>
        <v>7</v>
      </c>
      <c r="F130" t="str">
        <f t="shared" ref="F130" si="6">A130</f>
        <v>ICPNH3</v>
      </c>
      <c r="G130" s="6">
        <f ca="1">OFFSET(IND!P$28,$E130,0)</f>
        <v>8.4021746293245467</v>
      </c>
      <c r="H130" s="6">
        <f ca="1">OFFSET(IND!Q$28,$E130,0)</f>
        <v>8.4410931488914045</v>
      </c>
      <c r="I130" s="6">
        <f ca="1">OFFSET(IND!R$28,$E130,0)</f>
        <v>8.3458050196862938</v>
      </c>
      <c r="J130" s="176">
        <f ca="1">OFFSET(IND!S$28,$E130,0)</f>
        <v>7.9479928968368858</v>
      </c>
      <c r="K130" s="6">
        <f ca="1">OFFSET(IND!T$28,$E130,0)</f>
        <v>8.0130727602523439</v>
      </c>
      <c r="L130" s="6">
        <f ca="1">OFFSET(IND!U$28,$E130,0)</f>
        <v>8.1194004244240734</v>
      </c>
      <c r="M130" s="6">
        <f ca="1">OFFSET(IND!V$28,$E130,0)</f>
        <v>8.209228968293294</v>
      </c>
      <c r="N130" s="6">
        <f ca="1">OFFSET(IND!W$28,$E130,0)</f>
        <v>8.3018073655462672</v>
      </c>
      <c r="O130" s="176">
        <f ca="1">OFFSET(IND!X$28,$E130,0)</f>
        <v>8.393469145004655</v>
      </c>
      <c r="P130" s="6">
        <f ca="1">OFFSET(IND!Y$28,$E130,0)</f>
        <v>8.4713816575442866</v>
      </c>
      <c r="Q130" s="6">
        <f ca="1">OFFSET(IND!Z$28,$E130,0)</f>
        <v>8.562126819208089</v>
      </c>
      <c r="R130" s="6">
        <f ca="1">OFFSET(IND!AA$28,$E130,0)</f>
        <v>8.5850422640726851</v>
      </c>
      <c r="S130" s="6">
        <f ca="1">OFFSET(IND!AB$28,$E130,0)</f>
        <v>8.6317897715964627</v>
      </c>
      <c r="T130" s="6">
        <f ca="1">OFFSET(IND!AC$28,$E130,0)</f>
        <v>8.7170352264927651</v>
      </c>
      <c r="U130" s="6">
        <f ca="1">OFFSET(IND!AD$28,$E130,0)</f>
        <v>7.6500921135971209</v>
      </c>
      <c r="V130" s="6">
        <f ca="1">OFFSET(IND!AE$28,$E130,0)</f>
        <v>7.0634567250634328</v>
      </c>
      <c r="W130" s="6">
        <f ca="1">OFFSET(IND!AF$28,$E130,0)</f>
        <v>7.0497074581446739</v>
      </c>
      <c r="X130" s="6">
        <f ca="1">OFFSET(IND!AG$28,$E130,0)</f>
        <v>7.177117331591834</v>
      </c>
      <c r="Y130" s="6">
        <f ca="1">OFFSET(IND!AH$28,$E130,0)</f>
        <v>7.3347755922602627</v>
      </c>
      <c r="Z130" s="6">
        <f ca="1">OFFSET(IND!AI$28,$E130,0)</f>
        <v>7.5089329732312002</v>
      </c>
      <c r="AA130" s="6">
        <f ca="1">OFFSET(IND!AJ$28,$E130,0)</f>
        <v>7.6995894745046485</v>
      </c>
      <c r="AB130" s="6">
        <f ca="1">OFFSET(IND!AK$28,$E130,0)</f>
        <v>7.8893293579835122</v>
      </c>
      <c r="AC130" s="6">
        <f ca="1">OFFSET(IND!AL$28,$E130,0)</f>
        <v>8.0891520372027994</v>
      </c>
      <c r="AD130" s="6">
        <f ca="1">OFFSET(IND!AM$28,$E130,0)</f>
        <v>8.299057512162511</v>
      </c>
      <c r="AE130" s="6">
        <f ca="1">OFFSET(IND!AN$28,$E130,0)</f>
        <v>9.8105602554313407</v>
      </c>
      <c r="AF130" s="6">
        <f ca="1">OFFSET(IND!AO$28,$E130,0)</f>
        <v>15.101278165769537</v>
      </c>
      <c r="AG130" s="6">
        <f ca="1">OFFSET(IND!AP$28,$E130,0)</f>
        <v>21.947621071808666</v>
      </c>
      <c r="AH130" s="6">
        <f ca="1">OFFSET(IND!AQ$28,$E130,0)</f>
        <v>24.473330000422742</v>
      </c>
      <c r="AJ130">
        <f t="shared" ca="1" si="3"/>
        <v>2.9127376042635476</v>
      </c>
    </row>
    <row r="131" spans="1:36">
      <c r="A131" s="26" t="s">
        <v>282</v>
      </c>
      <c r="B131">
        <v>0.63500000000000001</v>
      </c>
      <c r="C131" t="s">
        <v>731</v>
      </c>
      <c r="D131" t="s">
        <v>272</v>
      </c>
      <c r="E131" s="110">
        <f>MATCH(F131,IND!$D$29:$D$137,0)</f>
        <v>11</v>
      </c>
      <c r="F131" t="str">
        <f t="shared" si="2"/>
        <v>INMGLA</v>
      </c>
      <c r="G131" s="6">
        <f ca="1">OFFSET(IND!P$28,$E131,0)</f>
        <v>1.1624356</v>
      </c>
      <c r="H131" s="6">
        <f ca="1">OFFSET(IND!Q$28,$E131,0)</f>
        <v>1.1774046535099847</v>
      </c>
      <c r="I131" s="6">
        <f ca="1">OFFSET(IND!R$28,$E131,0)</f>
        <v>1.1761408259119843</v>
      </c>
      <c r="J131" s="176">
        <f ca="1">OFFSET(IND!S$28,$E131,0)</f>
        <v>1.098087237351745</v>
      </c>
      <c r="K131" s="6">
        <f ca="1">OFFSET(IND!T$28,$E131,0)</f>
        <v>1.1356464644439157</v>
      </c>
      <c r="L131" s="6">
        <f ca="1">OFFSET(IND!U$28,$E131,0)</f>
        <v>1.1596172077003009</v>
      </c>
      <c r="M131" s="6">
        <f ca="1">OFFSET(IND!V$28,$E131,0)</f>
        <v>1.1616440513149799</v>
      </c>
      <c r="N131" s="6">
        <f ca="1">OFFSET(IND!W$28,$E131,0)</f>
        <v>1.173501404904713</v>
      </c>
      <c r="O131" s="176">
        <f ca="1">OFFSET(IND!X$28,$E131,0)</f>
        <v>1.186151808815449</v>
      </c>
      <c r="P131" s="6">
        <f ca="1">OFFSET(IND!Y$28,$E131,0)</f>
        <v>1.2048492882709645</v>
      </c>
      <c r="Q131" s="6">
        <f ca="1">OFFSET(IND!Z$28,$E131,0)</f>
        <v>1.2259872032781092</v>
      </c>
      <c r="R131" s="6">
        <f ca="1">OFFSET(IND!AA$28,$E131,0)</f>
        <v>1.2491342904131171</v>
      </c>
      <c r="S131" s="6">
        <f ca="1">OFFSET(IND!AB$28,$E131,0)</f>
        <v>1.2783009552130147</v>
      </c>
      <c r="T131" s="6">
        <f ca="1">OFFSET(IND!AC$28,$E131,0)</f>
        <v>1.313793889448565</v>
      </c>
      <c r="U131" s="6">
        <f ca="1">OFFSET(IND!AD$28,$E131,0)</f>
        <v>1.355815330633233</v>
      </c>
      <c r="V131" s="6">
        <f ca="1">OFFSET(IND!AE$28,$E131,0)</f>
        <v>1.3997231618812667</v>
      </c>
      <c r="W131" s="6">
        <f ca="1">OFFSET(IND!AF$28,$E131,0)</f>
        <v>1.4474927325627123</v>
      </c>
      <c r="X131" s="6">
        <f ca="1">OFFSET(IND!AG$28,$E131,0)</f>
        <v>1.5010348857981977</v>
      </c>
      <c r="Y131" s="6">
        <f ca="1">OFFSET(IND!AH$28,$E131,0)</f>
        <v>1.5591915402705592</v>
      </c>
      <c r="Z131" s="6">
        <f ca="1">OFFSET(IND!AI$28,$E131,0)</f>
        <v>1.6207034501650739</v>
      </c>
      <c r="AA131" s="6">
        <f ca="1">OFFSET(IND!AJ$28,$E131,0)</f>
        <v>1.6851966317997331</v>
      </c>
      <c r="AB131" s="6">
        <f ca="1">OFFSET(IND!AK$28,$E131,0)</f>
        <v>1.753534906538482</v>
      </c>
      <c r="AC131" s="6">
        <f ca="1">OFFSET(IND!AL$28,$E131,0)</f>
        <v>1.8228972471644349</v>
      </c>
      <c r="AD131" s="6">
        <f ca="1">OFFSET(IND!AM$28,$E131,0)</f>
        <v>1.8925476324752513</v>
      </c>
      <c r="AE131" s="6">
        <f ca="1">OFFSET(IND!AN$28,$E131,0)</f>
        <v>2.2665257211518988</v>
      </c>
      <c r="AF131" s="6">
        <f ca="1">OFFSET(IND!AO$28,$E131,0)</f>
        <v>2.7161400471529848</v>
      </c>
      <c r="AG131" s="6">
        <f ca="1">OFFSET(IND!AP$28,$E131,0)</f>
        <v>3.184052422760189</v>
      </c>
      <c r="AH131" s="6">
        <f ca="1">OFFSET(IND!AQ$28,$E131,0)</f>
        <v>3.5654402544127319</v>
      </c>
      <c r="AJ131">
        <f t="shared" ca="1" si="3"/>
        <v>3.0672152972712912</v>
      </c>
    </row>
    <row r="132" spans="1:36">
      <c r="A132" s="26" t="s">
        <v>281</v>
      </c>
      <c r="B132">
        <v>1.53</v>
      </c>
      <c r="C132" t="s">
        <v>731</v>
      </c>
      <c r="D132" t="s">
        <v>272</v>
      </c>
      <c r="E132" s="110">
        <f>MATCH(F132,IND!$D$29:$D$137,0)</f>
        <v>10</v>
      </c>
      <c r="F132" t="str">
        <f t="shared" si="2"/>
        <v>INMLIM</v>
      </c>
      <c r="G132" s="6">
        <f ca="1">OFFSET(IND!P$28,$E132,0)</f>
        <v>1.3591716472036741</v>
      </c>
      <c r="H132" s="6">
        <f ca="1">OFFSET(IND!Q$28,$E132,0)</f>
        <v>1.3766741334629091</v>
      </c>
      <c r="I132" s="6">
        <f ca="1">OFFSET(IND!R$28,$E132,0)</f>
        <v>1.3751964097609202</v>
      </c>
      <c r="J132" s="176">
        <f ca="1">OFFSET(IND!S$28,$E132,0)</f>
        <v>1.2839326661749715</v>
      </c>
      <c r="K132" s="6">
        <f ca="1">OFFSET(IND!T$28,$E132,0)</f>
        <v>1.327848592833242</v>
      </c>
      <c r="L132" s="6">
        <f ca="1">OFFSET(IND!U$28,$E132,0)</f>
        <v>1.3558762569864022</v>
      </c>
      <c r="M132" s="6">
        <f ca="1">OFFSET(IND!V$28,$E132,0)</f>
        <v>1.3582461331106259</v>
      </c>
      <c r="N132" s="6">
        <f ca="1">OFFSET(IND!W$28,$E132,0)</f>
        <v>1.3721102807761258</v>
      </c>
      <c r="O132" s="176">
        <f ca="1">OFFSET(IND!X$28,$E132,0)</f>
        <v>1.3869016983145657</v>
      </c>
      <c r="P132" s="6">
        <f ca="1">OFFSET(IND!Y$28,$E132,0)</f>
        <v>1.4087636267948271</v>
      </c>
      <c r="Q132" s="6">
        <f ca="1">OFFSET(IND!Z$28,$E132,0)</f>
        <v>1.4334790215734385</v>
      </c>
      <c r="R132" s="6">
        <f ca="1">OFFSET(IND!AA$28,$E132,0)</f>
        <v>1.4605436301842345</v>
      </c>
      <c r="S132" s="6">
        <f ca="1">OFFSET(IND!AB$28,$E132,0)</f>
        <v>1.4946465979869363</v>
      </c>
      <c r="T132" s="6">
        <f ca="1">OFFSET(IND!AC$28,$E132,0)</f>
        <v>1.5361465227045075</v>
      </c>
      <c r="U132" s="6">
        <f ca="1">OFFSET(IND!AD$28,$E132,0)</f>
        <v>1.5852798694747177</v>
      </c>
      <c r="V132" s="6">
        <f ca="1">OFFSET(IND!AE$28,$E132,0)</f>
        <v>1.6366188678007589</v>
      </c>
      <c r="W132" s="6">
        <f ca="1">OFFSET(IND!AF$28,$E132,0)</f>
        <v>1.6924731844349989</v>
      </c>
      <c r="X132" s="6">
        <f ca="1">OFFSET(IND!AG$28,$E132,0)</f>
        <v>1.7550770625405097</v>
      </c>
      <c r="Y132" s="6">
        <f ca="1">OFFSET(IND!AH$28,$E132,0)</f>
        <v>1.823076421692152</v>
      </c>
      <c r="Z132" s="6">
        <f ca="1">OFFSET(IND!AI$28,$E132,0)</f>
        <v>1.8949988954136827</v>
      </c>
      <c r="AA132" s="6">
        <f ca="1">OFFSET(IND!AJ$28,$E132,0)</f>
        <v>1.9704072052725563</v>
      </c>
      <c r="AB132" s="6">
        <f ca="1">OFFSET(IND!AK$28,$E132,0)</f>
        <v>2.0503113698075399</v>
      </c>
      <c r="AC132" s="6">
        <f ca="1">OFFSET(IND!AL$28,$E132,0)</f>
        <v>2.1314129179384458</v>
      </c>
      <c r="AD132" s="6">
        <f ca="1">OFFSET(IND!AM$28,$E132,0)</f>
        <v>2.2128512607862327</v>
      </c>
      <c r="AE132" s="6">
        <f ca="1">OFFSET(IND!AN$28,$E132,0)</f>
        <v>2.6501231533579332</v>
      </c>
      <c r="AF132" s="6">
        <f ca="1">OFFSET(IND!AO$28,$E132,0)</f>
        <v>3.1758323144308269</v>
      </c>
      <c r="AG132" s="6">
        <f ca="1">OFFSET(IND!AP$28,$E132,0)</f>
        <v>3.7229363727554583</v>
      </c>
      <c r="AH132" s="6">
        <f ca="1">OFFSET(IND!AQ$28,$E132,0)</f>
        <v>4.1688720679205273</v>
      </c>
      <c r="AJ132">
        <f t="shared" ca="1" si="3"/>
        <v>3.0672152972712907</v>
      </c>
    </row>
    <row r="133" spans="1:36">
      <c r="A133" s="26" t="s">
        <v>369</v>
      </c>
      <c r="B133">
        <v>7.8658203618</v>
      </c>
      <c r="C133" t="s">
        <v>731</v>
      </c>
      <c r="D133" t="s">
        <v>272</v>
      </c>
      <c r="E133" s="110">
        <f>MATCH(F133,IND!$D$29:$D$137,0)</f>
        <v>108</v>
      </c>
      <c r="F133" t="str">
        <f>A133</f>
        <v>IOTR</v>
      </c>
      <c r="G133" s="6">
        <f ca="1">OFFSET(IND!P$28,$E133,0)</f>
        <v>4.2</v>
      </c>
      <c r="H133" s="6">
        <f ca="1">OFFSET(IND!Q$28,$E133,0)</f>
        <v>4.2483911250736304</v>
      </c>
      <c r="I133" s="6">
        <f ca="1">OFFSET(IND!R$28,$E133,0)</f>
        <v>4.2438389946986064</v>
      </c>
      <c r="J133" s="176">
        <f ca="1">OFFSET(IND!S$28,$E133,0)</f>
        <v>3.9366011074382827</v>
      </c>
      <c r="K133" s="6">
        <f ca="1">OFFSET(IND!T$28,$E133,0)</f>
        <v>4.2411445690449456</v>
      </c>
      <c r="L133" s="6">
        <f ca="1">OFFSET(IND!U$28,$E133,0)</f>
        <v>4.2940529464881001</v>
      </c>
      <c r="M133" s="6">
        <f ca="1">OFFSET(IND!V$28,$E133,0)</f>
        <v>4.2648824384545563</v>
      </c>
      <c r="N133" s="6">
        <f ca="1">OFFSET(IND!W$28,$E133,0)</f>
        <v>4.2713654974262107</v>
      </c>
      <c r="O133" s="176">
        <f ca="1">OFFSET(IND!X$28,$E133,0)</f>
        <v>4.2799613694049201</v>
      </c>
      <c r="P133" s="6">
        <f ca="1">OFFSET(IND!Y$28,$E133,0)</f>
        <v>4.3474270084404214</v>
      </c>
      <c r="Q133" s="6">
        <f ca="1">OFFSET(IND!Z$28,$E133,0)</f>
        <v>4.423698408937371</v>
      </c>
      <c r="R133" s="6">
        <f ca="1">OFFSET(IND!AA$28,$E133,0)</f>
        <v>4.5072194540648232</v>
      </c>
      <c r="S133" s="6">
        <f ca="1">OFFSET(IND!AB$28,$E133,0)</f>
        <v>4.6124607880072359</v>
      </c>
      <c r="T133" s="6">
        <f ca="1">OFFSET(IND!AC$28,$E133,0)</f>
        <v>4.7405290388719274</v>
      </c>
      <c r="U133" s="6">
        <f ca="1">OFFSET(IND!AD$28,$E133,0)</f>
        <v>4.8921539351292678</v>
      </c>
      <c r="V133" s="6">
        <f ca="1">OFFSET(IND!AE$28,$E133,0)</f>
        <v>5.0505854446201184</v>
      </c>
      <c r="W133" s="6">
        <f ca="1">OFFSET(IND!AF$28,$E133,0)</f>
        <v>5.2229511701791589</v>
      </c>
      <c r="X133" s="6">
        <f ca="1">OFFSET(IND!AG$28,$E133,0)</f>
        <v>5.4161459583837841</v>
      </c>
      <c r="Y133" s="6">
        <f ca="1">OFFSET(IND!AH$28,$E133,0)</f>
        <v>5.6259911339048756</v>
      </c>
      <c r="Z133" s="6">
        <f ca="1">OFFSET(IND!AI$28,$E133,0)</f>
        <v>5.8479429921326611</v>
      </c>
      <c r="AA133" s="6">
        <f ca="1">OFFSET(IND!AJ$28,$E133,0)</f>
        <v>6.0806520972698967</v>
      </c>
      <c r="AB133" s="6">
        <f ca="1">OFFSET(IND!AK$28,$E133,0)</f>
        <v>6.3272353539490851</v>
      </c>
      <c r="AC133" s="6">
        <f ca="1">OFFSET(IND!AL$28,$E133,0)</f>
        <v>6.577513721493836</v>
      </c>
      <c r="AD133" s="6">
        <f ca="1">OFFSET(IND!AM$28,$E133,0)</f>
        <v>6.8288314333406515</v>
      </c>
      <c r="AE133" s="6">
        <f ca="1">OFFSET(IND!AN$28,$E133,0)</f>
        <v>8.1782470483101957</v>
      </c>
      <c r="AF133" s="6">
        <f ca="1">OFFSET(IND!AO$28,$E133,0)</f>
        <v>9.8005789725327901</v>
      </c>
      <c r="AG133" s="6">
        <f ca="1">OFFSET(IND!AP$28,$E133,0)</f>
        <v>11.488935283235769</v>
      </c>
      <c r="AH133" s="6">
        <f ca="1">OFFSET(IND!AQ$28,$E133,0)</f>
        <v>12.865087285114944</v>
      </c>
      <c r="AJ133">
        <f t="shared" ca="1" si="3"/>
        <v>3.0631160202654626</v>
      </c>
    </row>
    <row r="134" spans="1:36">
      <c r="A134" s="26" t="s">
        <v>284</v>
      </c>
      <c r="C134" t="s">
        <v>731</v>
      </c>
      <c r="D134" t="s">
        <v>272</v>
      </c>
      <c r="E134" s="110">
        <f>MATCH(F134,IND!$D$29:$D$137,0)</f>
        <v>14</v>
      </c>
      <c r="F134" t="str">
        <f>A134</f>
        <v>IPPPAP</v>
      </c>
      <c r="G134" s="6">
        <f ca="1">OFFSET(IND!P$28,$E134,0)</f>
        <v>2.1800600000000001</v>
      </c>
      <c r="H134" s="6">
        <f ca="1">OFFSET(IND!Q$28,$E134,0)</f>
        <v>2.2166294765726118</v>
      </c>
      <c r="I134" s="6">
        <f ca="1">OFFSET(IND!R$28,$E134,0)</f>
        <v>2.2151621827595136</v>
      </c>
      <c r="J134" s="176">
        <f ca="1">OFFSET(IND!S$28,$E134,0)</f>
        <v>2.1156043318489735</v>
      </c>
      <c r="K134" s="6">
        <f ca="1">OFFSET(IND!T$28,$E134,0)</f>
        <v>2.1388944636541041</v>
      </c>
      <c r="L134" s="6">
        <f ca="1">OFFSET(IND!U$28,$E134,0)</f>
        <v>2.1840413395930534</v>
      </c>
      <c r="M134" s="6">
        <f ca="1">OFFSET(IND!V$28,$E134,0)</f>
        <v>2.187858728826289</v>
      </c>
      <c r="N134" s="6">
        <f ca="1">OFFSET(IND!W$28,$E134,0)</f>
        <v>2.2101910556029045</v>
      </c>
      <c r="O134" s="176">
        <f ca="1">OFFSET(IND!X$28,$E134,0)</f>
        <v>2.2340170258628578</v>
      </c>
      <c r="P134" s="6">
        <f ca="1">OFFSET(IND!Y$28,$E134,0)</f>
        <v>2.2692321535842046</v>
      </c>
      <c r="Q134" s="6">
        <f ca="1">OFFSET(IND!Z$28,$E134,0)</f>
        <v>2.3090436361164124</v>
      </c>
      <c r="R134" s="6">
        <f ca="1">OFFSET(IND!AA$28,$E134,0)</f>
        <v>2.3526392251248551</v>
      </c>
      <c r="S134" s="6">
        <f ca="1">OFFSET(IND!AB$28,$E134,0)</f>
        <v>2.4075721816539839</v>
      </c>
      <c r="T134" s="6">
        <f ca="1">OFFSET(IND!AC$28,$E134,0)</f>
        <v>2.4744201338222935</v>
      </c>
      <c r="U134" s="6">
        <f ca="1">OFFSET(IND!AD$28,$E134,0)</f>
        <v>2.5535639789525324</v>
      </c>
      <c r="V134" s="6">
        <f ca="1">OFFSET(IND!AE$28,$E134,0)</f>
        <v>2.6362606808820939</v>
      </c>
      <c r="W134" s="6">
        <f ca="1">OFFSET(IND!AF$28,$E134,0)</f>
        <v>2.7262306437716517</v>
      </c>
      <c r="X134" s="6">
        <f ca="1">OFFSET(IND!AG$28,$E134,0)</f>
        <v>2.8270727796942738</v>
      </c>
      <c r="Y134" s="6">
        <f ca="1">OFFSET(IND!AH$28,$E134,0)</f>
        <v>2.9366059400308302</v>
      </c>
      <c r="Z134" s="6">
        <f ca="1">OFFSET(IND!AI$28,$E134,0)</f>
        <v>3.0524584413518214</v>
      </c>
      <c r="AA134" s="6">
        <f ca="1">OFFSET(IND!AJ$28,$E134,0)</f>
        <v>3.1739259168917178</v>
      </c>
      <c r="AB134" s="6">
        <f ca="1">OFFSET(IND!AK$28,$E134,0)</f>
        <v>3.3026353014324039</v>
      </c>
      <c r="AC134" s="6">
        <f ca="1">OFFSET(IND!AL$28,$E134,0)</f>
        <v>3.4332734278176131</v>
      </c>
      <c r="AD134" s="6">
        <f ca="1">OFFSET(IND!AM$28,$E134,0)</f>
        <v>3.5644540621056149</v>
      </c>
      <c r="AE134" s="6">
        <f ca="1">OFFSET(IND!AN$28,$E134,0)</f>
        <v>4.2688102930653136</v>
      </c>
      <c r="AF134" s="6">
        <f ca="1">OFFSET(IND!AO$28,$E134,0)</f>
        <v>5.1156210064101497</v>
      </c>
      <c r="AG134" s="6">
        <f ca="1">OFFSET(IND!AP$28,$E134,0)</f>
        <v>5.996894554997783</v>
      </c>
      <c r="AH134" s="6">
        <f ca="1">OFFSET(IND!AQ$28,$E134,0)</f>
        <v>6.7152064127519555</v>
      </c>
      <c r="AJ134">
        <f t="shared" ref="AJ134:AJ138" ca="1" si="7">AH134/G134</f>
        <v>3.0802851356164305</v>
      </c>
    </row>
    <row r="135" spans="1:36">
      <c r="A135" s="26" t="s">
        <v>285</v>
      </c>
      <c r="C135" t="s">
        <v>731</v>
      </c>
      <c r="D135" t="s">
        <v>272</v>
      </c>
      <c r="E135" s="110">
        <f>MATCH(F135,IND!$D$29:$D$137,0)</f>
        <v>15</v>
      </c>
      <c r="F135" t="str">
        <f>A135</f>
        <v>IPPPULPD</v>
      </c>
      <c r="G135" s="6">
        <f ca="1">OFFSET(IND!P$28,$E135,0)</f>
        <v>0.65910719806663931</v>
      </c>
      <c r="H135" s="6">
        <f ca="1">OFFSET(IND!Q$28,$E135,0)</f>
        <v>0.6701634099316971</v>
      </c>
      <c r="I135" s="6">
        <f ca="1">OFFSET(IND!R$28,$E135,0)</f>
        <v>0.66971979649266711</v>
      </c>
      <c r="J135" s="176">
        <f ca="1">OFFSET(IND!S$28,$E135,0)</f>
        <v>0.63962003035816517</v>
      </c>
      <c r="K135" s="6">
        <f ca="1">OFFSET(IND!T$28,$E135,0)</f>
        <v>0.64666143908851315</v>
      </c>
      <c r="L135" s="6">
        <f ca="1">OFFSET(IND!U$28,$E135,0)</f>
        <v>0.66031089410423893</v>
      </c>
      <c r="M135" s="6">
        <f ca="1">OFFSET(IND!V$28,$E135,0)</f>
        <v>0.66146502230320947</v>
      </c>
      <c r="N135" s="6">
        <f ca="1">OFFSET(IND!W$28,$E135,0)</f>
        <v>0.66821685359594618</v>
      </c>
      <c r="O135" s="176">
        <f ca="1">OFFSET(IND!X$28,$E135,0)</f>
        <v>0.67542026474025274</v>
      </c>
      <c r="P135" s="6">
        <f ca="1">OFFSET(IND!Y$28,$E135,0)</f>
        <v>0.68606701031696882</v>
      </c>
      <c r="Q135" s="6">
        <f ca="1">OFFSET(IND!Z$28,$E135,0)</f>
        <v>0.6981033922067712</v>
      </c>
      <c r="R135" s="6">
        <f ca="1">OFFSET(IND!AA$28,$E135,0)</f>
        <v>0.71128383977216825</v>
      </c>
      <c r="S135" s="6">
        <f ca="1">OFFSET(IND!AB$28,$E135,0)</f>
        <v>0.72789196388775712</v>
      </c>
      <c r="T135" s="6">
        <f ca="1">OFFSET(IND!AC$28,$E135,0)</f>
        <v>0.74810240142165407</v>
      </c>
      <c r="U135" s="6">
        <f ca="1">OFFSET(IND!AD$28,$E135,0)</f>
        <v>0.77203031074892581</v>
      </c>
      <c r="V135" s="6">
        <f ca="1">OFFSET(IND!AE$28,$E135,0)</f>
        <v>0.79703237101247137</v>
      </c>
      <c r="W135" s="6">
        <f ca="1">OFFSET(IND!AF$28,$E135,0)</f>
        <v>0.82423338848460337</v>
      </c>
      <c r="X135" s="6">
        <f ca="1">OFFSET(IND!AG$28,$E135,0)</f>
        <v>0.85472143819654456</v>
      </c>
      <c r="Y135" s="6">
        <f ca="1">OFFSET(IND!AH$28,$E135,0)</f>
        <v>0.88783708382318405</v>
      </c>
      <c r="Z135" s="6">
        <f ca="1">OFFSET(IND!AI$28,$E135,0)</f>
        <v>0.92286328380606997</v>
      </c>
      <c r="AA135" s="6">
        <f ca="1">OFFSET(IND!AJ$28,$E135,0)</f>
        <v>0.95958708382044089</v>
      </c>
      <c r="AB135" s="6">
        <f ca="1">OFFSET(IND!AK$28,$E135,0)</f>
        <v>0.99850036226667327</v>
      </c>
      <c r="AC135" s="6">
        <f ca="1">OFFSET(IND!AL$28,$E135,0)</f>
        <v>1.0379967657796183</v>
      </c>
      <c r="AD135" s="6">
        <f ca="1">OFFSET(IND!AM$28,$E135,0)</f>
        <v>1.0776571881102741</v>
      </c>
      <c r="AE135" s="6">
        <f ca="1">OFFSET(IND!AN$28,$E135,0)</f>
        <v>1.2906083279085485</v>
      </c>
      <c r="AF135" s="6">
        <f ca="1">OFFSET(IND!AO$28,$E135,0)</f>
        <v>1.5466283624789399</v>
      </c>
      <c r="AG135" s="6">
        <f ca="1">OFFSET(IND!AP$28,$E135,0)</f>
        <v>1.8130676987081444</v>
      </c>
      <c r="AH135" s="6">
        <f ca="1">OFFSET(IND!AQ$28,$E135,0)</f>
        <v>2.0302381049824647</v>
      </c>
      <c r="AJ135">
        <f t="shared" ca="1" si="7"/>
        <v>3.0802851356164322</v>
      </c>
    </row>
    <row r="136" spans="1:36">
      <c r="A136" s="26" t="s">
        <v>688</v>
      </c>
      <c r="C136" t="s">
        <v>731</v>
      </c>
      <c r="D136" t="s">
        <v>272</v>
      </c>
      <c r="E136" s="110">
        <f>MATCH(F136,IND!$D$29:$D$137,0)</f>
        <v>3</v>
      </c>
      <c r="F136" t="str">
        <f>A136</f>
        <v>IFACR</v>
      </c>
      <c r="G136" s="6">
        <f ca="1">OFFSET(IND!P$28,$E136,0)</f>
        <v>3.484</v>
      </c>
      <c r="H136" s="6">
        <f ca="1">OFFSET(IND!Q$28,$E136,0)</f>
        <v>3.4912421940520733</v>
      </c>
      <c r="I136" s="6">
        <f ca="1">OFFSET(IND!R$28,$E136,0)</f>
        <v>3.4098997971612133</v>
      </c>
      <c r="J136" s="176">
        <f ca="1">OFFSET(IND!S$28,$E136,0)</f>
        <v>3.0970898071479627</v>
      </c>
      <c r="K136" s="6">
        <f ca="1">OFFSET(IND!T$28,$E136,0)</f>
        <v>3.3790450428394809</v>
      </c>
      <c r="L136" s="6">
        <f ca="1">OFFSET(IND!U$28,$E136,0)</f>
        <v>3.3518684861407824</v>
      </c>
      <c r="M136" s="6">
        <f ca="1">OFFSET(IND!V$28,$E136,0)</f>
        <v>3.3563007535435014</v>
      </c>
      <c r="N136" s="6">
        <f ca="1">OFFSET(IND!W$28,$E136,0)</f>
        <v>3.3774366104143247</v>
      </c>
      <c r="O136" s="176">
        <f ca="1">OFFSET(IND!X$28,$E136,0)</f>
        <v>3.4019167156029231</v>
      </c>
      <c r="P136" s="6">
        <f ca="1">OFFSET(IND!Y$28,$E136,0)</f>
        <v>3.5075412423579051</v>
      </c>
      <c r="Q136" s="6">
        <f ca="1">OFFSET(IND!Z$28,$E136,0)</f>
        <v>3.6006579806785992</v>
      </c>
      <c r="R136" s="6">
        <f ca="1">OFFSET(IND!AA$28,$E136,0)</f>
        <v>3.8006384966820956</v>
      </c>
      <c r="S136" s="6">
        <f ca="1">OFFSET(IND!AB$28,$E136,0)</f>
        <v>3.9529510816480093</v>
      </c>
      <c r="T136" s="6">
        <f ca="1">OFFSET(IND!AC$28,$E136,0)</f>
        <v>4.0548002160414889</v>
      </c>
      <c r="U136" s="6">
        <f ca="1">OFFSET(IND!AD$28,$E136,0)</f>
        <v>4.1405390883732949</v>
      </c>
      <c r="V136" s="6">
        <f ca="1">OFFSET(IND!AE$28,$E136,0)</f>
        <v>4.2343186818414287</v>
      </c>
      <c r="W136" s="6">
        <f ca="1">OFFSET(IND!AF$28,$E136,0)</f>
        <v>4.3517881418832571</v>
      </c>
      <c r="X136" s="6">
        <f ca="1">OFFSET(IND!AG$28,$E136,0)</f>
        <v>4.4939561611144496</v>
      </c>
      <c r="Y136" s="6">
        <f ca="1">OFFSET(IND!AH$28,$E136,0)</f>
        <v>4.8034806951795241</v>
      </c>
      <c r="Z136" s="6">
        <f ca="1">OFFSET(IND!AI$28,$E136,0)</f>
        <v>5.0704095810743768</v>
      </c>
      <c r="AA136" s="6">
        <f ca="1">OFFSET(IND!AJ$28,$E136,0)</f>
        <v>5.177475097280313</v>
      </c>
      <c r="AB136" s="6">
        <f ca="1">OFFSET(IND!AK$28,$E136,0)</f>
        <v>5.2975959779118993</v>
      </c>
      <c r="AC136" s="6">
        <f ca="1">OFFSET(IND!AL$28,$E136,0)</f>
        <v>5.370048927505902</v>
      </c>
      <c r="AD136" s="6">
        <f ca="1">OFFSET(IND!AM$28,$E136,0)</f>
        <v>5.5747558889085305</v>
      </c>
      <c r="AE136" s="6">
        <f ca="1">OFFSET(IND!AN$28,$E136,0)</f>
        <v>6.1515839661257052</v>
      </c>
      <c r="AF136" s="6">
        <f ca="1">OFFSET(IND!AO$28,$E136,0)</f>
        <v>6.5961580315342569</v>
      </c>
      <c r="AG136" s="6">
        <f ca="1">OFFSET(IND!AP$28,$E136,0)</f>
        <v>7.0158073419209686</v>
      </c>
      <c r="AH136" s="6">
        <f ca="1">OFFSET(IND!AQ$28,$E136,0)</f>
        <v>7.4161560372931863</v>
      </c>
      <c r="AJ136">
        <f t="shared" ca="1" si="7"/>
        <v>2.1286326169038996</v>
      </c>
    </row>
    <row r="137" spans="1:36">
      <c r="A137" s="26" t="s">
        <v>689</v>
      </c>
      <c r="C137" t="s">
        <v>731</v>
      </c>
      <c r="D137" t="s">
        <v>272</v>
      </c>
      <c r="E137" s="110">
        <f>MATCH(F137,IND!$D$29:$D$137,0)</f>
        <v>4</v>
      </c>
      <c r="F137" t="str">
        <f t="shared" ref="F137:F138" si="8">A137</f>
        <v>IFAMN</v>
      </c>
      <c r="G137" s="6">
        <f ca="1">OFFSET(IND!P$28,$E137,0)</f>
        <v>0.4587</v>
      </c>
      <c r="H137" s="6">
        <f ca="1">OFFSET(IND!Q$28,$E137,0)</f>
        <v>0.45965350011816469</v>
      </c>
      <c r="I137" s="6">
        <f ca="1">OFFSET(IND!R$28,$E137,0)</f>
        <v>0.44894404045862463</v>
      </c>
      <c r="J137" s="176">
        <f ca="1">OFFSET(IND!S$28,$E137,0)</f>
        <v>0.40775978603294205</v>
      </c>
      <c r="K137" s="6">
        <f ca="1">OFFSET(IND!T$28,$E137,0)</f>
        <v>0.41577732146701868</v>
      </c>
      <c r="L137" s="6">
        <f ca="1">OFFSET(IND!U$28,$E137,0)</f>
        <v>0.41243336013841014</v>
      </c>
      <c r="M137" s="6">
        <f ca="1">OFFSET(IND!V$28,$E137,0)</f>
        <v>0.41297873205425162</v>
      </c>
      <c r="N137" s="6">
        <f ca="1">OFFSET(IND!W$28,$E137,0)</f>
        <v>0.41557941060255432</v>
      </c>
      <c r="O137" s="176">
        <f ca="1">OFFSET(IND!X$28,$E137,0)</f>
        <v>0.4185915848812356</v>
      </c>
      <c r="P137" s="6">
        <f ca="1">OFFSET(IND!Y$28,$E137,0)</f>
        <v>0.43158823992981826</v>
      </c>
      <c r="Q137" s="6">
        <f ca="1">OFFSET(IND!Z$28,$E137,0)</f>
        <v>0.44304586406678148</v>
      </c>
      <c r="R137" s="6">
        <f ca="1">OFFSET(IND!AA$28,$E137,0)</f>
        <v>0.46765262788181944</v>
      </c>
      <c r="S137" s="6">
        <f ca="1">OFFSET(IND!AB$28,$E137,0)</f>
        <v>0.48639405269266761</v>
      </c>
      <c r="T137" s="6">
        <f ca="1">OFFSET(IND!AC$28,$E137,0)</f>
        <v>0.49892616154442493</v>
      </c>
      <c r="U137" s="6">
        <f ca="1">OFFSET(IND!AD$28,$E137,0)</f>
        <v>0.50947597021278324</v>
      </c>
      <c r="V137" s="6">
        <f ca="1">OFFSET(IND!AE$28,$E137,0)</f>
        <v>0.52101515589575398</v>
      </c>
      <c r="W137" s="6">
        <f ca="1">OFFSET(IND!AF$28,$E137,0)</f>
        <v>0.53546928030994834</v>
      </c>
      <c r="X137" s="6">
        <f ca="1">OFFSET(IND!AG$28,$E137,0)</f>
        <v>0.55296245885146467</v>
      </c>
      <c r="Y137" s="6">
        <f ca="1">OFFSET(IND!AH$28,$E137,0)</f>
        <v>0.59104815468278149</v>
      </c>
      <c r="Z137" s="6">
        <f ca="1">OFFSET(IND!AI$28,$E137,0)</f>
        <v>0.62389263464457456</v>
      </c>
      <c r="AA137" s="6">
        <f ca="1">OFFSET(IND!AJ$28,$E137,0)</f>
        <v>0.63706659740186899</v>
      </c>
      <c r="AB137" s="6">
        <f ca="1">OFFSET(IND!AK$28,$E137,0)</f>
        <v>0.65184696800009334</v>
      </c>
      <c r="AC137" s="6">
        <f ca="1">OFFSET(IND!AL$28,$E137,0)</f>
        <v>0.66076199959412774</v>
      </c>
      <c r="AD137" s="6">
        <f ca="1">OFFSET(IND!AM$28,$E137,0)</f>
        <v>0.68595033269374073</v>
      </c>
      <c r="AE137" s="6">
        <f ca="1">OFFSET(IND!AN$28,$E137,0)</f>
        <v>0.75692660849111559</v>
      </c>
      <c r="AF137" s="6">
        <f ca="1">OFFSET(IND!AO$28,$E137,0)</f>
        <v>0.81162958278291208</v>
      </c>
      <c r="AG137" s="6">
        <f ca="1">OFFSET(IND!AP$28,$E137,0)</f>
        <v>0.86326567049882141</v>
      </c>
      <c r="AH137" s="6">
        <f ca="1">OFFSET(IND!AQ$28,$E137,0)</f>
        <v>0.91252689848020385</v>
      </c>
      <c r="AJ137">
        <f t="shared" ca="1" si="7"/>
        <v>1.9893762774802788</v>
      </c>
    </row>
    <row r="138" spans="1:36">
      <c r="A138" s="26" t="s">
        <v>691</v>
      </c>
      <c r="C138" t="s">
        <v>731</v>
      </c>
      <c r="D138" t="s">
        <v>272</v>
      </c>
      <c r="E138" s="110">
        <f>MATCH(F138,IND!$D$29:$D$137,0)</f>
        <v>2</v>
      </c>
      <c r="F138" t="str">
        <f t="shared" si="8"/>
        <v>IPGMD</v>
      </c>
      <c r="G138" s="6">
        <f ca="1">OFFSET(IND!P$28,$E138,0)</f>
        <v>31</v>
      </c>
      <c r="H138" s="6">
        <f ca="1">OFFSET(IND!Q$28,$E138,0)</f>
        <v>30.822038664165241</v>
      </c>
      <c r="I138" s="6">
        <f ca="1">OFFSET(IND!R$28,$E138,0)</f>
        <v>30.425949170614519</v>
      </c>
      <c r="J138" s="176">
        <f ca="1">OFFSET(IND!S$28,$E138,0)</f>
        <v>23.066289237134932</v>
      </c>
      <c r="K138" s="6">
        <f ca="1">OFFSET(IND!T$28,$E138,0)</f>
        <v>31.434875229756319</v>
      </c>
      <c r="L138" s="6">
        <f ca="1">OFFSET(IND!U$28,$E138,0)</f>
        <v>31.573415569989201</v>
      </c>
      <c r="M138" s="6">
        <f ca="1">OFFSET(IND!V$28,$E138,0)</f>
        <v>31.102710112438359</v>
      </c>
      <c r="N138" s="6">
        <f ca="1">OFFSET(IND!W$28,$E138,0)</f>
        <v>30.888928386452051</v>
      </c>
      <c r="O138" s="176">
        <f ca="1">OFFSET(IND!X$28,$E138,0)</f>
        <v>30.684926369822374</v>
      </c>
      <c r="P138" s="6">
        <f ca="1">OFFSET(IND!Y$28,$E138,0)</f>
        <v>31.168617222991266</v>
      </c>
      <c r="Q138" s="6">
        <f ca="1">OFFSET(IND!Z$28,$E138,0)</f>
        <v>31.715440454878877</v>
      </c>
      <c r="R138" s="6">
        <f ca="1">OFFSET(IND!AA$28,$E138,0)</f>
        <v>32.314239579185639</v>
      </c>
      <c r="S138" s="6">
        <f ca="1">OFFSET(IND!AB$28,$E138,0)</f>
        <v>33.068761011591427</v>
      </c>
      <c r="T138" s="6">
        <f ca="1">OFFSET(IND!AC$28,$E138,0)</f>
        <v>33.986938655947448</v>
      </c>
      <c r="U138" s="6">
        <f ca="1">OFFSET(IND!AD$28,$E138,0)</f>
        <v>35.074004256760418</v>
      </c>
      <c r="V138" s="6">
        <f ca="1">OFFSET(IND!AE$28,$E138,0)</f>
        <v>36.209869462960278</v>
      </c>
      <c r="W138" s="6">
        <f ca="1">OFFSET(IND!AF$28,$E138,0)</f>
        <v>37.445635195629862</v>
      </c>
      <c r="X138" s="6">
        <f ca="1">OFFSET(IND!AG$28,$E138,0)</f>
        <v>38.830733643823713</v>
      </c>
      <c r="Y138" s="6">
        <f ca="1">OFFSET(IND!AH$28,$E138,0)</f>
        <v>40.335206045363741</v>
      </c>
      <c r="Z138" s="6">
        <f ca="1">OFFSET(IND!AI$28,$E138,0)</f>
        <v>41.926476582534924</v>
      </c>
      <c r="AA138" s="6">
        <f ca="1">OFFSET(IND!AJ$28,$E138,0)</f>
        <v>43.594870556314227</v>
      </c>
      <c r="AB138" s="6">
        <f ca="1">OFFSET(IND!AK$28,$E138,0)</f>
        <v>45.362734427544432</v>
      </c>
      <c r="AC138" s="6">
        <f ca="1">OFFSET(IND!AL$28,$E138,0)</f>
        <v>47.157090174530481</v>
      </c>
      <c r="AD138" s="6">
        <f ca="1">OFFSET(IND!AM$28,$E138,0)</f>
        <v>48.958897438161003</v>
      </c>
      <c r="AE138" s="6">
        <f ca="1">OFFSET(IND!AN$28,$E138,0)</f>
        <v>58.633451765595545</v>
      </c>
      <c r="AF138" s="6">
        <f ca="1">OFFSET(IND!AO$28,$E138,0)</f>
        <v>70.264663205502544</v>
      </c>
      <c r="AG138" s="6">
        <f ca="1">OFFSET(IND!AP$28,$E138,0)</f>
        <v>91.244319454098502</v>
      </c>
      <c r="AH138" s="6">
        <f ca="1">OFFSET(IND!AQ$28,$E138,0)</f>
        <v>112.55008522144044</v>
      </c>
      <c r="AJ138">
        <f t="shared" ca="1" si="7"/>
        <v>3.6306479103690465</v>
      </c>
    </row>
    <row r="139" spans="1:36">
      <c r="E139" s="110"/>
      <c r="G139" s="6"/>
      <c r="H139" s="6"/>
      <c r="I139" s="6"/>
      <c r="J139" s="176"/>
      <c r="K139" s="6"/>
      <c r="L139" s="6"/>
      <c r="M139" s="6"/>
      <c r="N139" s="6"/>
      <c r="O139" s="176"/>
      <c r="P139" s="6"/>
      <c r="Q139" s="6"/>
      <c r="R139" s="6"/>
      <c r="S139" s="6"/>
      <c r="T139" s="6"/>
      <c r="U139" s="6"/>
      <c r="V139" s="6"/>
      <c r="W139" s="6"/>
      <c r="X139" s="6"/>
      <c r="Y139" s="6"/>
      <c r="Z139" s="6"/>
      <c r="AA139" s="6"/>
      <c r="AB139" s="6"/>
      <c r="AC139" s="6"/>
      <c r="AD139" s="6"/>
      <c r="AE139" s="6"/>
      <c r="AF139" s="6"/>
      <c r="AG139" s="6"/>
      <c r="AH139" s="6"/>
    </row>
    <row r="140" spans="1:36">
      <c r="E140" s="110"/>
      <c r="G140" s="6"/>
      <c r="H140" s="6"/>
      <c r="I140" s="6"/>
      <c r="J140" s="176"/>
      <c r="K140" s="6"/>
      <c r="L140" s="6"/>
      <c r="M140" s="6"/>
      <c r="N140" s="6"/>
      <c r="O140" s="176"/>
      <c r="P140" s="6"/>
      <c r="Q140" s="6"/>
      <c r="R140" s="6"/>
      <c r="S140" s="6"/>
      <c r="T140" s="6"/>
      <c r="U140" s="6"/>
      <c r="V140" s="6"/>
      <c r="W140" s="6"/>
      <c r="X140" s="6"/>
      <c r="Y140" s="6"/>
      <c r="Z140" s="6"/>
      <c r="AA140" s="6"/>
      <c r="AB140" s="6"/>
      <c r="AC140" s="6"/>
      <c r="AD140" s="6"/>
      <c r="AE140" s="6"/>
      <c r="AF140" s="6"/>
      <c r="AG140" s="6"/>
      <c r="AH140" s="6"/>
    </row>
    <row r="141" spans="1:36">
      <c r="E141" s="110"/>
      <c r="G141" s="6"/>
      <c r="H141" s="6"/>
      <c r="I141" s="6"/>
      <c r="J141" s="176"/>
      <c r="K141" s="6"/>
      <c r="L141" s="6"/>
      <c r="M141" s="6"/>
      <c r="N141" s="6"/>
      <c r="O141" s="176"/>
      <c r="P141" s="6"/>
      <c r="Q141" s="6"/>
      <c r="R141" s="6"/>
      <c r="S141" s="6"/>
      <c r="T141" s="6"/>
      <c r="U141" s="6"/>
      <c r="V141" s="6"/>
      <c r="W141" s="6"/>
      <c r="X141" s="6"/>
      <c r="Y141" s="6"/>
      <c r="Z141" s="6"/>
      <c r="AA141" s="6"/>
      <c r="AB141" s="6"/>
      <c r="AC141" s="6"/>
      <c r="AD141" s="6"/>
      <c r="AE141" s="6"/>
      <c r="AF141" s="6"/>
      <c r="AG141" s="6"/>
      <c r="AH141" s="6"/>
    </row>
    <row r="142" spans="1:36">
      <c r="E142" s="110"/>
      <c r="G142" s="6"/>
      <c r="H142" s="6"/>
      <c r="I142" s="6"/>
      <c r="J142" s="176"/>
      <c r="K142" s="6"/>
      <c r="L142" s="6"/>
      <c r="M142" s="6"/>
      <c r="N142" s="6"/>
      <c r="O142" s="176"/>
      <c r="P142" s="6"/>
      <c r="Q142" s="6"/>
      <c r="R142" s="6"/>
      <c r="S142" s="6"/>
      <c r="T142" s="6"/>
      <c r="U142" s="6"/>
      <c r="V142" s="6"/>
      <c r="W142" s="6"/>
      <c r="X142" s="6"/>
      <c r="Y142" s="6"/>
      <c r="Z142" s="6"/>
      <c r="AA142" s="6"/>
      <c r="AB142" s="6"/>
      <c r="AC142" s="6"/>
      <c r="AD142" s="6"/>
      <c r="AE142" s="6"/>
      <c r="AF142" s="6"/>
      <c r="AG142" s="6"/>
      <c r="AH142" s="6"/>
    </row>
    <row r="143" spans="1:36">
      <c r="E143" s="110"/>
      <c r="G143" s="6"/>
      <c r="H143" s="6"/>
      <c r="I143" s="6"/>
      <c r="J143" s="176"/>
      <c r="K143" s="6"/>
      <c r="L143" s="6"/>
      <c r="M143" s="6"/>
      <c r="N143" s="6"/>
      <c r="O143" s="176"/>
      <c r="P143" s="6"/>
      <c r="Q143" s="6"/>
      <c r="R143" s="6"/>
      <c r="S143" s="6"/>
      <c r="T143" s="6"/>
      <c r="U143" s="6"/>
      <c r="V143" s="6"/>
      <c r="W143" s="6"/>
      <c r="X143" s="6"/>
      <c r="Y143" s="6"/>
      <c r="Z143" s="6"/>
      <c r="AA143" s="6"/>
      <c r="AB143" s="6"/>
      <c r="AC143" s="6"/>
      <c r="AD143" s="6"/>
      <c r="AE143" s="6"/>
      <c r="AF143" s="6"/>
      <c r="AG143" s="6"/>
      <c r="AH143" s="6"/>
    </row>
    <row r="144" spans="1:36">
      <c r="E144" s="110"/>
      <c r="G144" s="6"/>
      <c r="H144" s="6"/>
      <c r="I144" s="6"/>
      <c r="J144" s="176"/>
      <c r="K144" s="6"/>
      <c r="L144" s="6"/>
      <c r="M144" s="6"/>
      <c r="N144" s="6"/>
      <c r="O144" s="176"/>
      <c r="P144" s="6"/>
      <c r="Q144" s="6"/>
      <c r="R144" s="6"/>
      <c r="S144" s="6"/>
      <c r="T144" s="6"/>
      <c r="U144" s="6"/>
      <c r="V144" s="6"/>
      <c r="W144" s="6"/>
      <c r="X144" s="6"/>
      <c r="Y144" s="6"/>
      <c r="Z144" s="6"/>
      <c r="AA144" s="6"/>
      <c r="AB144" s="6"/>
      <c r="AC144" s="6"/>
      <c r="AD144" s="6"/>
      <c r="AE144" s="6"/>
      <c r="AF144" s="6"/>
      <c r="AG144" s="6"/>
      <c r="AH144" s="6"/>
    </row>
    <row r="145" spans="5:34">
      <c r="E145" s="110"/>
      <c r="G145" s="6"/>
      <c r="H145" s="6"/>
      <c r="I145" s="6"/>
      <c r="J145" s="176"/>
      <c r="K145" s="6"/>
      <c r="L145" s="6"/>
      <c r="M145" s="6"/>
      <c r="N145" s="6"/>
      <c r="O145" s="176"/>
      <c r="P145" s="6"/>
      <c r="Q145" s="6"/>
      <c r="R145" s="6"/>
      <c r="S145" s="6"/>
      <c r="T145" s="6"/>
      <c r="U145" s="6"/>
      <c r="V145" s="6"/>
      <c r="W145" s="6"/>
      <c r="X145" s="6"/>
      <c r="Y145" s="6"/>
      <c r="Z145" s="6"/>
      <c r="AA145" s="6"/>
      <c r="AB145" s="6"/>
      <c r="AC145" s="6"/>
      <c r="AD145" s="6"/>
      <c r="AE145" s="6"/>
      <c r="AF145" s="6"/>
      <c r="AG145" s="6"/>
      <c r="AH145" s="6"/>
    </row>
    <row r="146" spans="5:34">
      <c r="E146" s="110"/>
      <c r="G146" s="6"/>
      <c r="H146" s="6"/>
      <c r="I146" s="6"/>
      <c r="J146" s="176"/>
      <c r="K146" s="6"/>
      <c r="L146" s="6"/>
      <c r="M146" s="6"/>
      <c r="N146" s="6"/>
      <c r="O146" s="176"/>
      <c r="P146" s="6"/>
      <c r="Q146" s="6"/>
      <c r="R146" s="6"/>
      <c r="S146" s="6"/>
      <c r="T146" s="6"/>
      <c r="U146" s="6"/>
      <c r="V146" s="6"/>
      <c r="W146" s="6"/>
      <c r="X146" s="6"/>
      <c r="Y146" s="6"/>
      <c r="Z146" s="6"/>
      <c r="AA146" s="6"/>
      <c r="AB146" s="6"/>
      <c r="AC146" s="6"/>
      <c r="AD146" s="6"/>
      <c r="AE146" s="6"/>
      <c r="AF146" s="6"/>
      <c r="AG146" s="6"/>
      <c r="AH146" s="6"/>
    </row>
    <row r="147" spans="5:34">
      <c r="E147" s="110"/>
      <c r="G147" s="6"/>
      <c r="H147" s="6"/>
      <c r="I147" s="6"/>
      <c r="J147" s="176"/>
      <c r="K147" s="6"/>
      <c r="L147" s="6"/>
      <c r="M147" s="6"/>
      <c r="N147" s="6"/>
      <c r="O147" s="176"/>
      <c r="P147" s="6"/>
      <c r="Q147" s="6"/>
      <c r="R147" s="6"/>
      <c r="S147" s="6"/>
      <c r="T147" s="6"/>
      <c r="U147" s="6"/>
      <c r="V147" s="6"/>
      <c r="W147" s="6"/>
      <c r="X147" s="6"/>
      <c r="Y147" s="6"/>
      <c r="Z147" s="6"/>
      <c r="AA147" s="6"/>
      <c r="AB147" s="6"/>
      <c r="AC147" s="6"/>
      <c r="AD147" s="6"/>
      <c r="AE147" s="6"/>
      <c r="AF147" s="6"/>
      <c r="AG147" s="6"/>
      <c r="AH147" s="6"/>
    </row>
  </sheetData>
  <phoneticPr fontId="16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Q26"/>
  <sheetViews>
    <sheetView workbookViewId="0">
      <selection activeCell="J22" sqref="J22:J26"/>
    </sheetView>
  </sheetViews>
  <sheetFormatPr defaultColWidth="9.140625" defaultRowHeight="15"/>
  <cols>
    <col min="2" max="2" width="13.140625" customWidth="1"/>
    <col min="3" max="3" width="25.42578125" customWidth="1"/>
    <col min="4" max="4" width="21.85546875" customWidth="1"/>
  </cols>
  <sheetData>
    <row r="1" spans="1:42">
      <c r="A1" t="str">
        <f>IF(AGR,"TS DATA","")</f>
        <v>TS DATA</v>
      </c>
      <c r="B1" t="s">
        <v>17</v>
      </c>
    </row>
    <row r="2" spans="1:42" ht="15.75" thickBot="1">
      <c r="A2" t="s">
        <v>16</v>
      </c>
      <c r="B2" s="369" t="s">
        <v>185</v>
      </c>
      <c r="C2" s="369"/>
    </row>
    <row r="3" spans="1:42">
      <c r="A3" t="s">
        <v>16</v>
      </c>
    </row>
    <row r="4" spans="1:42" ht="15.75" thickBot="1">
      <c r="A4" t="s">
        <v>16</v>
      </c>
      <c r="B4" s="369" t="s">
        <v>11</v>
      </c>
      <c r="C4" s="369"/>
      <c r="D4" s="42"/>
      <c r="E4" s="9"/>
      <c r="F4" s="9"/>
      <c r="G4" s="9"/>
      <c r="H4" s="9"/>
      <c r="I4" s="9"/>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264</v>
      </c>
    </row>
    <row r="6" spans="1:42">
      <c r="A6" t="s">
        <v>16</v>
      </c>
      <c r="B6" s="18" t="s">
        <v>126</v>
      </c>
      <c r="C6" t="s">
        <v>1</v>
      </c>
      <c r="D6">
        <f>MATCH(B6,Drivers!A7:A25,0)</f>
        <v>1</v>
      </c>
      <c r="J6" s="107" cm="1">
        <f t="array" ref="J6">INDEX(Drivers!$C$7:$AG$25,$D$6,MATCH(J$4,Drivers!$C$5:$AG$5,0))</f>
        <v>106.45368114150588</v>
      </c>
      <c r="K6" s="107" cm="1">
        <f t="array" ref="K6">INDEX(Drivers!$C$7:$AG$25,$D$6,MATCH(K$4,Drivers!$C$5:$AG$5,0))</f>
        <v>104.83293209544796</v>
      </c>
      <c r="L6" s="107" cm="1">
        <f t="array" ref="L6">INDEX(Drivers!$C$7:$AG$25,$D$6,MATCH(L$4,Drivers!$C$5:$AG$5,0))</f>
        <v>103.19</v>
      </c>
      <c r="M6" s="107" cm="1">
        <f t="array" ref="M6">INDEX(Drivers!$C$7:$AG$25,$D$6,MATCH(M$4,Drivers!$C$5:$AG$5,0))</f>
        <v>101.98</v>
      </c>
      <c r="N6" s="107" cm="1">
        <f t="array" ref="N6">INDEX(Drivers!$C$7:$AG$25,$D$6,MATCH(N$4,Drivers!$C$5:$AG$5,0))</f>
        <v>106.77618269276007</v>
      </c>
      <c r="O6" s="107" cm="1">
        <f t="array" ref="O6">INDEX(Drivers!$C$7:$AG$25,$D$6,MATCH(O$4,Drivers!$C$5:$AG$5,0))</f>
        <v>108.81604147435188</v>
      </c>
      <c r="P6" s="107" cm="1">
        <f t="array" ref="P6">INDEX(Drivers!$C$7:$AG$25,$D$6,MATCH(P$4,Drivers!$C$5:$AG$5,0))</f>
        <v>109.03367355730057</v>
      </c>
      <c r="Q6" s="107" cm="1">
        <f t="array" ref="Q6">INDEX(Drivers!$C$7:$AG$25,$D$6,MATCH(Q$4,Drivers!$C$5:$AG$5,0))</f>
        <v>110.12401029287358</v>
      </c>
      <c r="R6" s="107" cm="1">
        <f t="array" ref="R6">INDEX(Drivers!$C$7:$AG$25,$D$6,MATCH(R$4,Drivers!$C$5:$AG$5,0))</f>
        <v>111.33537440609517</v>
      </c>
      <c r="S6" s="107" cm="1">
        <f t="array" ref="S6">INDEX(Drivers!$C$7:$AG$25,$D$6,MATCH(S$4,Drivers!$C$5:$AG$5,0))</f>
        <v>112.8940696477805</v>
      </c>
      <c r="T6" s="107" cm="1">
        <f t="array" ref="T6">INDEX(Drivers!$C$7:$AG$25,$D$6,MATCH(T$4,Drivers!$C$5:$AG$5,0))</f>
        <v>114.70037476214499</v>
      </c>
      <c r="U6" s="107" cm="1">
        <f t="array" ref="U6">INDEX(Drivers!$C$7:$AG$25,$D$6,MATCH(U$4,Drivers!$C$5:$AG$5,0))</f>
        <v>116.7649815078636</v>
      </c>
      <c r="V6" s="107" cm="1">
        <f t="array" ref="V6">INDEX(Drivers!$C$7:$AG$25,$D$6,MATCH(V$4,Drivers!$C$5:$AG$5,0))</f>
        <v>119.33751514287142</v>
      </c>
      <c r="W6" s="107" cm="1">
        <f t="array" ref="W6">INDEX(Drivers!$C$7:$AG$25,$D$6,MATCH(W$4,Drivers!$C$5:$AG$5,0))</f>
        <v>122.46634842347326</v>
      </c>
      <c r="X6" s="107" cm="1">
        <f t="array" ref="X6">INDEX(Drivers!$C$7:$AG$25,$D$6,MATCH(X$4,Drivers!$C$5:$AG$5,0))</f>
        <v>126.06421579250767</v>
      </c>
      <c r="Y6" s="107" cm="1">
        <f t="array" ref="Y6">INDEX(Drivers!$C$7:$AG$25,$D$6,MATCH(Y$4,Drivers!$C$5:$AG$5,0))</f>
        <v>129.8559171888065</v>
      </c>
      <c r="Z6" s="107" cm="1">
        <f t="array" ref="Z6">INDEX(Drivers!$C$7:$AG$25,$D$6,MATCH(Z$4,Drivers!$C$5:$AG$5,0))</f>
        <v>133.87855551713014</v>
      </c>
      <c r="AA6" s="107" cm="1">
        <f t="array" ref="AA6">INDEX(Drivers!$C$7:$AG$25,$D$6,MATCH(AA$4,Drivers!$C$5:$AG$5,0))</f>
        <v>138.47941603601245</v>
      </c>
      <c r="AB6" s="107" cm="1">
        <f t="array" ref="AB6">INDEX(Drivers!$C$7:$AG$25,$D$6,MATCH(AB$4,Drivers!$C$5:$AG$5,0))</f>
        <v>143.35454149130049</v>
      </c>
      <c r="AC6" s="107" cm="1">
        <f t="array" ref="AC6">INDEX(Drivers!$C$7:$AG$25,$D$6,MATCH(AC$4,Drivers!$C$5:$AG$5,0))</f>
        <v>148.52153545006567</v>
      </c>
      <c r="AD6" s="107" cm="1">
        <f t="array" ref="AD6">INDEX(Drivers!$C$7:$AG$25,$D$6,MATCH(AD$4,Drivers!$C$5:$AG$5,0))</f>
        <v>154.01787462641707</v>
      </c>
      <c r="AE6" s="107" cm="1">
        <f t="array" ref="AE6">INDEX(Drivers!$C$7:$AG$25,$D$6,MATCH(AE$4,Drivers!$C$5:$AG$5,0))</f>
        <v>159.77135760162864</v>
      </c>
      <c r="AF6" s="107" cm="1">
        <f t="array" ref="AF6">INDEX(Drivers!$C$7:$AG$25,$D$6,MATCH(AF$4,Drivers!$C$5:$AG$5,0))</f>
        <v>165.61347836440339</v>
      </c>
      <c r="AG6" s="107" cm="1">
        <f t="array" ref="AG6">INDEX(Drivers!$C$7:$AG$25,$D$6,MATCH(AG$4,Drivers!$C$5:$AG$5,0))</f>
        <v>171.47762048595308</v>
      </c>
      <c r="AH6" s="107" cm="1">
        <f t="array" ref="AH6">INDEX(Drivers!$C$7:$AG$25,$D$6,MATCH(AH$4,Drivers!$C$5:$AG$5,0))</f>
        <v>203.42521702176563</v>
      </c>
      <c r="AI6" s="107" cm="1">
        <f t="array" ref="AI6">INDEX(Drivers!$C$7:$AG$25,$D$6,MATCH(AI$4,Drivers!$C$5:$AG$5,0))</f>
        <v>241.92531126525446</v>
      </c>
      <c r="AJ6" s="107" cm="1">
        <f t="array" ref="AJ6">INDEX(Drivers!$C$7:$AK$25,$D$6,MATCH(AJ$4,Drivers!$C$5:$AK$5,0))</f>
        <v>314.65951769462703</v>
      </c>
      <c r="AK6" s="107" cm="1">
        <f t="array" ref="AK6">INDEX(Drivers!$C$7:$AK$25,$D$6,MATCH(AK$4,Drivers!$C$5:$AK$5,0))</f>
        <v>342.85263739891138</v>
      </c>
      <c r="AL6" s="107"/>
      <c r="AM6" s="17"/>
      <c r="AN6" s="17"/>
      <c r="AO6" s="17"/>
      <c r="AP6" s="17"/>
    </row>
    <row r="7" spans="1:42">
      <c r="A7" t="s">
        <v>16</v>
      </c>
      <c r="B7" s="18"/>
    </row>
    <row r="8" spans="1:42" ht="15.75" thickBot="1">
      <c r="A8" t="s">
        <v>16</v>
      </c>
      <c r="B8" s="369" t="s">
        <v>12</v>
      </c>
      <c r="C8" s="369"/>
      <c r="E8">
        <v>2020</v>
      </c>
      <c r="F8">
        <v>2030</v>
      </c>
      <c r="G8">
        <v>2050</v>
      </c>
    </row>
    <row r="9" spans="1:42">
      <c r="A9" t="s">
        <v>16</v>
      </c>
      <c r="B9" s="18"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8"/>
    </row>
    <row r="17" spans="1:43">
      <c r="A17" t="s">
        <v>16</v>
      </c>
      <c r="B17" s="18"/>
    </row>
    <row r="18" spans="1:43">
      <c r="A18" t="s">
        <v>16</v>
      </c>
      <c r="B18" s="14"/>
    </row>
    <row r="19" spans="1:43">
      <c r="A19" t="s">
        <v>16</v>
      </c>
      <c r="B19" s="14"/>
    </row>
    <row r="20" spans="1:43">
      <c r="A20" t="s">
        <v>16</v>
      </c>
    </row>
    <row r="21" spans="1:43" ht="15.75" thickBot="1">
      <c r="A21" t="s">
        <v>16</v>
      </c>
      <c r="C21" s="13" t="s">
        <v>269</v>
      </c>
      <c r="D21" s="10"/>
      <c r="E21" s="10"/>
      <c r="F21" s="10"/>
      <c r="G21" s="10"/>
      <c r="H21" s="10"/>
      <c r="I21" s="11"/>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 "")</f>
        <v/>
      </c>
      <c r="B22" t="str">
        <f>[3]AGR!$B28</f>
        <v>AH</v>
      </c>
      <c r="C22" t="s">
        <v>735</v>
      </c>
      <c r="D22" s="15" t="s">
        <v>289</v>
      </c>
      <c r="E22" s="16"/>
      <c r="F22" s="16"/>
      <c r="G22" s="16"/>
      <c r="H22" s="16"/>
      <c r="I22" s="15"/>
      <c r="J22" s="3">
        <f>SUMIF('BY-DMD'!$H$5:$H$9,D22,'BY-DMD'!$I$5:$I$9)</f>
        <v>2.5043970166379799</v>
      </c>
      <c r="K22" s="3">
        <f>K$6/J$6*J22*K$9</f>
        <v>2.4662677661307026</v>
      </c>
      <c r="L22" s="3">
        <f t="shared" ref="L22:AK22" si="1">L$6/K$6*K22*L$9</f>
        <v>2.4276166439312807</v>
      </c>
      <c r="M22" s="3">
        <f t="shared" si="1"/>
        <v>2.3991505509071809</v>
      </c>
      <c r="N22" s="3">
        <f t="shared" si="1"/>
        <v>2.5119840903226232</v>
      </c>
      <c r="O22" s="3">
        <f t="shared" si="1"/>
        <v>2.5599731893580109</v>
      </c>
      <c r="P22" s="3">
        <f t="shared" si="1"/>
        <v>2.5650931357367268</v>
      </c>
      <c r="Q22" s="3">
        <f t="shared" si="1"/>
        <v>2.5907440670940942</v>
      </c>
      <c r="R22" s="3">
        <f t="shared" si="1"/>
        <v>2.6192422518321288</v>
      </c>
      <c r="S22" s="3">
        <f t="shared" si="1"/>
        <v>2.6559116433577787</v>
      </c>
      <c r="T22" s="3">
        <f t="shared" si="1"/>
        <v>2.6984062296515035</v>
      </c>
      <c r="U22" s="3">
        <f t="shared" si="1"/>
        <v>2.7469775417852307</v>
      </c>
      <c r="V22" s="3">
        <f t="shared" si="1"/>
        <v>2.8074981878693284</v>
      </c>
      <c r="W22" s="3">
        <f t="shared" si="1"/>
        <v>2.88110617069785</v>
      </c>
      <c r="X22" s="3">
        <f t="shared" si="1"/>
        <v>2.9657485072394256</v>
      </c>
      <c r="Y22" s="3">
        <f t="shared" si="1"/>
        <v>3.0549509243193032</v>
      </c>
      <c r="Z22" s="3">
        <f t="shared" si="1"/>
        <v>3.1495862936220882</v>
      </c>
      <c r="AA22" s="3">
        <f t="shared" si="1"/>
        <v>3.2578247428133373</v>
      </c>
      <c r="AB22" s="3">
        <f t="shared" si="1"/>
        <v>3.3725154657177883</v>
      </c>
      <c r="AC22" s="3">
        <f t="shared" si="1"/>
        <v>3.4940725985154502</v>
      </c>
      <c r="AD22" s="3">
        <f t="shared" si="1"/>
        <v>3.6233778070162947</v>
      </c>
      <c r="AE22" s="3">
        <f t="shared" si="1"/>
        <v>3.7587325025410436</v>
      </c>
      <c r="AF22" s="3">
        <f t="shared" si="1"/>
        <v>3.8961724637734161</v>
      </c>
      <c r="AG22" s="3">
        <f t="shared" si="1"/>
        <v>4.0341304928135608</v>
      </c>
      <c r="AH22" s="3">
        <f t="shared" si="1"/>
        <v>4.7857199596605406</v>
      </c>
      <c r="AI22" s="3">
        <f t="shared" si="1"/>
        <v>5.6914615002983577</v>
      </c>
      <c r="AJ22" s="3">
        <f t="shared" si="1"/>
        <v>7.4025843814988459</v>
      </c>
      <c r="AK22" s="3">
        <f t="shared" si="1"/>
        <v>8.0658471650870585</v>
      </c>
      <c r="AL22" s="3"/>
      <c r="AM22" s="3"/>
      <c r="AN22" s="3"/>
      <c r="AO22" s="3"/>
      <c r="AP22" s="3"/>
      <c r="AQ22" s="3"/>
    </row>
    <row r="23" spans="1:43">
      <c r="A23" t="str">
        <f>IF('[3]TS BYDem'!$A11="*","*", "")</f>
        <v/>
      </c>
      <c r="B23" t="str">
        <f>[3]AGR!$B29</f>
        <v>AP</v>
      </c>
      <c r="C23" t="s">
        <v>736</v>
      </c>
      <c r="D23" s="15" t="s">
        <v>292</v>
      </c>
      <c r="E23" s="16"/>
      <c r="F23" s="16"/>
      <c r="G23" s="16"/>
      <c r="H23" s="16"/>
      <c r="I23" s="15"/>
      <c r="J23" s="3">
        <f>SUMIF('BY-DMD'!$H$5:$H$9,D23,'BY-DMD'!$I$5:$I$9)</f>
        <v>4.6040183871857696</v>
      </c>
      <c r="K23" s="3">
        <f>K$6/J$6*J23*K$9</f>
        <v>4.5339225640160148</v>
      </c>
      <c r="L23" s="3">
        <f t="shared" ref="L23:AK23" si="2">L$6/K$6*K23*L$9</f>
        <v>4.4628673454906425</v>
      </c>
      <c r="M23" s="3">
        <f t="shared" si="2"/>
        <v>4.4105360198966537</v>
      </c>
      <c r="N23" s="3">
        <f t="shared" si="2"/>
        <v>4.6179662662628349</v>
      </c>
      <c r="O23" s="3">
        <f t="shared" si="2"/>
        <v>4.706188178713445</v>
      </c>
      <c r="P23" s="3">
        <f t="shared" si="2"/>
        <v>4.7156005550708722</v>
      </c>
      <c r="Q23" s="3">
        <f t="shared" si="2"/>
        <v>4.7627565606215807</v>
      </c>
      <c r="R23" s="3">
        <f t="shared" si="2"/>
        <v>4.8151468827884178</v>
      </c>
      <c r="S23" s="3">
        <f t="shared" si="2"/>
        <v>4.8825589391474562</v>
      </c>
      <c r="T23" s="3">
        <f t="shared" si="2"/>
        <v>4.9606798821738156</v>
      </c>
      <c r="U23" s="3">
        <f t="shared" si="2"/>
        <v>5.0499721200529439</v>
      </c>
      <c r="V23" s="3">
        <f t="shared" si="2"/>
        <v>5.161231702908383</v>
      </c>
      <c r="W23" s="3">
        <f t="shared" si="2"/>
        <v>5.2965507055005165</v>
      </c>
      <c r="X23" s="3">
        <f t="shared" si="2"/>
        <v>5.452154977180621</v>
      </c>
      <c r="Y23" s="3">
        <f t="shared" si="2"/>
        <v>5.6161423824078076</v>
      </c>
      <c r="Z23" s="3">
        <f t="shared" si="2"/>
        <v>5.7901175858014957</v>
      </c>
      <c r="AA23" s="3">
        <f t="shared" si="2"/>
        <v>5.9891003377239391</v>
      </c>
      <c r="AB23" s="3">
        <f t="shared" si="2"/>
        <v>6.199944781948914</v>
      </c>
      <c r="AC23" s="3">
        <f t="shared" si="2"/>
        <v>6.4234122556665278</v>
      </c>
      <c r="AD23" s="3">
        <f t="shared" si="2"/>
        <v>6.6611235903877173</v>
      </c>
      <c r="AE23" s="3">
        <f t="shared" si="2"/>
        <v>6.9099561448300859</v>
      </c>
      <c r="AF23" s="3">
        <f t="shared" si="2"/>
        <v>7.1626221975541906</v>
      </c>
      <c r="AG23" s="3">
        <f t="shared" si="2"/>
        <v>7.4162406526717444</v>
      </c>
      <c r="AH23" s="3">
        <f t="shared" si="2"/>
        <v>8.7979431950361953</v>
      </c>
      <c r="AI23" s="3">
        <f t="shared" si="2"/>
        <v>10.463034903511614</v>
      </c>
      <c r="AJ23" s="3">
        <f t="shared" si="2"/>
        <v>13.608718736962746</v>
      </c>
      <c r="AK23" s="3">
        <f t="shared" si="2"/>
        <v>14.828043800396795</v>
      </c>
      <c r="AL23" s="3"/>
      <c r="AM23" s="3"/>
      <c r="AN23" s="3"/>
      <c r="AO23" s="3"/>
      <c r="AP23" s="3"/>
      <c r="AQ23" s="3"/>
    </row>
    <row r="24" spans="1:43">
      <c r="A24" t="str">
        <f>IF('[3]TS BYDem'!$A12="*","*", "")</f>
        <v/>
      </c>
      <c r="B24" t="str">
        <f>[3]AGR!$B30</f>
        <v>AT</v>
      </c>
      <c r="C24" t="s">
        <v>737</v>
      </c>
      <c r="D24" s="15" t="s">
        <v>293</v>
      </c>
      <c r="E24" s="16"/>
      <c r="F24" s="16"/>
      <c r="G24" s="16"/>
      <c r="H24" s="16"/>
      <c r="I24" s="15"/>
      <c r="J24" s="3">
        <f>SUMIF('BY-DMD'!$H$5:$H$9,D24,'BY-DMD'!$I$5:$I$9)</f>
        <v>7.9249894633578597</v>
      </c>
      <c r="K24" s="3">
        <f>K$6/J$6*J24*K$9</f>
        <v>7.8043321129024763</v>
      </c>
      <c r="L24" s="3">
        <f t="shared" ref="L24:AK24" si="3">L$6/K$6*K24*L$9</f>
        <v>7.6820233359224668</v>
      </c>
      <c r="M24" s="3">
        <f t="shared" si="3"/>
        <v>7.5919443724912608</v>
      </c>
      <c r="N24" s="3">
        <f t="shared" si="3"/>
        <v>7.9489982281859044</v>
      </c>
      <c r="O24" s="3">
        <f t="shared" si="3"/>
        <v>8.1008563807411385</v>
      </c>
      <c r="P24" s="3">
        <f t="shared" si="3"/>
        <v>8.1170580935026209</v>
      </c>
      <c r="Q24" s="3">
        <f t="shared" si="3"/>
        <v>8.1982286744376474</v>
      </c>
      <c r="R24" s="3">
        <f t="shared" si="3"/>
        <v>8.2884091898564609</v>
      </c>
      <c r="S24" s="3">
        <f t="shared" si="3"/>
        <v>8.4044469185144521</v>
      </c>
      <c r="T24" s="3">
        <f t="shared" si="3"/>
        <v>8.5389180692106841</v>
      </c>
      <c r="U24" s="3">
        <f t="shared" si="3"/>
        <v>8.6926185944564764</v>
      </c>
      <c r="V24" s="3">
        <f t="shared" si="3"/>
        <v>8.8841319525006242</v>
      </c>
      <c r="W24" s="3">
        <f t="shared" si="3"/>
        <v>9.1170592737119254</v>
      </c>
      <c r="X24" s="3">
        <f t="shared" si="3"/>
        <v>9.3849040366586873</v>
      </c>
      <c r="Y24" s="3">
        <f t="shared" si="3"/>
        <v>9.6671788560134466</v>
      </c>
      <c r="Z24" s="3">
        <f t="shared" si="3"/>
        <v>9.9666458732647154</v>
      </c>
      <c r="AA24" s="3">
        <f t="shared" si="3"/>
        <v>10.309158886845278</v>
      </c>
      <c r="AB24" s="3">
        <f t="shared" si="3"/>
        <v>10.672089669993571</v>
      </c>
      <c r="AC24" s="3">
        <f t="shared" si="3"/>
        <v>11.056748727729831</v>
      </c>
      <c r="AD24" s="3">
        <f t="shared" si="3"/>
        <v>11.465926029938148</v>
      </c>
      <c r="AE24" s="3">
        <f t="shared" si="3"/>
        <v>11.894246511364718</v>
      </c>
      <c r="AF24" s="3">
        <f t="shared" si="3"/>
        <v>12.329165670497511</v>
      </c>
      <c r="AG24" s="3">
        <f t="shared" si="3"/>
        <v>12.765724219028481</v>
      </c>
      <c r="AH24" s="3">
        <f t="shared" si="3"/>
        <v>15.14407659924699</v>
      </c>
      <c r="AI24" s="3">
        <f t="shared" si="3"/>
        <v>18.010232451690982</v>
      </c>
      <c r="AJ24" s="3">
        <f t="shared" si="3"/>
        <v>23.424961312144923</v>
      </c>
      <c r="AK24" s="3">
        <f t="shared" si="3"/>
        <v>25.523810071528274</v>
      </c>
      <c r="AL24" s="3"/>
      <c r="AM24" s="3"/>
      <c r="AN24" s="3"/>
      <c r="AO24" s="3"/>
      <c r="AP24" s="3"/>
      <c r="AQ24" s="3"/>
    </row>
    <row r="25" spans="1:43">
      <c r="A25" t="str">
        <f>IF('[3]TS BYDem'!$A13="*","*", "")</f>
        <v/>
      </c>
      <c r="B25" t="str">
        <f>[3]AGR!$B31</f>
        <v>AI</v>
      </c>
      <c r="C25" t="s">
        <v>738</v>
      </c>
      <c r="D25" s="15" t="s">
        <v>290</v>
      </c>
      <c r="E25" s="16"/>
      <c r="F25" s="16"/>
      <c r="G25" s="16"/>
      <c r="H25" s="16"/>
      <c r="I25" s="15"/>
      <c r="J25" s="3">
        <f>SUMIF('BY-DMD'!$H$5:$H$9,D25,'BY-DMD'!$I$5:$I$9)</f>
        <v>5.7709645233647997</v>
      </c>
      <c r="K25" s="3">
        <f>K$6/J$6*J25*K$9</f>
        <v>5.6831020357008502</v>
      </c>
      <c r="L25" s="3">
        <f t="shared" ref="L25:AK25" si="4">L$6/K$6*K25*L$9</f>
        <v>5.5940369819097624</v>
      </c>
      <c r="M25" s="3">
        <f t="shared" si="4"/>
        <v>5.5284416262734526</v>
      </c>
      <c r="N25" s="3">
        <f t="shared" si="4"/>
        <v>5.7884476671232958</v>
      </c>
      <c r="O25" s="3">
        <f t="shared" si="4"/>
        <v>5.8990305284673985</v>
      </c>
      <c r="P25" s="3">
        <f t="shared" si="4"/>
        <v>5.9108285895243329</v>
      </c>
      <c r="Q25" s="3">
        <f t="shared" si="4"/>
        <v>5.9699368754195765</v>
      </c>
      <c r="R25" s="3">
        <f t="shared" si="4"/>
        <v>6.0356061810491912</v>
      </c>
      <c r="S25" s="3">
        <f t="shared" si="4"/>
        <v>6.1201046675838802</v>
      </c>
      <c r="T25" s="3">
        <f t="shared" si="4"/>
        <v>6.2180263422652224</v>
      </c>
      <c r="U25" s="3">
        <f t="shared" si="4"/>
        <v>6.3299508164259963</v>
      </c>
      <c r="V25" s="3">
        <f t="shared" si="4"/>
        <v>6.4694105343389774</v>
      </c>
      <c r="W25" s="3">
        <f t="shared" si="4"/>
        <v>6.6390278333206298</v>
      </c>
      <c r="X25" s="3">
        <f t="shared" si="4"/>
        <v>6.8340719569603703</v>
      </c>
      <c r="Y25" s="3">
        <f t="shared" si="4"/>
        <v>7.0396240243627792</v>
      </c>
      <c r="Z25" s="3">
        <f t="shared" si="4"/>
        <v>7.2576954224971928</v>
      </c>
      <c r="AA25" s="3">
        <f t="shared" si="4"/>
        <v>7.5071128456121858</v>
      </c>
      <c r="AB25" s="3">
        <f t="shared" si="4"/>
        <v>7.7713984555388356</v>
      </c>
      <c r="AC25" s="3">
        <f t="shared" si="4"/>
        <v>8.0515065599155839</v>
      </c>
      <c r="AD25" s="3">
        <f t="shared" si="4"/>
        <v>8.3494688103044687</v>
      </c>
      <c r="AE25" s="3">
        <f t="shared" si="4"/>
        <v>8.6613710928717875</v>
      </c>
      <c r="AF25" s="3">
        <f t="shared" si="4"/>
        <v>8.978078521883754</v>
      </c>
      <c r="AG25" s="3">
        <f t="shared" si="4"/>
        <v>9.2959797516068257</v>
      </c>
      <c r="AH25" s="3">
        <f t="shared" si="4"/>
        <v>11.027892112343984</v>
      </c>
      <c r="AI25" s="3">
        <f t="shared" si="4"/>
        <v>13.115022173445714</v>
      </c>
      <c r="AJ25" s="3">
        <f t="shared" si="4"/>
        <v>17.058018981428742</v>
      </c>
      <c r="AK25" s="3">
        <f t="shared" si="4"/>
        <v>18.586397257048233</v>
      </c>
      <c r="AL25" s="3"/>
      <c r="AM25" s="3"/>
      <c r="AN25" s="3"/>
      <c r="AO25" s="3"/>
      <c r="AP25" s="3"/>
      <c r="AQ25" s="3"/>
    </row>
    <row r="26" spans="1:43">
      <c r="A26" t="str">
        <f>IF('[3]TS BYDem'!$A14="*","*", "")</f>
        <v/>
      </c>
      <c r="B26" t="str">
        <f>[3]AGR!$B32</f>
        <v>AO</v>
      </c>
      <c r="C26" t="s">
        <v>739</v>
      </c>
      <c r="D26" s="15" t="s">
        <v>291</v>
      </c>
      <c r="E26" s="16"/>
      <c r="F26" s="16"/>
      <c r="G26" s="16"/>
      <c r="H26" s="16"/>
      <c r="I26" s="15"/>
      <c r="J26" s="3">
        <f>SUMIF('BY-DMD'!$H$5:$H$9,D26,'BY-DMD'!$I$5:$I$9)</f>
        <v>10.1217912486754</v>
      </c>
      <c r="K26" s="3">
        <f>K$6/J$6*J26*K$9</f>
        <v>9.9676877612733854</v>
      </c>
      <c r="L26" s="3">
        <f t="shared" ref="L26:AK26" si="5">L$6/K$6*K26*L$9</f>
        <v>9.8114750730172791</v>
      </c>
      <c r="M26" s="3">
        <f t="shared" si="5"/>
        <v>9.6964262810960573</v>
      </c>
      <c r="N26" s="3">
        <f t="shared" si="5"/>
        <v>10.152455227075826</v>
      </c>
      <c r="O26" s="3">
        <f t="shared" si="5"/>
        <v>10.346408358077507</v>
      </c>
      <c r="P26" s="3">
        <f t="shared" si="5"/>
        <v>10.367101174793662</v>
      </c>
      <c r="Q26" s="3">
        <f t="shared" si="5"/>
        <v>10.470772186541598</v>
      </c>
      <c r="R26" s="3">
        <f t="shared" si="5"/>
        <v>10.585950680593555</v>
      </c>
      <c r="S26" s="3">
        <f t="shared" si="5"/>
        <v>10.734153990121865</v>
      </c>
      <c r="T26" s="3">
        <f t="shared" si="5"/>
        <v>10.905900453963815</v>
      </c>
      <c r="U26" s="3">
        <f t="shared" si="5"/>
        <v>11.102206662135163</v>
      </c>
      <c r="V26" s="3">
        <f t="shared" si="5"/>
        <v>11.346807395097445</v>
      </c>
      <c r="W26" s="3">
        <f t="shared" si="5"/>
        <v>11.644302014152119</v>
      </c>
      <c r="X26" s="3">
        <f t="shared" si="5"/>
        <v>11.986393166466328</v>
      </c>
      <c r="Y26" s="3">
        <f t="shared" si="5"/>
        <v>12.346914377185495</v>
      </c>
      <c r="Z26" s="3">
        <f t="shared" si="5"/>
        <v>12.729393451573628</v>
      </c>
      <c r="AA26" s="3">
        <f t="shared" si="5"/>
        <v>13.166850843718633</v>
      </c>
      <c r="AB26" s="3">
        <f t="shared" si="5"/>
        <v>13.630385797516391</v>
      </c>
      <c r="AC26" s="3">
        <f t="shared" si="5"/>
        <v>14.121672089103322</v>
      </c>
      <c r="AD26" s="3">
        <f t="shared" si="5"/>
        <v>14.64427306615168</v>
      </c>
      <c r="AE26" s="3">
        <f t="shared" si="5"/>
        <v>15.191323698909869</v>
      </c>
      <c r="AF26" s="3">
        <f t="shared" si="5"/>
        <v>15.746802158426501</v>
      </c>
      <c r="AG26" s="3">
        <f t="shared" si="5"/>
        <v>16.304374444987364</v>
      </c>
      <c r="AH26" s="3">
        <f t="shared" si="5"/>
        <v>19.342004516253358</v>
      </c>
      <c r="AI26" s="3">
        <f t="shared" si="5"/>
        <v>23.002656856391031</v>
      </c>
      <c r="AJ26" s="3">
        <f t="shared" si="5"/>
        <v>29.918344939901854</v>
      </c>
      <c r="AK26" s="3">
        <f t="shared" si="5"/>
        <v>32.598993173346742</v>
      </c>
      <c r="AL26" s="3"/>
      <c r="AM26" s="3"/>
      <c r="AN26" s="3"/>
      <c r="AO26" s="3"/>
      <c r="AP26" s="3"/>
      <c r="AQ26" s="3"/>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W136"/>
  <sheetViews>
    <sheetView topLeftCell="C1" zoomScale="80" zoomScaleNormal="80" workbookViewId="0">
      <selection activeCell="AQ14" sqref="AQ14"/>
    </sheetView>
  </sheetViews>
  <sheetFormatPr defaultColWidth="8.85546875" defaultRowHeight="15"/>
  <cols>
    <col min="2" max="2" width="11.85546875" customWidth="1"/>
    <col min="3" max="3" width="34.85546875" customWidth="1"/>
    <col min="5" max="5" width="6.42578125" customWidth="1"/>
    <col min="6" max="6" width="9.7109375" customWidth="1"/>
    <col min="7" max="9" width="6.42578125" customWidth="1"/>
    <col min="10" max="10" width="9.140625" customWidth="1"/>
    <col min="11" max="11" width="8.85546875" style="2" customWidth="1"/>
    <col min="12" max="12" width="8.42578125" customWidth="1"/>
    <col min="13" max="13" width="8.28515625" customWidth="1"/>
    <col min="14" max="15" width="6.42578125" customWidth="1"/>
    <col min="16" max="16" width="7.140625" customWidth="1"/>
    <col min="17" max="30" width="6.42578125" customWidth="1"/>
    <col min="31" max="47" width="6.140625" customWidth="1"/>
    <col min="48" max="48" width="10.42578125" customWidth="1"/>
    <col min="49" max="49" width="6.140625" customWidth="1"/>
  </cols>
  <sheetData>
    <row r="1" spans="1:49">
      <c r="A1" t="s">
        <v>588</v>
      </c>
      <c r="B1" t="s">
        <v>17</v>
      </c>
      <c r="G1" t="s">
        <v>267</v>
      </c>
    </row>
    <row r="2" spans="1:49" ht="15.75" thickBot="1">
      <c r="A2" t="s">
        <v>16</v>
      </c>
      <c r="B2" s="369" t="s">
        <v>185</v>
      </c>
      <c r="C2" s="369"/>
      <c r="G2" t="s">
        <v>266</v>
      </c>
      <c r="I2">
        <v>1</v>
      </c>
    </row>
    <row r="3" spans="1:49">
      <c r="A3" t="s">
        <v>16</v>
      </c>
      <c r="G3" t="s">
        <v>268</v>
      </c>
      <c r="I3">
        <v>0</v>
      </c>
      <c r="K3" s="2">
        <v>2012</v>
      </c>
      <c r="L3" s="2">
        <v>2013</v>
      </c>
      <c r="M3" s="2">
        <v>2014</v>
      </c>
      <c r="N3" s="2">
        <v>2015</v>
      </c>
      <c r="O3" s="2">
        <v>2016</v>
      </c>
      <c r="P3" s="2">
        <v>2017</v>
      </c>
      <c r="Q3" s="2">
        <v>2018</v>
      </c>
      <c r="R3" s="2">
        <v>2019</v>
      </c>
      <c r="S3" s="2">
        <v>2020</v>
      </c>
      <c r="T3" s="2">
        <v>2021</v>
      </c>
      <c r="U3" s="2">
        <v>2022</v>
      </c>
      <c r="V3" s="2">
        <v>2023</v>
      </c>
      <c r="W3" s="2">
        <v>2024</v>
      </c>
      <c r="X3" s="2">
        <v>2025</v>
      </c>
      <c r="Y3" s="2">
        <v>2026</v>
      </c>
      <c r="Z3" s="2">
        <v>2027</v>
      </c>
      <c r="AA3" s="2">
        <v>2028</v>
      </c>
      <c r="AB3" s="2">
        <v>2029</v>
      </c>
      <c r="AC3" s="2">
        <v>2030</v>
      </c>
      <c r="AD3" s="2">
        <v>2031</v>
      </c>
      <c r="AE3" s="2">
        <v>2032</v>
      </c>
      <c r="AF3" s="2">
        <v>2033</v>
      </c>
      <c r="AG3" s="2">
        <v>2034</v>
      </c>
      <c r="AH3" s="2">
        <v>2035</v>
      </c>
      <c r="AI3" s="2">
        <v>2036</v>
      </c>
      <c r="AJ3" s="2">
        <v>2037</v>
      </c>
      <c r="AK3" s="2">
        <v>2038</v>
      </c>
      <c r="AL3" s="2">
        <v>2039</v>
      </c>
      <c r="AM3" s="2">
        <v>2040</v>
      </c>
      <c r="AN3" s="2">
        <v>2045</v>
      </c>
      <c r="AO3" s="2">
        <v>2050</v>
      </c>
      <c r="AP3" s="2">
        <v>2060</v>
      </c>
      <c r="AQ3" s="2">
        <v>2070</v>
      </c>
      <c r="AR3" s="2"/>
      <c r="AS3" s="2"/>
      <c r="AT3" s="2"/>
      <c r="AU3" s="2"/>
      <c r="AV3" s="2"/>
      <c r="AW3" s="2"/>
    </row>
    <row r="4" spans="1:49">
      <c r="A4" t="s">
        <v>16</v>
      </c>
      <c r="D4">
        <v>2012</v>
      </c>
      <c r="E4">
        <v>2020</v>
      </c>
      <c r="F4">
        <v>2030</v>
      </c>
      <c r="G4">
        <v>2050</v>
      </c>
      <c r="H4">
        <v>2070</v>
      </c>
      <c r="I4">
        <v>1</v>
      </c>
      <c r="J4" t="s">
        <v>376</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377</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375</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378</v>
      </c>
      <c r="K7" s="2">
        <f>IF(ISNA(K4),-1,IF(ISNA(K6),99,IF(ISNA(K5),K4,0)))</f>
        <v>0</v>
      </c>
      <c r="L7" s="2">
        <f t="shared" ref="L7:AQ7" si="4">IF(ISNA(L4),-1,IF(ISNA(L6),99,IF(ISNA(L5),L4,0)))</f>
        <v>1</v>
      </c>
      <c r="M7" s="2">
        <f t="shared" si="4"/>
        <v>1</v>
      </c>
      <c r="N7" s="2">
        <f t="shared" si="4"/>
        <v>1</v>
      </c>
      <c r="O7" s="2">
        <f t="shared" si="4"/>
        <v>1</v>
      </c>
      <c r="P7" s="2">
        <f t="shared" si="4"/>
        <v>1</v>
      </c>
      <c r="Q7" s="2">
        <f t="shared" si="4"/>
        <v>1</v>
      </c>
      <c r="R7" s="2">
        <f t="shared" si="4"/>
        <v>1</v>
      </c>
      <c r="S7" s="2">
        <f t="shared" si="4"/>
        <v>0</v>
      </c>
      <c r="T7" s="2">
        <f t="shared" si="4"/>
        <v>2</v>
      </c>
      <c r="U7" s="2">
        <f t="shared" si="4"/>
        <v>2</v>
      </c>
      <c r="V7" s="2">
        <f t="shared" si="4"/>
        <v>2</v>
      </c>
      <c r="W7" s="2">
        <f t="shared" si="4"/>
        <v>2</v>
      </c>
      <c r="X7" s="2">
        <f t="shared" si="4"/>
        <v>2</v>
      </c>
      <c r="Y7" s="2">
        <f t="shared" si="4"/>
        <v>2</v>
      </c>
      <c r="Z7" s="2">
        <f t="shared" si="4"/>
        <v>2</v>
      </c>
      <c r="AA7" s="2">
        <f t="shared" si="4"/>
        <v>2</v>
      </c>
      <c r="AB7" s="2">
        <f t="shared" si="4"/>
        <v>2</v>
      </c>
      <c r="AC7" s="2">
        <f t="shared" si="4"/>
        <v>0</v>
      </c>
      <c r="AD7" s="2">
        <f t="shared" si="4"/>
        <v>3</v>
      </c>
      <c r="AE7" s="2">
        <f t="shared" si="4"/>
        <v>3</v>
      </c>
      <c r="AF7" s="2">
        <f t="shared" si="4"/>
        <v>3</v>
      </c>
      <c r="AG7" s="2">
        <f t="shared" si="4"/>
        <v>3</v>
      </c>
      <c r="AH7" s="2">
        <f t="shared" si="4"/>
        <v>3</v>
      </c>
      <c r="AI7" s="2">
        <f t="shared" si="4"/>
        <v>3</v>
      </c>
      <c r="AJ7" s="2">
        <f t="shared" si="4"/>
        <v>3</v>
      </c>
      <c r="AK7" s="2">
        <f t="shared" si="4"/>
        <v>3</v>
      </c>
      <c r="AL7" s="2">
        <f t="shared" si="4"/>
        <v>3</v>
      </c>
      <c r="AM7" s="2">
        <f t="shared" si="4"/>
        <v>3</v>
      </c>
      <c r="AN7" s="2">
        <f t="shared" si="4"/>
        <v>3</v>
      </c>
      <c r="AO7" s="2">
        <f t="shared" si="4"/>
        <v>0</v>
      </c>
      <c r="AP7" s="2">
        <f>IF(ISNA(AP4),-1,IF(ISNA(AP6),99,IF(ISNA(AP5),AP4,0)))</f>
        <v>4</v>
      </c>
      <c r="AQ7" s="2">
        <f t="shared" si="4"/>
        <v>0</v>
      </c>
      <c r="AR7" s="2"/>
      <c r="AS7" s="2"/>
      <c r="AT7" s="2"/>
      <c r="AU7" s="2"/>
      <c r="AV7" s="2"/>
      <c r="AW7" s="2"/>
    </row>
    <row r="8" spans="1:49" ht="15.75" thickBot="1">
      <c r="A8" t="s">
        <v>16</v>
      </c>
      <c r="B8" s="9" t="s">
        <v>695</v>
      </c>
      <c r="C8" s="9"/>
      <c r="D8" s="9"/>
      <c r="E8" s="9"/>
      <c r="F8" s="9"/>
    </row>
    <row r="9" spans="1:49">
      <c r="A9" t="s">
        <v>16</v>
      </c>
      <c r="B9" t="s">
        <v>9</v>
      </c>
      <c r="C9" t="s">
        <v>10</v>
      </c>
      <c r="D9" t="s">
        <v>265</v>
      </c>
      <c r="E9" t="s">
        <v>264</v>
      </c>
      <c r="K9" s="2">
        <f>MATCH(K3,Drivers!$C$5:$AG$5,0)</f>
        <v>1</v>
      </c>
      <c r="L9" s="2">
        <f>MATCH(L3,Drivers!$C$5:$AG$5,0)</f>
        <v>2</v>
      </c>
      <c r="M9" s="2">
        <f>MATCH(M3,Drivers!$C$5:$AG$5,0)</f>
        <v>3</v>
      </c>
      <c r="N9" s="2">
        <f>MATCH(N3,Drivers!$C$5:$AG$5,0)</f>
        <v>4</v>
      </c>
      <c r="O9" s="2">
        <f>MATCH(O3,Drivers!$C$5:$AG$5,0)</f>
        <v>5</v>
      </c>
      <c r="P9" s="2">
        <f>MATCH(P3,Drivers!$C$5:$AG$5,0)</f>
        <v>6</v>
      </c>
      <c r="Q9" s="2">
        <f>MATCH(Q3,Drivers!$C$5:$AG$5,0)</f>
        <v>7</v>
      </c>
      <c r="R9" s="2">
        <f>MATCH(R3,Drivers!$C$5:$AG$5,0)</f>
        <v>8</v>
      </c>
      <c r="S9" s="2">
        <f>MATCH(S3,Drivers!$C$5:$AG$5,0)</f>
        <v>9</v>
      </c>
      <c r="T9" s="2">
        <f>MATCH(T3,Drivers!$C$5:$AG$5,0)</f>
        <v>10</v>
      </c>
      <c r="U9" s="2">
        <f>MATCH(U3,Drivers!$C$5:$AG$5,0)</f>
        <v>11</v>
      </c>
      <c r="V9" s="2">
        <f>MATCH(V3,Drivers!$C$5:$AG$5,0)</f>
        <v>12</v>
      </c>
      <c r="W9" s="2">
        <f>MATCH(W3,Drivers!$C$5:$AG$5,0)</f>
        <v>13</v>
      </c>
      <c r="X9" s="2">
        <f>MATCH(X3,Drivers!$C$5:$AG$5,0)</f>
        <v>14</v>
      </c>
      <c r="Y9" s="2">
        <f>MATCH(Y3,Drivers!$C$5:$AG$5,0)</f>
        <v>15</v>
      </c>
      <c r="Z9" s="2">
        <f>MATCH(Z3,Drivers!$C$5:$AG$5,0)</f>
        <v>16</v>
      </c>
      <c r="AA9" s="2">
        <f>MATCH(AA3,Drivers!$C$5:$AG$5,0)</f>
        <v>17</v>
      </c>
      <c r="AB9" s="2">
        <f>MATCH(AB3,Drivers!$C$5:$AG$5,0)</f>
        <v>18</v>
      </c>
      <c r="AC9" s="2">
        <f>MATCH(AC3,Drivers!$C$5:$AG$5,0)</f>
        <v>19</v>
      </c>
      <c r="AD9" s="2">
        <f>MATCH(AD3,Drivers!$C$5:$AG$5,0)</f>
        <v>20</v>
      </c>
      <c r="AE9" s="2">
        <f>MATCH(AE3,Drivers!$C$5:$AG$5,0)</f>
        <v>21</v>
      </c>
      <c r="AF9" s="2">
        <f>MATCH(AF3,Drivers!$C$5:$AG$5,0)</f>
        <v>22</v>
      </c>
      <c r="AG9" s="2">
        <f>MATCH(AG3,Drivers!$C$5:$AG$5,0)</f>
        <v>23</v>
      </c>
      <c r="AH9" s="2">
        <f>MATCH(AH3,Drivers!$C$5:$AG$5,0)</f>
        <v>24</v>
      </c>
      <c r="AI9" s="2">
        <f>MATCH(AI3,Drivers!$C$5:$AG$5,0)</f>
        <v>25</v>
      </c>
      <c r="AJ9" s="2">
        <f>MATCH(AJ3,Drivers!$C$5:$AG$5,0)</f>
        <v>26</v>
      </c>
      <c r="AK9" s="2">
        <f>MATCH(AK3,Drivers!$C$5:$AG$5,0)</f>
        <v>27</v>
      </c>
      <c r="AL9" s="2">
        <f>MATCH(AL3,Drivers!$C$5:$AG$5,0)</f>
        <v>28</v>
      </c>
      <c r="AM9" s="2">
        <f>MATCH(AM3,Drivers!$C$5:$AG$5,0)</f>
        <v>29</v>
      </c>
      <c r="AN9" s="2">
        <f>MATCH(AN3,Drivers!$C$5:$AG$5,0)</f>
        <v>30</v>
      </c>
      <c r="AO9" s="2">
        <f>MATCH(AO3,Drivers!$C$5:$AG$5,0)</f>
        <v>31</v>
      </c>
      <c r="AP9">
        <f>AO9+1</f>
        <v>32</v>
      </c>
      <c r="AQ9">
        <f>AP9+1</f>
        <v>33</v>
      </c>
    </row>
    <row r="10" spans="1:49">
      <c r="A10" t="s">
        <v>16</v>
      </c>
      <c r="B10" s="3" t="str">
        <f>[4]IND!B10</f>
        <v>MI</v>
      </c>
      <c r="C10" s="3" t="str">
        <f>[4]IND!A10</f>
        <v>Mining</v>
      </c>
      <c r="D10">
        <f>[4]IND!M10</f>
        <v>1</v>
      </c>
      <c r="F10" s="3"/>
      <c r="G10">
        <f>MATCH(B10,Drivers!$A$7:$A$25,0)</f>
        <v>10</v>
      </c>
      <c r="I10" s="3"/>
      <c r="J10" s="3"/>
      <c r="K10" cm="1">
        <f t="array" ref="K10">INDEX(Drivers!$C$7:$AG$25,$G10,K$9)</f>
        <v>186.51301855651582</v>
      </c>
      <c r="L10" cm="1">
        <f t="array" ref="L10">INDEX(Drivers!$C$7:$AG$25,$G10,L$9)</f>
        <v>191.20040429598868</v>
      </c>
      <c r="M10" cm="1">
        <f t="array" ref="M10">INDEX(Drivers!$C$7:$AG$25,$G10,M$9)</f>
        <v>192.19084947996168</v>
      </c>
      <c r="N10" cm="1">
        <f t="array" ref="N10">INDEX(Drivers!$C$7:$AG$25,$G10,N$9)</f>
        <v>198.3568473622208</v>
      </c>
      <c r="O10" cm="1">
        <f t="array" ref="O10">INDEX(Drivers!$C$7:$AG$25,$G10,O$9)</f>
        <v>195.64424405359443</v>
      </c>
      <c r="P10" cm="1">
        <f t="array" ref="P10">INDEX(Drivers!$C$7:$AG$25,$G10,P$9)</f>
        <v>201.78663829260577</v>
      </c>
      <c r="Q10" cm="1">
        <f t="array" ref="Q10">INDEX(Drivers!$C$7:$AG$25,$G10,Q$9)</f>
        <v>200.62824410860065</v>
      </c>
      <c r="R10" cm="1">
        <f t="array" ref="R10">INDEX(Drivers!$C$7:$AG$25,$G10,R$9)</f>
        <v>198.05</v>
      </c>
      <c r="S10" cm="1">
        <f t="array" ref="S10">INDEX(Drivers!$C$7:$AG$25,$G10,S$9)</f>
        <v>190.12</v>
      </c>
      <c r="T10" cm="1">
        <f t="array" ref="T10">INDEX(Drivers!$C$7:$AG$25,$G10,T$9)</f>
        <v>199.06146159587709</v>
      </c>
      <c r="U10" cm="1">
        <f t="array" ref="U10">INDEX(Drivers!$C$7:$AG$25,$G10,U$9)</f>
        <v>202.86434403906432</v>
      </c>
      <c r="V10" cm="1">
        <f t="array" ref="V10">INDEX(Drivers!$C$7:$AG$25,$G10,V$9)</f>
        <v>203.27007272714246</v>
      </c>
      <c r="W10" cm="1">
        <f t="array" ref="W10">INDEX(Drivers!$C$7:$AG$25,$G10,W$9)</f>
        <v>205.30277345441388</v>
      </c>
      <c r="X10" cm="1">
        <f t="array" ref="X10">INDEX(Drivers!$C$7:$AG$25,$G10,X$9)</f>
        <v>207.5611039624124</v>
      </c>
      <c r="Y10" cm="1">
        <f t="array" ref="Y10">INDEX(Drivers!$C$7:$AG$25,$G10,Y$9)</f>
        <v>210.46695941788619</v>
      </c>
      <c r="Z10" cm="1">
        <f t="array" ref="Z10">INDEX(Drivers!$C$7:$AG$25,$G10,Z$9)</f>
        <v>213.83443076857236</v>
      </c>
      <c r="AA10" cm="1">
        <f t="array" ref="AA10">INDEX(Drivers!$C$7:$AG$25,$G10,AA$9)</f>
        <v>217.68345052240667</v>
      </c>
      <c r="AB10" cm="1">
        <f t="array" ref="AB10">INDEX(Drivers!$C$7:$AG$25,$G10,AB$9)</f>
        <v>222.47939183136617</v>
      </c>
      <c r="AC10" cm="1">
        <f t="array" ref="AC10">INDEX(Drivers!$C$7:$AG$25,$G10,AC$9)</f>
        <v>228.31243540175274</v>
      </c>
      <c r="AD10" cm="1">
        <f t="array" ref="AD10">INDEX(Drivers!$C$7:$AG$25,$G10,AD$9)</f>
        <v>235.01989317975648</v>
      </c>
      <c r="AE10" cm="1">
        <f t="array" ref="AE10">INDEX(Drivers!$C$7:$AG$25,$G10,AE$9)</f>
        <v>242.08871323726126</v>
      </c>
      <c r="AF10" cm="1">
        <f t="array" ref="AF10">INDEX(Drivers!$C$7:$AG$25,$G10,AF$9)</f>
        <v>249.58806604154535</v>
      </c>
      <c r="AG10" cm="1">
        <f t="array" ref="AG10">INDEX(Drivers!$C$7:$AG$25,$G10,AG$9)</f>
        <v>258.16539102536478</v>
      </c>
      <c r="AH10" cm="1">
        <f t="array" ref="AH10">INDEX(Drivers!$C$7:$AG$25,$G10,AH$9)</f>
        <v>267.25402459625479</v>
      </c>
      <c r="AI10" cm="1">
        <f t="array" ref="AI10">INDEX(Drivers!$C$7:$AG$25,$G10,AI$9)</f>
        <v>276.88678485748676</v>
      </c>
      <c r="AJ10" cm="1">
        <f t="array" ref="AJ10">INDEX(Drivers!$C$7:$AG$25,$G10,AJ$9)</f>
        <v>287.13353916429128</v>
      </c>
      <c r="AK10" cm="1">
        <f t="array" ref="AK10">INDEX(Drivers!$C$7:$AG$25,$G10,AK$9)</f>
        <v>297.85968334204398</v>
      </c>
      <c r="AL10" cm="1">
        <f t="array" ref="AL10">INDEX(Drivers!$C$7:$AG$25,$G10,AL$9)</f>
        <v>308.75107380506353</v>
      </c>
      <c r="AM10" cm="1">
        <f t="array" ref="AM10">INDEX(Drivers!$C$7:$AG$25,$G10,AM$9)</f>
        <v>319.68351840350471</v>
      </c>
      <c r="AN10" cm="1">
        <f t="array" ref="AN10">INDEX(Drivers!$C$7:$AG$25,$G10,AN$9)</f>
        <v>379.24301098429203</v>
      </c>
      <c r="AO10" cm="1">
        <f t="array" ref="AO10">INDEX(Drivers!$C$7:$AK$25,$G10,AO$9)</f>
        <v>451.01824061335759</v>
      </c>
      <c r="AP10" cm="1">
        <f t="array" ref="AP10">INDEX(Drivers!$C$7:$AK$25,$G10,AP$9)</f>
        <v>525.77604326701203</v>
      </c>
      <c r="AQ10" cm="1">
        <f t="array" ref="AQ10">INDEX(Drivers!$C$7:$AK$25,$G10,AQ$9)</f>
        <v>586.61568448815979</v>
      </c>
    </row>
    <row r="11" spans="1:49">
      <c r="A11" t="s">
        <v>16</v>
      </c>
      <c r="B11" s="3" t="s">
        <v>699</v>
      </c>
      <c r="C11" s="3" t="s">
        <v>690</v>
      </c>
      <c r="D11">
        <f>[4]IND!M11</f>
        <v>0</v>
      </c>
      <c r="F11" s="3"/>
      <c r="G11">
        <f>MATCH(B11,Drivers!$A$7:$A$25,0)</f>
        <v>11</v>
      </c>
      <c r="I11" s="3"/>
      <c r="J11" s="3"/>
      <c r="K11" cm="1">
        <f t="array" ref="K11">INDEX(Drivers!$C$7:$AG$25,$G11,K$9)</f>
        <v>91.99927686334776</v>
      </c>
      <c r="L11" cm="1">
        <f t="array" ref="L11">INDEX(Drivers!$C$7:$AG$25,$G11,L$9)</f>
        <v>94.311373368720652</v>
      </c>
      <c r="M11" cm="1">
        <f t="array" ref="M11">INDEX(Drivers!$C$7:$AG$25,$G11,M$9)</f>
        <v>94.799919645026264</v>
      </c>
      <c r="N11" cm="1">
        <f t="array" ref="N11">INDEX(Drivers!$C$7:$AG$25,$G11,N$9)</f>
        <v>97.841355308332979</v>
      </c>
      <c r="O11" cm="1">
        <f t="array" ref="O11">INDEX(Drivers!$C$7:$AG$25,$G11,O$9)</f>
        <v>96.503338558927737</v>
      </c>
      <c r="P11" cm="1">
        <f t="array" ref="P11">INDEX(Drivers!$C$7:$AG$25,$G11,P$9)</f>
        <v>99.533131506208818</v>
      </c>
      <c r="Q11" cm="1">
        <f t="array" ref="Q11">INDEX(Drivers!$C$7:$AG$25,$G11,Q$9)</f>
        <v>98.961742827413289</v>
      </c>
      <c r="R11" cm="1">
        <f t="array" ref="R11">INDEX(Drivers!$C$7:$AG$25,$G11,R$9)</f>
        <v>97.69</v>
      </c>
      <c r="S11" cm="1">
        <f t="array" ref="S11">INDEX(Drivers!$C$7:$AG$25,$G11,S$9)</f>
        <v>74.06</v>
      </c>
      <c r="T11" cm="1">
        <f t="array" ref="T11">INDEX(Drivers!$C$7:$AG$25,$G11,T$9)</f>
        <v>94.326547184944275</v>
      </c>
      <c r="U11" cm="1">
        <f t="array" ref="U11">INDEX(Drivers!$C$7:$AG$25,$G11,U$9)</f>
        <v>96.317551881937518</v>
      </c>
      <c r="V11" cm="1">
        <f t="array" ref="V11">INDEX(Drivers!$C$7:$AG$25,$G11,V$9)</f>
        <v>96.485901069684218</v>
      </c>
      <c r="W11" cm="1">
        <f t="array" ref="W11">INDEX(Drivers!$C$7:$AG$25,$G11,W$9)</f>
        <v>97.470770267879814</v>
      </c>
      <c r="X11" cm="1">
        <f t="array" ref="X11">INDEX(Drivers!$C$7:$AG$25,$G11,X$9)</f>
        <v>98.521510052447297</v>
      </c>
      <c r="Y11" cm="1">
        <f t="array" ref="Y11">INDEX(Drivers!$C$7:$AG$25,$G11,Y$9)</f>
        <v>100.07451861040887</v>
      </c>
      <c r="Z11" cm="1">
        <f t="array" ref="Z11">INDEX(Drivers!$C$7:$AG$25,$G11,Z$9)</f>
        <v>101.83022921202563</v>
      </c>
      <c r="AA11" cm="1">
        <f t="array" ref="AA11">INDEX(Drivers!$C$7:$AG$25,$G11,AA$9)</f>
        <v>103.75282121155556</v>
      </c>
      <c r="AB11" cm="1">
        <f t="array" ref="AB11">INDEX(Drivers!$C$7:$AG$25,$G11,AB$9)</f>
        <v>106.17539801658454</v>
      </c>
      <c r="AC11" cm="1">
        <f t="array" ref="AC11">INDEX(Drivers!$C$7:$AG$25,$G11,AC$9)</f>
        <v>109.12343337857642</v>
      </c>
      <c r="AD11" cm="1">
        <f t="array" ref="AD11">INDEX(Drivers!$C$7:$AG$25,$G11,AD$9)</f>
        <v>112.61372510120846</v>
      </c>
      <c r="AE11" cm="1">
        <f t="array" ref="AE11">INDEX(Drivers!$C$7:$AG$25,$G11,AE$9)</f>
        <v>116.26069997030581</v>
      </c>
      <c r="AF11" cm="1">
        <f t="array" ref="AF11">INDEX(Drivers!$C$7:$AG$25,$G11,AF$9)</f>
        <v>120.228430072908</v>
      </c>
      <c r="AG11" cm="1">
        <f t="array" ref="AG11">INDEX(Drivers!$C$7:$AG$25,$G11,AG$9)</f>
        <v>124.67562962107331</v>
      </c>
      <c r="AH11" cm="1">
        <f t="array" ref="AH11">INDEX(Drivers!$C$7:$AG$25,$G11,AH$9)</f>
        <v>129.50610863365219</v>
      </c>
      <c r="AI11" cm="1">
        <f t="array" ref="AI11">INDEX(Drivers!$C$7:$AG$25,$G11,AI$9)</f>
        <v>134.61527442843331</v>
      </c>
      <c r="AJ11" cm="1">
        <f t="array" ref="AJ11">INDEX(Drivers!$C$7:$AG$25,$G11,AJ$9)</f>
        <v>139.97206400250883</v>
      </c>
      <c r="AK11" cm="1">
        <f t="array" ref="AK11">INDEX(Drivers!$C$7:$AG$25,$G11,AK$9)</f>
        <v>145.64822616961308</v>
      </c>
      <c r="AL11" cm="1">
        <f t="array" ref="AL11">INDEX(Drivers!$C$7:$AG$25,$G11,AL$9)</f>
        <v>151.40944702553836</v>
      </c>
      <c r="AM11" cm="1">
        <f t="array" ref="AM11">INDEX(Drivers!$C$7:$AG$25,$G11,AM$9)</f>
        <v>157.19459281004734</v>
      </c>
      <c r="AN11" cm="1">
        <f t="array" ref="AN11">INDEX(Drivers!$C$7:$AG$25,$G11,AN$9)</f>
        <v>188.25713113703131</v>
      </c>
      <c r="AO11" cm="1">
        <f t="array" ref="AO11">INDEX(Drivers!$C$7:$AK$25,$G11,AO$9)</f>
        <v>225.6019988087985</v>
      </c>
      <c r="AP11">
        <f>FORECAST(AP$3,$AM11:$AO11,$AM$3:$AO$3)</f>
        <v>292.96234991675192</v>
      </c>
      <c r="AQ11">
        <f>FORECAST(AQ$3,$AM11:$AO11,$AM$3:$AO$3)</f>
        <v>361.36975591550436</v>
      </c>
    </row>
    <row r="12" spans="1:49">
      <c r="A12" t="s">
        <v>16</v>
      </c>
      <c r="B12" s="3" t="s">
        <v>684</v>
      </c>
      <c r="C12" s="3" t="s">
        <v>686</v>
      </c>
      <c r="D12">
        <f>[4]IND!M11</f>
        <v>0</v>
      </c>
      <c r="F12" s="3" t="s">
        <v>688</v>
      </c>
      <c r="I12" s="3"/>
      <c r="J12" s="3"/>
      <c r="K12">
        <f>K14</f>
        <v>117.12281075206418</v>
      </c>
      <c r="L12">
        <f t="shared" ref="L12:AO12" si="5">L14</f>
        <v>119.07275947417872</v>
      </c>
      <c r="M12">
        <f t="shared" si="5"/>
        <v>120.12173328694826</v>
      </c>
      <c r="N12">
        <f t="shared" si="5"/>
        <v>120.67779367214723</v>
      </c>
      <c r="O12">
        <f t="shared" si="5"/>
        <v>119.95882677975034</v>
      </c>
      <c r="P12">
        <f t="shared" si="5"/>
        <v>120.88915701956363</v>
      </c>
      <c r="Q12">
        <f t="shared" si="5"/>
        <v>121.14044942310186</v>
      </c>
      <c r="R12">
        <f t="shared" si="5"/>
        <v>118.318</v>
      </c>
      <c r="S12">
        <f t="shared" si="5"/>
        <v>107.464</v>
      </c>
      <c r="T12">
        <f t="shared" si="5"/>
        <v>109.577</v>
      </c>
      <c r="U12">
        <f t="shared" si="5"/>
        <v>110.503</v>
      </c>
      <c r="V12">
        <f t="shared" si="5"/>
        <v>112.52</v>
      </c>
      <c r="W12">
        <f t="shared" si="5"/>
        <v>115.176</v>
      </c>
      <c r="X12">
        <f t="shared" si="5"/>
        <v>118.041</v>
      </c>
      <c r="Y12">
        <f t="shared" si="5"/>
        <v>121.706</v>
      </c>
      <c r="Z12">
        <f t="shared" si="5"/>
        <v>124.937</v>
      </c>
      <c r="AA12">
        <f t="shared" si="5"/>
        <v>131.876</v>
      </c>
      <c r="AB12">
        <f t="shared" si="5"/>
        <v>137.161</v>
      </c>
      <c r="AC12">
        <f t="shared" si="5"/>
        <v>140.69499999999999</v>
      </c>
      <c r="AD12">
        <f t="shared" si="5"/>
        <v>143.66999999999999</v>
      </c>
      <c r="AE12">
        <f t="shared" si="5"/>
        <v>146.92400000000001</v>
      </c>
      <c r="AF12">
        <f t="shared" si="5"/>
        <v>151</v>
      </c>
      <c r="AG12">
        <f t="shared" si="5"/>
        <v>155.93299999999999</v>
      </c>
      <c r="AH12">
        <f t="shared" si="5"/>
        <v>166.673</v>
      </c>
      <c r="AI12">
        <f t="shared" si="5"/>
        <v>175.935</v>
      </c>
      <c r="AJ12">
        <f t="shared" si="5"/>
        <v>179.65</v>
      </c>
      <c r="AK12">
        <f t="shared" si="5"/>
        <v>183.81800000000001</v>
      </c>
      <c r="AL12">
        <f t="shared" si="5"/>
        <v>186.33199999999999</v>
      </c>
      <c r="AM12">
        <f t="shared" si="5"/>
        <v>193.435</v>
      </c>
      <c r="AN12">
        <f t="shared" si="5"/>
        <v>213.45</v>
      </c>
      <c r="AO12" s="182">
        <f t="shared" si="5"/>
        <v>228.876</v>
      </c>
      <c r="AP12" s="182">
        <f t="shared" ref="AP12:AQ12" si="6">AP14</f>
        <v>243.43715137097897</v>
      </c>
      <c r="AQ12" s="182">
        <f t="shared" si="6"/>
        <v>257.32860266185997</v>
      </c>
    </row>
    <row r="13" spans="1:49">
      <c r="A13" t="s">
        <v>16</v>
      </c>
      <c r="B13" s="3" t="s">
        <v>685</v>
      </c>
      <c r="C13" s="3" t="s">
        <v>687</v>
      </c>
      <c r="D13">
        <f>[4]IND!M12</f>
        <v>0</v>
      </c>
      <c r="F13" s="3" t="s">
        <v>689</v>
      </c>
      <c r="I13" s="3"/>
      <c r="J13" s="3"/>
      <c r="K13">
        <f>K14</f>
        <v>117.12281075206418</v>
      </c>
      <c r="L13">
        <f t="shared" ref="L13:AQ13" si="7">L14</f>
        <v>119.07275947417872</v>
      </c>
      <c r="M13">
        <f t="shared" si="7"/>
        <v>120.12173328694826</v>
      </c>
      <c r="N13">
        <f t="shared" si="7"/>
        <v>120.67779367214723</v>
      </c>
      <c r="O13">
        <f t="shared" si="7"/>
        <v>119.95882677975034</v>
      </c>
      <c r="P13">
        <f t="shared" si="7"/>
        <v>120.88915701956363</v>
      </c>
      <c r="Q13">
        <f t="shared" si="7"/>
        <v>121.14044942310186</v>
      </c>
      <c r="R13">
        <f t="shared" si="7"/>
        <v>118.318</v>
      </c>
      <c r="S13">
        <f t="shared" si="7"/>
        <v>107.464</v>
      </c>
      <c r="T13">
        <f t="shared" si="7"/>
        <v>109.577</v>
      </c>
      <c r="U13">
        <f t="shared" si="7"/>
        <v>110.503</v>
      </c>
      <c r="V13">
        <f t="shared" si="7"/>
        <v>112.52</v>
      </c>
      <c r="W13">
        <f t="shared" si="7"/>
        <v>115.176</v>
      </c>
      <c r="X13">
        <f t="shared" si="7"/>
        <v>118.041</v>
      </c>
      <c r="Y13">
        <f t="shared" si="7"/>
        <v>121.706</v>
      </c>
      <c r="Z13">
        <f t="shared" si="7"/>
        <v>124.937</v>
      </c>
      <c r="AA13">
        <f t="shared" si="7"/>
        <v>131.876</v>
      </c>
      <c r="AB13">
        <f t="shared" si="7"/>
        <v>137.161</v>
      </c>
      <c r="AC13">
        <f t="shared" si="7"/>
        <v>140.69499999999999</v>
      </c>
      <c r="AD13">
        <f t="shared" si="7"/>
        <v>143.66999999999999</v>
      </c>
      <c r="AE13">
        <f t="shared" si="7"/>
        <v>146.92400000000001</v>
      </c>
      <c r="AF13">
        <f t="shared" si="7"/>
        <v>151</v>
      </c>
      <c r="AG13">
        <f t="shared" si="7"/>
        <v>155.93299999999999</v>
      </c>
      <c r="AH13">
        <f t="shared" si="7"/>
        <v>166.673</v>
      </c>
      <c r="AI13">
        <f t="shared" si="7"/>
        <v>175.935</v>
      </c>
      <c r="AJ13">
        <f t="shared" si="7"/>
        <v>179.65</v>
      </c>
      <c r="AK13">
        <f t="shared" si="7"/>
        <v>183.81800000000001</v>
      </c>
      <c r="AL13">
        <f t="shared" si="7"/>
        <v>186.33199999999999</v>
      </c>
      <c r="AM13">
        <f t="shared" si="7"/>
        <v>193.435</v>
      </c>
      <c r="AN13">
        <f t="shared" si="7"/>
        <v>213.45</v>
      </c>
      <c r="AO13" s="182">
        <f t="shared" si="7"/>
        <v>228.876</v>
      </c>
      <c r="AP13" s="182">
        <f t="shared" si="7"/>
        <v>243.43715137097897</v>
      </c>
      <c r="AQ13" s="182">
        <f t="shared" si="7"/>
        <v>257.32860266185997</v>
      </c>
    </row>
    <row r="14" spans="1:49">
      <c r="A14" t="s">
        <v>16</v>
      </c>
      <c r="B14" s="3" t="str">
        <f>[4]IND!B12</f>
        <v>IS</v>
      </c>
      <c r="C14" s="3" t="str">
        <f>[4]IND!A12</f>
        <v>Iron &amp; Steel</v>
      </c>
      <c r="D14">
        <f>[4]IND!M12</f>
        <v>0</v>
      </c>
      <c r="F14" s="3" t="s">
        <v>276</v>
      </c>
      <c r="G14">
        <f>MATCH(B14,Drivers!$A$88:$A$104,0)</f>
        <v>1</v>
      </c>
      <c r="I14" s="3"/>
      <c r="J14" s="3"/>
      <c r="K14" s="182" cm="1">
        <f t="array" ref="K14">INDEX(Drivers!$C$88:$AG$104,$G14,K$9)</f>
        <v>117.12281075206418</v>
      </c>
      <c r="L14" s="182" cm="1">
        <f t="array" ref="L14">INDEX(Drivers!$C$88:$AG$104,$G14,L$9)</f>
        <v>119.07275947417872</v>
      </c>
      <c r="M14" s="182" cm="1">
        <f t="array" ref="M14">INDEX(Drivers!$C$88:$AG$104,$G14,M$9)</f>
        <v>120.12173328694826</v>
      </c>
      <c r="N14" s="182" cm="1">
        <f t="array" ref="N14">INDEX(Drivers!$C$88:$AG$104,$G14,N$9)</f>
        <v>120.67779367214723</v>
      </c>
      <c r="O14" s="182" cm="1">
        <f t="array" ref="O14">INDEX(Drivers!$C$88:$AG$104,$G14,O$9)</f>
        <v>119.95882677975034</v>
      </c>
      <c r="P14" s="182" cm="1">
        <f t="array" ref="P14">INDEX(Drivers!$C$88:$AG$104,$G14,P$9)</f>
        <v>120.88915701956363</v>
      </c>
      <c r="Q14" s="182" cm="1">
        <f t="array" ref="Q14">INDEX(Drivers!$C$88:$AG$104,$G14,Q$9)</f>
        <v>121.14044942310186</v>
      </c>
      <c r="R14" s="182" cm="1">
        <f t="array" ref="R14">INDEX(Drivers!$C$88:$AG$104,$G14,R$9)</f>
        <v>118.318</v>
      </c>
      <c r="S14" s="182" cm="1">
        <f t="array" ref="S14">INDEX(Drivers!$C$88:$AG$104,$G14,S$9)</f>
        <v>107.464</v>
      </c>
      <c r="T14" s="182" cm="1">
        <f t="array" ref="T14">INDEX(Drivers!$C$88:$AG$104,$G14,T$9)</f>
        <v>109.577</v>
      </c>
      <c r="U14" s="182" cm="1">
        <f t="array" ref="U14">INDEX(Drivers!$C$88:$AG$104,$G14,U$9)</f>
        <v>110.503</v>
      </c>
      <c r="V14" s="182" cm="1">
        <f t="array" ref="V14">INDEX(Drivers!$C$88:$AG$104,$G14,V$9)</f>
        <v>112.52</v>
      </c>
      <c r="W14" s="182" cm="1">
        <f t="array" ref="W14">INDEX(Drivers!$C$88:$AG$104,$G14,W$9)</f>
        <v>115.176</v>
      </c>
      <c r="X14" s="182" cm="1">
        <f t="array" ref="X14">INDEX(Drivers!$C$88:$AG$104,$G14,X$9)</f>
        <v>118.041</v>
      </c>
      <c r="Y14" s="182" cm="1">
        <f t="array" ref="Y14">INDEX(Drivers!$C$88:$AG$104,$G14,Y$9)</f>
        <v>121.706</v>
      </c>
      <c r="Z14" s="182" cm="1">
        <f t="array" ref="Z14">INDEX(Drivers!$C$88:$AG$104,$G14,Z$9)</f>
        <v>124.937</v>
      </c>
      <c r="AA14" s="182" cm="1">
        <f t="array" ref="AA14">INDEX(Drivers!$C$88:$AG$104,$G14,AA$9)</f>
        <v>131.876</v>
      </c>
      <c r="AB14" s="182" cm="1">
        <f t="array" ref="AB14">INDEX(Drivers!$C$88:$AG$104,$G14,AB$9)</f>
        <v>137.161</v>
      </c>
      <c r="AC14" s="182" cm="1">
        <f t="array" ref="AC14">INDEX(Drivers!$C$88:$AG$104,$G14,AC$9)</f>
        <v>140.69499999999999</v>
      </c>
      <c r="AD14" s="182" cm="1">
        <f t="array" ref="AD14">INDEX(Drivers!$C$88:$AG$104,$G14,AD$9)</f>
        <v>143.66999999999999</v>
      </c>
      <c r="AE14" s="182" cm="1">
        <f t="array" ref="AE14">INDEX(Drivers!$C$88:$AG$104,$G14,AE$9)</f>
        <v>146.92400000000001</v>
      </c>
      <c r="AF14" s="182" cm="1">
        <f t="array" ref="AF14">INDEX(Drivers!$C$88:$AG$104,$G14,AF$9)</f>
        <v>151</v>
      </c>
      <c r="AG14" s="182" cm="1">
        <f t="array" ref="AG14">INDEX(Drivers!$C$88:$AG$104,$G14,AG$9)</f>
        <v>155.93299999999999</v>
      </c>
      <c r="AH14" s="182" cm="1">
        <f t="array" ref="AH14">INDEX(Drivers!$C$88:$AG$104,$G14,AH$9)</f>
        <v>166.673</v>
      </c>
      <c r="AI14" s="182" cm="1">
        <f t="array" ref="AI14">INDEX(Drivers!$C$88:$AG$104,$G14,AI$9)</f>
        <v>175.935</v>
      </c>
      <c r="AJ14" s="182" cm="1">
        <f t="array" ref="AJ14">INDEX(Drivers!$C$88:$AG$104,$G14,AJ$9)</f>
        <v>179.65</v>
      </c>
      <c r="AK14" s="182" cm="1">
        <f t="array" ref="AK14">INDEX(Drivers!$C$88:$AG$104,$G14,AK$9)</f>
        <v>183.81800000000001</v>
      </c>
      <c r="AL14" s="182" cm="1">
        <f t="array" ref="AL14">INDEX(Drivers!$C$88:$AG$104,$G14,AL$9)</f>
        <v>186.33199999999999</v>
      </c>
      <c r="AM14" s="182" cm="1">
        <f t="array" ref="AM14">INDEX(Drivers!$C$88:$AG$104,$G14,AM$9)</f>
        <v>193.435</v>
      </c>
      <c r="AN14" s="182" cm="1">
        <f t="array" ref="AN14">INDEX(Drivers!$C$88:$AG$104,$G14,AN$9)</f>
        <v>213.45</v>
      </c>
      <c r="AO14" s="182" cm="1">
        <f t="array" ref="AO14">INDEX(Drivers!$C$88:$AK$104,$G14,AO$9)</f>
        <v>228.876</v>
      </c>
      <c r="AP14" s="182" cm="1">
        <f t="array" ref="AP14">INDEX(Drivers!$C$88:$AK$104,$G14,AP$9)</f>
        <v>243.43715137097897</v>
      </c>
      <c r="AQ14" s="182" cm="1">
        <f t="array" ref="AQ14">INDEX(Drivers!$C$88:$AK$104,$G14,AQ$9)</f>
        <v>257.32860266185997</v>
      </c>
    </row>
    <row r="15" spans="1:49">
      <c r="A15" t="s">
        <v>16</v>
      </c>
      <c r="B15" s="3" t="str">
        <f>[4]IND!B14</f>
        <v>CP</v>
      </c>
      <c r="C15" s="3" t="str">
        <f>[4]IND!A14</f>
        <v>Chemicals</v>
      </c>
      <c r="D15">
        <f>[4]IND!M14</f>
        <v>1</v>
      </c>
      <c r="F15" s="3"/>
      <c r="G15">
        <f>MATCH(B15,Drivers!$A$7:$A$25,0)</f>
        <v>3</v>
      </c>
      <c r="I15" s="3"/>
      <c r="J15" s="3"/>
      <c r="K15" cm="1">
        <f t="array" ref="K15">INDEX(Drivers!$C$7:$AG$25,$G15,K$9)</f>
        <v>72.107894835057621</v>
      </c>
      <c r="L15" cm="1">
        <f t="array" ref="L15">INDEX(Drivers!$C$7:$AG$25,$G15,L$9)</f>
        <v>74.266300997437128</v>
      </c>
      <c r="M15" cm="1">
        <f t="array" ref="M15">INDEX(Drivers!$C$7:$AG$25,$G15,M$9)</f>
        <v>75.801027741220466</v>
      </c>
      <c r="N15" cm="1">
        <f t="array" ref="N15">INDEX(Drivers!$C$7:$AG$25,$G15,N$9)</f>
        <v>76.644854367250801</v>
      </c>
      <c r="O15" cm="1">
        <f t="array" ref="O15">INDEX(Drivers!$C$7:$AG$25,$G15,O$9)</f>
        <v>77.466834349241523</v>
      </c>
      <c r="P15" cm="1">
        <f t="array" ref="P15">INDEX(Drivers!$C$7:$AG$25,$G15,P$9)</f>
        <v>78.131791577197461</v>
      </c>
      <c r="Q15" cm="1">
        <f t="array" ref="Q15">INDEX(Drivers!$C$7:$AG$25,$G15,Q$9)</f>
        <v>79.016580660802092</v>
      </c>
      <c r="R15" cm="1">
        <f t="array" ref="R15">INDEX(Drivers!$C$7:$AG$25,$G15,R$9)</f>
        <v>78.849999999999994</v>
      </c>
      <c r="S15" cm="1">
        <f t="array" ref="S15">INDEX(Drivers!$C$7:$AG$25,$G15,S$9)</f>
        <v>77.7</v>
      </c>
      <c r="T15" cm="1">
        <f t="array" ref="T15">INDEX(Drivers!$C$7:$AG$25,$G15,T$9)</f>
        <v>76.135205707164062</v>
      </c>
      <c r="U15" cm="1">
        <f t="array" ref="U15">INDEX(Drivers!$C$7:$AG$25,$G15,U$9)</f>
        <v>77.742235294203837</v>
      </c>
      <c r="V15" cm="1">
        <f t="array" ref="V15">INDEX(Drivers!$C$7:$AG$25,$G15,V$9)</f>
        <v>77.87811750787796</v>
      </c>
      <c r="W15" cm="1">
        <f t="array" ref="W15">INDEX(Drivers!$C$7:$AG$25,$G15,W$9)</f>
        <v>78.673049806759337</v>
      </c>
      <c r="X15" cm="1">
        <f t="array" ref="X15">INDEX(Drivers!$C$7:$AG$25,$G15,X$9)</f>
        <v>79.521149223415563</v>
      </c>
      <c r="Y15" cm="1">
        <f t="array" ref="Y15">INDEX(Drivers!$C$7:$AG$25,$G15,Y$9)</f>
        <v>80.774652394623175</v>
      </c>
      <c r="Z15" cm="1">
        <f t="array" ref="Z15">INDEX(Drivers!$C$7:$AG$25,$G15,Z$9)</f>
        <v>82.191765517127848</v>
      </c>
      <c r="AA15" cm="1">
        <f t="array" ref="AA15">INDEX(Drivers!$C$7:$AG$25,$G15,AA$9)</f>
        <v>83.743576134007128</v>
      </c>
      <c r="AB15" cm="1">
        <f t="array" ref="AB15">INDEX(Drivers!$C$7:$AG$25,$G15,AB$9)</f>
        <v>85.69894701205537</v>
      </c>
      <c r="AC15" cm="1">
        <f t="array" ref="AC15">INDEX(Drivers!$C$7:$AG$25,$G15,AC$9)</f>
        <v>88.078439163688699</v>
      </c>
      <c r="AD15" cm="1">
        <f t="array" ref="AD15">INDEX(Drivers!$C$7:$AG$25,$G15,AD$9)</f>
        <v>90.895610853007341</v>
      </c>
      <c r="AE15" cm="1">
        <f t="array" ref="AE15">INDEX(Drivers!$C$7:$AG$25,$G15,AE$9)</f>
        <v>93.839248568518911</v>
      </c>
      <c r="AF15" cm="1">
        <f t="array" ref="AF15">INDEX(Drivers!$C$7:$AG$25,$G15,AF$9)</f>
        <v>97.041782283230575</v>
      </c>
      <c r="AG15" cm="1">
        <f t="array" ref="AG15">INDEX(Drivers!$C$7:$AG$25,$G15,AG$9)</f>
        <v>100.63131738787621</v>
      </c>
      <c r="AH15" cm="1">
        <f t="array" ref="AH15">INDEX(Drivers!$C$7:$AG$25,$G15,AH$9)</f>
        <v>104.5302146152469</v>
      </c>
      <c r="AI15" cm="1">
        <f t="array" ref="AI15">INDEX(Drivers!$C$7:$AG$25,$G15,AI$9)</f>
        <v>108.65405249955944</v>
      </c>
      <c r="AJ15" cm="1">
        <f t="array" ref="AJ15">INDEX(Drivers!$C$7:$AG$25,$G15,AJ$9)</f>
        <v>112.97775869175773</v>
      </c>
      <c r="AK15" cm="1">
        <f t="array" ref="AK15">INDEX(Drivers!$C$7:$AG$25,$G15,AK$9)</f>
        <v>117.55924489173901</v>
      </c>
      <c r="AL15" cm="1">
        <f t="array" ref="AL15">INDEX(Drivers!$C$7:$AG$25,$G15,AL$9)</f>
        <v>122.2093857914187</v>
      </c>
      <c r="AM15" cm="1">
        <f t="array" ref="AM15">INDEX(Drivers!$C$7:$AG$25,$G15,AM$9)</f>
        <v>126.87883757879234</v>
      </c>
      <c r="AN15" cm="1">
        <f t="array" ref="AN15">INDEX(Drivers!$C$7:$AG$25,$G15,AN$9)</f>
        <v>151.95081165067981</v>
      </c>
      <c r="AO15" cm="1">
        <f t="array" ref="AO15">INDEX(Drivers!$C$7:$AK$25,$G15,AO$9)</f>
        <v>182.09353675989101</v>
      </c>
      <c r="AP15" cm="1">
        <f t="array" ref="AP15">INDEX(Drivers!$C$7:$AK$25,$G15,AP$9)</f>
        <v>213.46298674732734</v>
      </c>
      <c r="AQ15" cm="1">
        <f t="array" ref="AQ15">INDEX(Drivers!$C$7:$AK$25,$G15,AQ$9)</f>
        <v>239.03171955828529</v>
      </c>
    </row>
    <row r="16" spans="1:49">
      <c r="A16" t="s">
        <v>16</v>
      </c>
      <c r="B16" s="3" t="s">
        <v>692</v>
      </c>
      <c r="C16" s="3" t="s">
        <v>696</v>
      </c>
      <c r="D16">
        <v>0</v>
      </c>
      <c r="F16" s="3" t="s">
        <v>697</v>
      </c>
      <c r="G16">
        <f>MATCH(B16,Drivers!$A$88:$A$104,0)</f>
        <v>2</v>
      </c>
      <c r="I16" s="3"/>
      <c r="J16" s="3"/>
      <c r="K16" s="182" cm="1">
        <f t="array" ref="K16">INDEX(Drivers!$C$88:$AG$104,$G16,K$9)</f>
        <v>8.9365799535127532</v>
      </c>
      <c r="L16" s="182" cm="1">
        <f t="array" ref="L16">INDEX(Drivers!$C$88:$AG$104,$G16,L$9)</f>
        <v>9.0598644843951579</v>
      </c>
      <c r="M16" s="182" cm="1">
        <f t="array" ref="M16">INDEX(Drivers!$C$88:$AG$104,$G16,M$9)</f>
        <v>9.1538107433496982</v>
      </c>
      <c r="N16" s="182" cm="1">
        <f t="array" ref="N16">INDEX(Drivers!$C$88:$AG$104,$G16,N$9)</f>
        <v>9.1222677109859784</v>
      </c>
      <c r="O16" s="182" cm="1">
        <f t="array" ref="O16">INDEX(Drivers!$C$88:$AG$104,$G16,O$9)</f>
        <v>9.1065639127530105</v>
      </c>
      <c r="P16" s="182" cm="1">
        <f t="array" ref="P16">INDEX(Drivers!$C$88:$AG$104,$G16,P$9)</f>
        <v>9.1664973983391231</v>
      </c>
      <c r="Q16" s="182" cm="1">
        <f t="array" ref="Q16">INDEX(Drivers!$C$88:$AG$104,$G16,Q$9)</f>
        <v>9.2089562288318536</v>
      </c>
      <c r="R16" s="182" cm="1">
        <f t="array" ref="R16">INDEX(Drivers!$C$88:$AG$104,$G16,R$9)</f>
        <v>9.1050000000000004</v>
      </c>
      <c r="S16" s="182" cm="1">
        <f t="array" ref="S16">INDEX(Drivers!$C$88:$AG$104,$G16,S$9)</f>
        <v>8.6709999999999994</v>
      </c>
      <c r="T16" s="182" cm="1">
        <f t="array" ref="T16">INDEX(Drivers!$C$88:$AG$104,$G16,T$9)</f>
        <v>8.7420000000000009</v>
      </c>
      <c r="U16" s="182" cm="1">
        <f t="array" ref="U16">INDEX(Drivers!$C$88:$AG$104,$G16,U$9)</f>
        <v>8.8580000000000005</v>
      </c>
      <c r="V16" s="182" cm="1">
        <f t="array" ref="V16">INDEX(Drivers!$C$88:$AG$104,$G16,V$9)</f>
        <v>8.9559999999999995</v>
      </c>
      <c r="W16" s="182" cm="1">
        <f t="array" ref="W16">INDEX(Drivers!$C$88:$AG$104,$G16,W$9)</f>
        <v>9.0570000000000004</v>
      </c>
      <c r="X16" s="182" cm="1">
        <f t="array" ref="X16">INDEX(Drivers!$C$88:$AG$104,$G16,X$9)</f>
        <v>9.157</v>
      </c>
      <c r="Y16" s="182" cm="1">
        <f t="array" ref="Y16">INDEX(Drivers!$C$88:$AG$104,$G16,Y$9)</f>
        <v>9.2420000000000009</v>
      </c>
      <c r="Z16" s="182" cm="1">
        <f t="array" ref="Z16">INDEX(Drivers!$C$88:$AG$104,$G16,Z$9)</f>
        <v>9.3409999999999993</v>
      </c>
      <c r="AA16" s="182" cm="1">
        <f t="array" ref="AA16">INDEX(Drivers!$C$88:$AG$104,$G16,AA$9)</f>
        <v>9.3659999999999997</v>
      </c>
      <c r="AB16" s="182" cm="1">
        <f t="array" ref="AB16">INDEX(Drivers!$C$88:$AG$104,$G16,AB$9)</f>
        <v>9.4169999999999998</v>
      </c>
      <c r="AC16" s="182" cm="1">
        <f t="array" ref="AC16">INDEX(Drivers!$C$88:$AG$104,$G16,AC$9)</f>
        <v>9.51</v>
      </c>
      <c r="AD16" s="182" cm="1">
        <f t="array" ref="AD16">INDEX(Drivers!$C$88:$AG$104,$G16,AD$9)</f>
        <v>8.3460000000000001</v>
      </c>
      <c r="AE16" s="182" cm="1">
        <f t="array" ref="AE16">INDEX(Drivers!$C$88:$AG$104,$G16,AE$9)</f>
        <v>7.7060000000000004</v>
      </c>
      <c r="AF16" s="182" cm="1">
        <f t="array" ref="AF16">INDEX(Drivers!$C$88:$AG$104,$G16,AF$9)</f>
        <v>7.6909999999999998</v>
      </c>
      <c r="AG16" s="182" cm="1">
        <f t="array" ref="AG16">INDEX(Drivers!$C$88:$AG$104,$G16,AG$9)</f>
        <v>7.83</v>
      </c>
      <c r="AH16" s="182" cm="1">
        <f t="array" ref="AH16">INDEX(Drivers!$C$88:$AG$104,$G16,AH$9)</f>
        <v>8.0020000000000007</v>
      </c>
      <c r="AI16" s="182" cm="1">
        <f t="array" ref="AI16">INDEX(Drivers!$C$88:$AG$104,$G16,AI$9)</f>
        <v>8.1920000000000002</v>
      </c>
      <c r="AJ16" s="182" cm="1">
        <f t="array" ref="AJ16">INDEX(Drivers!$C$88:$AG$104,$G16,AJ$9)</f>
        <v>8.4</v>
      </c>
      <c r="AK16" s="182" cm="1">
        <f t="array" ref="AK16">INDEX(Drivers!$C$88:$AG$104,$G16,AK$9)</f>
        <v>8.6069999999999993</v>
      </c>
      <c r="AL16" s="182" cm="1">
        <f t="array" ref="AL16">INDEX(Drivers!$C$88:$AG$104,$G16,AL$9)</f>
        <v>8.8249999999999993</v>
      </c>
      <c r="AM16" s="182" cm="1">
        <f t="array" ref="AM16">INDEX(Drivers!$C$88:$AG$104,$G16,AM$9)</f>
        <v>9.0540000000000003</v>
      </c>
      <c r="AN16" s="182" cm="1">
        <f t="array" ref="AN16">INDEX(Drivers!$C$88:$AG$104,$G16,AN$9)</f>
        <v>10.702999999999999</v>
      </c>
      <c r="AO16" s="182" cm="1">
        <f t="array" ref="AO16">INDEX(Drivers!$C$88:$AG$104,$G16,AO$9)</f>
        <v>16.475000000000001</v>
      </c>
      <c r="AP16" s="182" cm="1">
        <f t="array" ref="AP16">INDEX(Drivers!$C$88:$AK$104,$G16,AP$9)</f>
        <v>23.944135932656788</v>
      </c>
      <c r="AQ16" s="182" cm="1">
        <f t="array" ref="AQ16">INDEX(Drivers!$C$88:$AK$104,$G16,AQ$9)</f>
        <v>26.699601671526349</v>
      </c>
    </row>
    <row r="17" spans="1:43">
      <c r="A17" t="s">
        <v>16</v>
      </c>
      <c r="B17" s="3" t="str">
        <f>[4]IND!B15</f>
        <v>NF</v>
      </c>
      <c r="C17" s="3" t="str">
        <f>[4]IND!A15</f>
        <v>Precious &amp; Non-Ferrous metals</v>
      </c>
      <c r="D17">
        <f>[4]IND!M15</f>
        <v>1</v>
      </c>
      <c r="F17" s="3"/>
      <c r="G17">
        <f>MATCH(B17,Drivers!$A$7:$A$25,0)</f>
        <v>12</v>
      </c>
      <c r="I17" s="3"/>
      <c r="J17" s="3"/>
      <c r="K17" cm="1">
        <f t="array" ref="K17">INDEX(Drivers!$C$7:$AG$25,$G17,K$9)</f>
        <v>18.748363502594032</v>
      </c>
      <c r="L17" cm="1">
        <f t="array" ref="L17">INDEX(Drivers!$C$7:$AG$25,$G17,L$9)</f>
        <v>15.909210489014884</v>
      </c>
      <c r="M17" cm="1">
        <f t="array" ref="M17">INDEX(Drivers!$C$7:$AG$25,$G17,M$9)</f>
        <v>14.603991495393339</v>
      </c>
      <c r="N17" cm="1">
        <f t="array" ref="N17">INDEX(Drivers!$C$7:$AG$25,$G17,N$9)</f>
        <v>14.80978596739901</v>
      </c>
      <c r="O17" cm="1">
        <f t="array" ref="O17">INDEX(Drivers!$C$7:$AG$25,$G17,O$9)</f>
        <v>14.414883061658401</v>
      </c>
      <c r="P17" cm="1">
        <f t="array" ref="P17">INDEX(Drivers!$C$7:$AG$25,$G17,P$9)</f>
        <v>13.877221828490436</v>
      </c>
      <c r="Q17" cm="1">
        <f t="array" ref="Q17">INDEX(Drivers!$C$7:$AG$25,$G17,Q$9)</f>
        <v>13.621369241672575</v>
      </c>
      <c r="R17" cm="1">
        <f t="array" ref="R17">INDEX(Drivers!$C$7:$AG$25,$G17,R$9)</f>
        <v>13.08</v>
      </c>
      <c r="S17" cm="1">
        <f t="array" ref="S17">INDEX(Drivers!$C$7:$AG$25,$G17,S$9)</f>
        <v>12.33</v>
      </c>
      <c r="T17" cm="1">
        <f t="array" ref="T17">INDEX(Drivers!$C$7:$AG$25,$G17,T$9)</f>
        <v>12.629657459095826</v>
      </c>
      <c r="U17" cm="1">
        <f t="array" ref="U17">INDEX(Drivers!$C$7:$AG$25,$G17,U$9)</f>
        <v>12.896238904859688</v>
      </c>
      <c r="V17" cm="1">
        <f t="array" ref="V17">INDEX(Drivers!$C$7:$AG$25,$G17,V$9)</f>
        <v>12.918779670298596</v>
      </c>
      <c r="W17" cm="1">
        <f t="array" ref="W17">INDEX(Drivers!$C$7:$AG$25,$G17,W$9)</f>
        <v>13.050646689567692</v>
      </c>
      <c r="X17" cm="1">
        <f t="array" ref="X17">INDEX(Drivers!$C$7:$AG$25,$G17,X$9)</f>
        <v>13.191333314423288</v>
      </c>
      <c r="Y17" cm="1">
        <f t="array" ref="Y17">INDEX(Drivers!$C$7:$AG$25,$G17,Y$9)</f>
        <v>13.399270175290699</v>
      </c>
      <c r="Z17" cm="1">
        <f t="array" ref="Z17">INDEX(Drivers!$C$7:$AG$25,$G17,Z$9)</f>
        <v>13.634347406011829</v>
      </c>
      <c r="AA17" cm="1">
        <f t="array" ref="AA17">INDEX(Drivers!$C$7:$AG$25,$G17,AA$9)</f>
        <v>13.891768875495417</v>
      </c>
      <c r="AB17" cm="1">
        <f t="array" ref="AB17">INDEX(Drivers!$C$7:$AG$25,$G17,AB$9)</f>
        <v>14.216134773845086</v>
      </c>
      <c r="AC17" cm="1">
        <f t="array" ref="AC17">INDEX(Drivers!$C$7:$AG$25,$G17,AC$9)</f>
        <v>14.610855856195929</v>
      </c>
      <c r="AD17" cm="1">
        <f t="array" ref="AD17">INDEX(Drivers!$C$7:$AG$25,$G17,AD$9)</f>
        <v>15.078181229642825</v>
      </c>
      <c r="AE17" cm="1">
        <f t="array" ref="AE17">INDEX(Drivers!$C$7:$AG$25,$G17,AE$9)</f>
        <v>15.566485368119571</v>
      </c>
      <c r="AF17" cm="1">
        <f t="array" ref="AF17">INDEX(Drivers!$C$7:$AG$25,$G17,AF$9)</f>
        <v>16.097736363534011</v>
      </c>
      <c r="AG17" cm="1">
        <f t="array" ref="AG17">INDEX(Drivers!$C$7:$AG$25,$G17,AG$9)</f>
        <v>16.693184926232366</v>
      </c>
      <c r="AH17" cm="1">
        <f t="array" ref="AH17">INDEX(Drivers!$C$7:$AG$25,$G17,AH$9)</f>
        <v>17.339951898128483</v>
      </c>
      <c r="AI17" cm="1">
        <f t="array" ref="AI17">INDEX(Drivers!$C$7:$AG$25,$G17,AI$9)</f>
        <v>18.024033058899668</v>
      </c>
      <c r="AJ17" cm="1">
        <f t="array" ref="AJ17">INDEX(Drivers!$C$7:$AG$25,$G17,AJ$9)</f>
        <v>18.74126929217746</v>
      </c>
      <c r="AK17" cm="1">
        <f t="array" ref="AK17">INDEX(Drivers!$C$7:$AG$25,$G17,AK$9)</f>
        <v>19.501267256613158</v>
      </c>
      <c r="AL17" cm="1">
        <f t="array" ref="AL17">INDEX(Drivers!$C$7:$AG$25,$G17,AL$9)</f>
        <v>20.272653977828256</v>
      </c>
      <c r="AM17" cm="1">
        <f t="array" ref="AM17">INDEX(Drivers!$C$7:$AG$25,$G17,AM$9)</f>
        <v>21.047244077750229</v>
      </c>
      <c r="AN17" cm="1">
        <f t="array" ref="AN17">INDEX(Drivers!$C$7:$AG$25,$G17,AN$9)</f>
        <v>25.206298242116603</v>
      </c>
      <c r="AO17" cm="1">
        <f t="array" ref="AO17">INDEX(Drivers!$C$7:$AG$25,$G17,AO$9)</f>
        <v>30.206511868349747</v>
      </c>
      <c r="AP17" cm="1">
        <f t="array" ref="AP17">INDEX(Drivers!$C$7:$AK$25,$G17,AP$9)</f>
        <v>35.410220249271333</v>
      </c>
      <c r="AQ17" cm="1">
        <f t="array" ref="AQ17">INDEX(Drivers!$C$7:$AK$25,$G17,AQ$9)</f>
        <v>39.651679033891881</v>
      </c>
    </row>
    <row r="18" spans="1:43">
      <c r="A18" t="s">
        <v>16</v>
      </c>
      <c r="B18" s="3" t="str">
        <f>[4]IND!B16</f>
        <v>NM</v>
      </c>
      <c r="C18" s="3" t="str">
        <f>[4]IND!A16</f>
        <v>N.M.M Products</v>
      </c>
      <c r="D18">
        <f>[4]IND!M16</f>
        <v>0</v>
      </c>
      <c r="F18" s="3" t="s">
        <v>277</v>
      </c>
      <c r="G18">
        <f>MATCH(B18,Drivers!$A$7:$A$25,0)</f>
        <v>13</v>
      </c>
      <c r="I18" s="3"/>
      <c r="J18" s="3"/>
      <c r="K18" cm="1">
        <f t="array" ref="K18">INDEX(Drivers!$C$7:$AG$25,$G18,K$9)</f>
        <v>16.099074173411047</v>
      </c>
      <c r="L18" cm="1">
        <f t="array" ref="L18">INDEX(Drivers!$C$7:$AG$25,$G18,L$9)</f>
        <v>16.518849146566016</v>
      </c>
      <c r="M18" cm="1">
        <f t="array" ref="M18">INDEX(Drivers!$C$7:$AG$25,$G18,M$9)</f>
        <v>16.808536607755151</v>
      </c>
      <c r="N18" cm="1">
        <f t="array" ref="N18">INDEX(Drivers!$C$7:$AG$25,$G18,N$9)</f>
        <v>17.0461507724374</v>
      </c>
      <c r="O18" cm="1">
        <f t="array" ref="O18">INDEX(Drivers!$C$7:$AG$25,$G18,O$9)</f>
        <v>17.232929214387152</v>
      </c>
      <c r="P18" cm="1">
        <f t="array" ref="P18">INDEX(Drivers!$C$7:$AG$25,$G18,P$9)</f>
        <v>17.424562753451802</v>
      </c>
      <c r="Q18" cm="1">
        <f t="array" ref="Q18">INDEX(Drivers!$C$7:$AG$25,$G18,Q$9)</f>
        <v>17.64894439854638</v>
      </c>
      <c r="R18" cm="1">
        <f t="array" ref="R18">INDEX(Drivers!$C$7:$AG$25,$G18,R$9)</f>
        <v>17.63</v>
      </c>
      <c r="S18" cm="1">
        <f t="array" ref="S18">INDEX(Drivers!$C$7:$AG$25,$G18,S$9)</f>
        <v>16.46</v>
      </c>
      <c r="T18" cm="1">
        <f t="array" ref="T18">INDEX(Drivers!$C$7:$AG$25,$G18,T$9)</f>
        <v>17.023001605799649</v>
      </c>
      <c r="U18" cm="1">
        <f t="array" ref="U18">INDEX(Drivers!$C$7:$AG$25,$G18,U$9)</f>
        <v>17.382315893935495</v>
      </c>
      <c r="V18" cm="1">
        <f t="array" ref="V18">INDEX(Drivers!$C$7:$AG$25,$G18,V$9)</f>
        <v>17.412697674874938</v>
      </c>
      <c r="W18" cm="1">
        <f t="array" ref="W18">INDEX(Drivers!$C$7:$AG$25,$G18,W$9)</f>
        <v>17.590435866749111</v>
      </c>
      <c r="X18" cm="1">
        <f t="array" ref="X18">INDEX(Drivers!$C$7:$AG$25,$G18,X$9)</f>
        <v>17.780061646275421</v>
      </c>
      <c r="Y18" cm="1">
        <f t="array" ref="Y18">INDEX(Drivers!$C$7:$AG$25,$G18,Y$9)</f>
        <v>18.060331283667811</v>
      </c>
      <c r="Z18" cm="1">
        <f t="array" ref="Z18">INDEX(Drivers!$C$7:$AG$25,$G18,Z$9)</f>
        <v>18.377182321711658</v>
      </c>
      <c r="AA18" cm="1">
        <f t="array" ref="AA18">INDEX(Drivers!$C$7:$AG$25,$G18,AA$9)</f>
        <v>18.724150250381051</v>
      </c>
      <c r="AB18" cm="1">
        <f t="array" ref="AB18">INDEX(Drivers!$C$7:$AG$25,$G18,AB$9)</f>
        <v>19.161349851902813</v>
      </c>
      <c r="AC18" cm="1">
        <f t="array" ref="AC18">INDEX(Drivers!$C$7:$AG$25,$G18,AC$9)</f>
        <v>19.693378344398642</v>
      </c>
      <c r="AD18" cm="1">
        <f t="array" ref="AD18">INDEX(Drivers!$C$7:$AG$25,$G18,AD$9)</f>
        <v>20.323267207844264</v>
      </c>
      <c r="AE18" cm="1">
        <f t="array" ref="AE18">INDEX(Drivers!$C$7:$AG$25,$G18,AE$9)</f>
        <v>20.981432495408868</v>
      </c>
      <c r="AF18" cm="1">
        <f t="array" ref="AF18">INDEX(Drivers!$C$7:$AG$25,$G18,AF$9)</f>
        <v>21.697484104671609</v>
      </c>
      <c r="AG18" cm="1">
        <f t="array" ref="AG18">INDEX(Drivers!$C$7:$AG$25,$G18,AG$9)</f>
        <v>22.50006500378262</v>
      </c>
      <c r="AH18" cm="1">
        <f t="array" ref="AH18">INDEX(Drivers!$C$7:$AG$25,$G18,AH$9)</f>
        <v>23.371815899388775</v>
      </c>
      <c r="AI18" cm="1">
        <f t="array" ref="AI18">INDEX(Drivers!$C$7:$AG$25,$G18,AI$9)</f>
        <v>24.293861072507738</v>
      </c>
      <c r="AJ18" cm="1">
        <f t="array" ref="AJ18">INDEX(Drivers!$C$7:$AG$25,$G18,AJ$9)</f>
        <v>25.260594619349291</v>
      </c>
      <c r="AK18" cm="1">
        <f t="array" ref="AK18">INDEX(Drivers!$C$7:$AG$25,$G18,AK$9)</f>
        <v>26.284964964379984</v>
      </c>
      <c r="AL18" cm="1">
        <f t="array" ref="AL18">INDEX(Drivers!$C$7:$AG$25,$G18,AL$9)</f>
        <v>27.324685751461189</v>
      </c>
      <c r="AM18" cm="1">
        <f t="array" ref="AM18">INDEX(Drivers!$C$7:$AG$25,$G18,AM$9)</f>
        <v>28.368724242411069</v>
      </c>
      <c r="AN18" cm="1">
        <f t="array" ref="AN18">INDEX(Drivers!$C$7:$AG$25,$G18,AN$9)</f>
        <v>33.974544190253518</v>
      </c>
      <c r="AO18" cm="1">
        <f t="array" ref="AO18">INDEX(Drivers!$C$7:$AG$25,$G18,AO$9)</f>
        <v>40.714128764450024</v>
      </c>
      <c r="AP18" cm="1">
        <f t="array" ref="AP18">INDEX(Drivers!$C$7:$AK$25,$G18,AP$9)</f>
        <v>47.727995641793115</v>
      </c>
      <c r="AQ18" cm="1">
        <f t="array" ref="AQ18">INDEX(Drivers!$C$7:$AK$25,$G18,AQ$9)</f>
        <v>53.444885425650945</v>
      </c>
    </row>
    <row r="19" spans="1:43">
      <c r="A19" t="s">
        <v>16</v>
      </c>
      <c r="B19" s="3" t="str">
        <f t="shared" ref="B19:D21" si="8">B18</f>
        <v>NM</v>
      </c>
      <c r="C19" s="3" t="str">
        <f t="shared" si="8"/>
        <v>N.M.M Products</v>
      </c>
      <c r="D19">
        <f t="shared" si="8"/>
        <v>0</v>
      </c>
      <c r="F19" s="3" t="s">
        <v>281</v>
      </c>
      <c r="G19">
        <f>MATCH(B19,Drivers!$A$7:$A$25,0)</f>
        <v>13</v>
      </c>
      <c r="I19" s="3"/>
      <c r="J19" s="3"/>
      <c r="K19" cm="1">
        <f t="array" ref="K19">INDEX(Drivers!$C$7:$AG$25,$G19,K$9)</f>
        <v>16.099074173411047</v>
      </c>
      <c r="L19" cm="1">
        <f t="array" ref="L19">INDEX(Drivers!$C$7:$AG$25,$G19,L$9)</f>
        <v>16.518849146566016</v>
      </c>
      <c r="M19" cm="1">
        <f t="array" ref="M19">INDEX(Drivers!$C$7:$AG$25,$G19,M$9)</f>
        <v>16.808536607755151</v>
      </c>
      <c r="N19" cm="1">
        <f t="array" ref="N19">INDEX(Drivers!$C$7:$AG$25,$G19,N$9)</f>
        <v>17.0461507724374</v>
      </c>
      <c r="O19" cm="1">
        <f t="array" ref="O19">INDEX(Drivers!$C$7:$AG$25,$G19,O$9)</f>
        <v>17.232929214387152</v>
      </c>
      <c r="P19" cm="1">
        <f t="array" ref="P19">INDEX(Drivers!$C$7:$AG$25,$G19,P$9)</f>
        <v>17.424562753451802</v>
      </c>
      <c r="Q19" cm="1">
        <f t="array" ref="Q19">INDEX(Drivers!$C$7:$AG$25,$G19,Q$9)</f>
        <v>17.64894439854638</v>
      </c>
      <c r="R19" cm="1">
        <f t="array" ref="R19">INDEX(Drivers!$C$7:$AG$25,$G19,R$9)</f>
        <v>17.63</v>
      </c>
      <c r="S19" cm="1">
        <f t="array" ref="S19">INDEX(Drivers!$C$7:$AG$25,$G19,S$9)</f>
        <v>16.46</v>
      </c>
      <c r="T19" cm="1">
        <f t="array" ref="T19">INDEX(Drivers!$C$7:$AG$25,$G19,T$9)</f>
        <v>17.023001605799649</v>
      </c>
      <c r="U19" cm="1">
        <f t="array" ref="U19">INDEX(Drivers!$C$7:$AG$25,$G19,U$9)</f>
        <v>17.382315893935495</v>
      </c>
      <c r="V19" cm="1">
        <f t="array" ref="V19">INDEX(Drivers!$C$7:$AG$25,$G19,V$9)</f>
        <v>17.412697674874938</v>
      </c>
      <c r="W19" cm="1">
        <f t="array" ref="W19">INDEX(Drivers!$C$7:$AG$25,$G19,W$9)</f>
        <v>17.590435866749111</v>
      </c>
      <c r="X19" cm="1">
        <f t="array" ref="X19">INDEX(Drivers!$C$7:$AG$25,$G19,X$9)</f>
        <v>17.780061646275421</v>
      </c>
      <c r="Y19" cm="1">
        <f t="array" ref="Y19">INDEX(Drivers!$C$7:$AG$25,$G19,Y$9)</f>
        <v>18.060331283667811</v>
      </c>
      <c r="Z19" cm="1">
        <f t="array" ref="Z19">INDEX(Drivers!$C$7:$AG$25,$G19,Z$9)</f>
        <v>18.377182321711658</v>
      </c>
      <c r="AA19" cm="1">
        <f t="array" ref="AA19">INDEX(Drivers!$C$7:$AG$25,$G19,AA$9)</f>
        <v>18.724150250381051</v>
      </c>
      <c r="AB19" cm="1">
        <f t="array" ref="AB19">INDEX(Drivers!$C$7:$AG$25,$G19,AB$9)</f>
        <v>19.161349851902813</v>
      </c>
      <c r="AC19" cm="1">
        <f t="array" ref="AC19">INDEX(Drivers!$C$7:$AG$25,$G19,AC$9)</f>
        <v>19.693378344398642</v>
      </c>
      <c r="AD19" cm="1">
        <f t="array" ref="AD19">INDEX(Drivers!$C$7:$AG$25,$G19,AD$9)</f>
        <v>20.323267207844264</v>
      </c>
      <c r="AE19" cm="1">
        <f t="array" ref="AE19">INDEX(Drivers!$C$7:$AG$25,$G19,AE$9)</f>
        <v>20.981432495408868</v>
      </c>
      <c r="AF19" cm="1">
        <f t="array" ref="AF19">INDEX(Drivers!$C$7:$AG$25,$G19,AF$9)</f>
        <v>21.697484104671609</v>
      </c>
      <c r="AG19" cm="1">
        <f t="array" ref="AG19">INDEX(Drivers!$C$7:$AG$25,$G19,AG$9)</f>
        <v>22.50006500378262</v>
      </c>
      <c r="AH19" cm="1">
        <f t="array" ref="AH19">INDEX(Drivers!$C$7:$AG$25,$G19,AH$9)</f>
        <v>23.371815899388775</v>
      </c>
      <c r="AI19" cm="1">
        <f t="array" ref="AI19">INDEX(Drivers!$C$7:$AG$25,$G19,AI$9)</f>
        <v>24.293861072507738</v>
      </c>
      <c r="AJ19" cm="1">
        <f t="array" ref="AJ19">INDEX(Drivers!$C$7:$AG$25,$G19,AJ$9)</f>
        <v>25.260594619349291</v>
      </c>
      <c r="AK19" cm="1">
        <f t="array" ref="AK19">INDEX(Drivers!$C$7:$AG$25,$G19,AK$9)</f>
        <v>26.284964964379984</v>
      </c>
      <c r="AL19" cm="1">
        <f t="array" ref="AL19">INDEX(Drivers!$C$7:$AG$25,$G19,AL$9)</f>
        <v>27.324685751461189</v>
      </c>
      <c r="AM19" cm="1">
        <f t="array" ref="AM19">INDEX(Drivers!$C$7:$AG$25,$G19,AM$9)</f>
        <v>28.368724242411069</v>
      </c>
      <c r="AN19" cm="1">
        <f t="array" ref="AN19">INDEX(Drivers!$C$7:$AG$25,$G19,AN$9)</f>
        <v>33.974544190253518</v>
      </c>
      <c r="AO19" cm="1">
        <f t="array" ref="AO19">INDEX(Drivers!$C$7:$AG$25,$G19,AO$9)</f>
        <v>40.714128764450024</v>
      </c>
      <c r="AP19" cm="1">
        <f t="array" ref="AP19">INDEX(Drivers!$C$7:$AK$25,$G19,AP$9)</f>
        <v>47.727995641793115</v>
      </c>
      <c r="AQ19" cm="1">
        <f t="array" ref="AQ19">INDEX(Drivers!$C$7:$AK$25,$G19,AQ$9)</f>
        <v>53.444885425650945</v>
      </c>
    </row>
    <row r="20" spans="1:43">
      <c r="A20" t="s">
        <v>16</v>
      </c>
      <c r="B20" s="3" t="str">
        <f t="shared" si="8"/>
        <v>NM</v>
      </c>
      <c r="C20" s="3" t="str">
        <f t="shared" si="8"/>
        <v>N.M.M Products</v>
      </c>
      <c r="D20">
        <f t="shared" si="8"/>
        <v>0</v>
      </c>
      <c r="F20" s="3" t="s">
        <v>282</v>
      </c>
      <c r="G20">
        <f>MATCH(B20,Drivers!$A$7:$A$25,0)</f>
        <v>13</v>
      </c>
      <c r="I20" s="3"/>
      <c r="J20" s="3"/>
      <c r="K20" cm="1">
        <f t="array" ref="K20">INDEX(Drivers!$C$7:$AG$25,$G20,K$9)</f>
        <v>16.099074173411047</v>
      </c>
      <c r="L20" cm="1">
        <f t="array" ref="L20">INDEX(Drivers!$C$7:$AG$25,$G20,L$9)</f>
        <v>16.518849146566016</v>
      </c>
      <c r="M20" cm="1">
        <f t="array" ref="M20">INDEX(Drivers!$C$7:$AG$25,$G20,M$9)</f>
        <v>16.808536607755151</v>
      </c>
      <c r="N20" cm="1">
        <f t="array" ref="N20">INDEX(Drivers!$C$7:$AG$25,$G20,N$9)</f>
        <v>17.0461507724374</v>
      </c>
      <c r="O20" cm="1">
        <f t="array" ref="O20">INDEX(Drivers!$C$7:$AG$25,$G20,O$9)</f>
        <v>17.232929214387152</v>
      </c>
      <c r="P20" cm="1">
        <f t="array" ref="P20">INDEX(Drivers!$C$7:$AG$25,$G20,P$9)</f>
        <v>17.424562753451802</v>
      </c>
      <c r="Q20" cm="1">
        <f t="array" ref="Q20">INDEX(Drivers!$C$7:$AG$25,$G20,Q$9)</f>
        <v>17.64894439854638</v>
      </c>
      <c r="R20" cm="1">
        <f t="array" ref="R20">INDEX(Drivers!$C$7:$AG$25,$G20,R$9)</f>
        <v>17.63</v>
      </c>
      <c r="S20" cm="1">
        <f t="array" ref="S20">INDEX(Drivers!$C$7:$AG$25,$G20,S$9)</f>
        <v>16.46</v>
      </c>
      <c r="T20" cm="1">
        <f t="array" ref="T20">INDEX(Drivers!$C$7:$AG$25,$G20,T$9)</f>
        <v>17.023001605799649</v>
      </c>
      <c r="U20" cm="1">
        <f t="array" ref="U20">INDEX(Drivers!$C$7:$AG$25,$G20,U$9)</f>
        <v>17.382315893935495</v>
      </c>
      <c r="V20" cm="1">
        <f t="array" ref="V20">INDEX(Drivers!$C$7:$AG$25,$G20,V$9)</f>
        <v>17.412697674874938</v>
      </c>
      <c r="W20" cm="1">
        <f t="array" ref="W20">INDEX(Drivers!$C$7:$AG$25,$G20,W$9)</f>
        <v>17.590435866749111</v>
      </c>
      <c r="X20" cm="1">
        <f t="array" ref="X20">INDEX(Drivers!$C$7:$AG$25,$G20,X$9)</f>
        <v>17.780061646275421</v>
      </c>
      <c r="Y20" cm="1">
        <f t="array" ref="Y20">INDEX(Drivers!$C$7:$AG$25,$G20,Y$9)</f>
        <v>18.060331283667811</v>
      </c>
      <c r="Z20" cm="1">
        <f t="array" ref="Z20">INDEX(Drivers!$C$7:$AG$25,$G20,Z$9)</f>
        <v>18.377182321711658</v>
      </c>
      <c r="AA20" cm="1">
        <f t="array" ref="AA20">INDEX(Drivers!$C$7:$AG$25,$G20,AA$9)</f>
        <v>18.724150250381051</v>
      </c>
      <c r="AB20" cm="1">
        <f t="array" ref="AB20">INDEX(Drivers!$C$7:$AG$25,$G20,AB$9)</f>
        <v>19.161349851902813</v>
      </c>
      <c r="AC20" cm="1">
        <f t="array" ref="AC20">INDEX(Drivers!$C$7:$AG$25,$G20,AC$9)</f>
        <v>19.693378344398642</v>
      </c>
      <c r="AD20" cm="1">
        <f t="array" ref="AD20">INDEX(Drivers!$C$7:$AG$25,$G20,AD$9)</f>
        <v>20.323267207844264</v>
      </c>
      <c r="AE20" cm="1">
        <f t="array" ref="AE20">INDEX(Drivers!$C$7:$AG$25,$G20,AE$9)</f>
        <v>20.981432495408868</v>
      </c>
      <c r="AF20" cm="1">
        <f t="array" ref="AF20">INDEX(Drivers!$C$7:$AG$25,$G20,AF$9)</f>
        <v>21.697484104671609</v>
      </c>
      <c r="AG20" cm="1">
        <f t="array" ref="AG20">INDEX(Drivers!$C$7:$AG$25,$G20,AG$9)</f>
        <v>22.50006500378262</v>
      </c>
      <c r="AH20" cm="1">
        <f t="array" ref="AH20">INDEX(Drivers!$C$7:$AG$25,$G20,AH$9)</f>
        <v>23.371815899388775</v>
      </c>
      <c r="AI20" cm="1">
        <f t="array" ref="AI20">INDEX(Drivers!$C$7:$AG$25,$G20,AI$9)</f>
        <v>24.293861072507738</v>
      </c>
      <c r="AJ20" cm="1">
        <f t="array" ref="AJ20">INDEX(Drivers!$C$7:$AG$25,$G20,AJ$9)</f>
        <v>25.260594619349291</v>
      </c>
      <c r="AK20" cm="1">
        <f t="array" ref="AK20">INDEX(Drivers!$C$7:$AG$25,$G20,AK$9)</f>
        <v>26.284964964379984</v>
      </c>
      <c r="AL20" cm="1">
        <f t="array" ref="AL20">INDEX(Drivers!$C$7:$AG$25,$G20,AL$9)</f>
        <v>27.324685751461189</v>
      </c>
      <c r="AM20" cm="1">
        <f t="array" ref="AM20">INDEX(Drivers!$C$7:$AG$25,$G20,AM$9)</f>
        <v>28.368724242411069</v>
      </c>
      <c r="AN20" cm="1">
        <f t="array" ref="AN20">INDEX(Drivers!$C$7:$AG$25,$G20,AN$9)</f>
        <v>33.974544190253518</v>
      </c>
      <c r="AO20" cm="1">
        <f t="array" ref="AO20">INDEX(Drivers!$C$7:$AG$25,$G20,AO$9)</f>
        <v>40.714128764450024</v>
      </c>
      <c r="AP20" cm="1">
        <f t="array" ref="AP20">INDEX(Drivers!$C$7:$AK$25,$G20,AP$9)</f>
        <v>47.727995641793115</v>
      </c>
      <c r="AQ20" cm="1">
        <f t="array" ref="AQ20">INDEX(Drivers!$C$7:$AK$25,$G20,AQ$9)</f>
        <v>53.444885425650945</v>
      </c>
    </row>
    <row r="21" spans="1:43">
      <c r="A21" t="s">
        <v>16</v>
      </c>
      <c r="B21" s="3" t="str">
        <f t="shared" si="8"/>
        <v>NM</v>
      </c>
      <c r="C21" s="3" t="str">
        <f t="shared" si="8"/>
        <v>N.M.M Products</v>
      </c>
      <c r="D21">
        <f t="shared" si="8"/>
        <v>0</v>
      </c>
      <c r="F21" s="3" t="s">
        <v>283</v>
      </c>
      <c r="G21">
        <f>MATCH(B21,Drivers!$A$7:$A$25,0)</f>
        <v>13</v>
      </c>
      <c r="I21" s="3"/>
      <c r="J21" s="3"/>
      <c r="K21" cm="1">
        <f t="array" ref="K21">INDEX(Drivers!$C$7:$AG$25,$G21,K$9)</f>
        <v>16.099074173411047</v>
      </c>
      <c r="L21" cm="1">
        <f t="array" ref="L21">INDEX(Drivers!$C$7:$AG$25,$G21,L$9)</f>
        <v>16.518849146566016</v>
      </c>
      <c r="M21" cm="1">
        <f t="array" ref="M21">INDEX(Drivers!$C$7:$AG$25,$G21,M$9)</f>
        <v>16.808536607755151</v>
      </c>
      <c r="N21" cm="1">
        <f t="array" ref="N21">INDEX(Drivers!$C$7:$AG$25,$G21,N$9)</f>
        <v>17.0461507724374</v>
      </c>
      <c r="O21" cm="1">
        <f t="array" ref="O21">INDEX(Drivers!$C$7:$AG$25,$G21,O$9)</f>
        <v>17.232929214387152</v>
      </c>
      <c r="P21" cm="1">
        <f t="array" ref="P21">INDEX(Drivers!$C$7:$AG$25,$G21,P$9)</f>
        <v>17.424562753451802</v>
      </c>
      <c r="Q21" cm="1">
        <f t="array" ref="Q21">INDEX(Drivers!$C$7:$AG$25,$G21,Q$9)</f>
        <v>17.64894439854638</v>
      </c>
      <c r="R21" cm="1">
        <f t="array" ref="R21">INDEX(Drivers!$C$7:$AG$25,$G21,R$9)</f>
        <v>17.63</v>
      </c>
      <c r="S21" cm="1">
        <f t="array" ref="S21">INDEX(Drivers!$C$7:$AG$25,$G21,S$9)</f>
        <v>16.46</v>
      </c>
      <c r="T21" cm="1">
        <f t="array" ref="T21">INDEX(Drivers!$C$7:$AG$25,$G21,T$9)</f>
        <v>17.023001605799649</v>
      </c>
      <c r="U21" cm="1">
        <f t="array" ref="U21">INDEX(Drivers!$C$7:$AG$25,$G21,U$9)</f>
        <v>17.382315893935495</v>
      </c>
      <c r="V21" cm="1">
        <f t="array" ref="V21">INDEX(Drivers!$C$7:$AG$25,$G21,V$9)</f>
        <v>17.412697674874938</v>
      </c>
      <c r="W21" cm="1">
        <f t="array" ref="W21">INDEX(Drivers!$C$7:$AG$25,$G21,W$9)</f>
        <v>17.590435866749111</v>
      </c>
      <c r="X21" cm="1">
        <f t="array" ref="X21">INDEX(Drivers!$C$7:$AG$25,$G21,X$9)</f>
        <v>17.780061646275421</v>
      </c>
      <c r="Y21" cm="1">
        <f t="array" ref="Y21">INDEX(Drivers!$C$7:$AG$25,$G21,Y$9)</f>
        <v>18.060331283667811</v>
      </c>
      <c r="Z21" cm="1">
        <f t="array" ref="Z21">INDEX(Drivers!$C$7:$AG$25,$G21,Z$9)</f>
        <v>18.377182321711658</v>
      </c>
      <c r="AA21" cm="1">
        <f t="array" ref="AA21">INDEX(Drivers!$C$7:$AG$25,$G21,AA$9)</f>
        <v>18.724150250381051</v>
      </c>
      <c r="AB21" cm="1">
        <f t="array" ref="AB21">INDEX(Drivers!$C$7:$AG$25,$G21,AB$9)</f>
        <v>19.161349851902813</v>
      </c>
      <c r="AC21" cm="1">
        <f t="array" ref="AC21">INDEX(Drivers!$C$7:$AG$25,$G21,AC$9)</f>
        <v>19.693378344398642</v>
      </c>
      <c r="AD21" cm="1">
        <f t="array" ref="AD21">INDEX(Drivers!$C$7:$AG$25,$G21,AD$9)</f>
        <v>20.323267207844264</v>
      </c>
      <c r="AE21" cm="1">
        <f t="array" ref="AE21">INDEX(Drivers!$C$7:$AG$25,$G21,AE$9)</f>
        <v>20.981432495408868</v>
      </c>
      <c r="AF21" cm="1">
        <f t="array" ref="AF21">INDEX(Drivers!$C$7:$AG$25,$G21,AF$9)</f>
        <v>21.697484104671609</v>
      </c>
      <c r="AG21" cm="1">
        <f t="array" ref="AG21">INDEX(Drivers!$C$7:$AG$25,$G21,AG$9)</f>
        <v>22.50006500378262</v>
      </c>
      <c r="AH21" cm="1">
        <f t="array" ref="AH21">INDEX(Drivers!$C$7:$AG$25,$G21,AH$9)</f>
        <v>23.371815899388775</v>
      </c>
      <c r="AI21" cm="1">
        <f t="array" ref="AI21">INDEX(Drivers!$C$7:$AG$25,$G21,AI$9)</f>
        <v>24.293861072507738</v>
      </c>
      <c r="AJ21" cm="1">
        <f t="array" ref="AJ21">INDEX(Drivers!$C$7:$AG$25,$G21,AJ$9)</f>
        <v>25.260594619349291</v>
      </c>
      <c r="AK21" cm="1">
        <f t="array" ref="AK21">INDEX(Drivers!$C$7:$AG$25,$G21,AK$9)</f>
        <v>26.284964964379984</v>
      </c>
      <c r="AL21" cm="1">
        <f t="array" ref="AL21">INDEX(Drivers!$C$7:$AG$25,$G21,AL$9)</f>
        <v>27.324685751461189</v>
      </c>
      <c r="AM21" cm="1">
        <f t="array" ref="AM21">INDEX(Drivers!$C$7:$AG$25,$G21,AM$9)</f>
        <v>28.368724242411069</v>
      </c>
      <c r="AN21" cm="1">
        <f t="array" ref="AN21">INDEX(Drivers!$C$7:$AG$25,$G21,AN$9)</f>
        <v>33.974544190253518</v>
      </c>
      <c r="AO21" cm="1">
        <f t="array" ref="AO21">INDEX(Drivers!$C$7:$AG$25,$G21,AO$9)</f>
        <v>40.714128764450024</v>
      </c>
      <c r="AP21" cm="1">
        <f t="array" ref="AP21">INDEX(Drivers!$C$7:$AK$25,$G21,AP$9)</f>
        <v>47.727995641793115</v>
      </c>
      <c r="AQ21" cm="1">
        <f t="array" ref="AQ21">INDEX(Drivers!$C$7:$AK$25,$G21,AQ$9)</f>
        <v>53.444885425650945</v>
      </c>
    </row>
    <row r="22" spans="1:43">
      <c r="A22" t="s">
        <v>16</v>
      </c>
      <c r="B22" s="3" t="str">
        <f>[4]IND!B17</f>
        <v>FB</v>
      </c>
      <c r="C22" s="3" t="str">
        <f>[4]IND!A17</f>
        <v>Food, Beverage &amp; Tabacco</v>
      </c>
      <c r="D22">
        <f>[4]IND!M17</f>
        <v>1</v>
      </c>
      <c r="F22" s="3"/>
      <c r="G22">
        <f>MATCH(B22,Drivers!$A$7:$A$25,0)</f>
        <v>5</v>
      </c>
      <c r="I22" s="3"/>
      <c r="J22" s="3"/>
      <c r="K22" cm="1">
        <f t="array" ref="K22">INDEX(Drivers!$C$7:$AG$25,$G22,K$9)</f>
        <v>138.08343097582718</v>
      </c>
      <c r="L22" cm="1">
        <f t="array" ref="L22">INDEX(Drivers!$C$7:$AG$25,$G22,L$9)</f>
        <v>143.16360238477418</v>
      </c>
      <c r="M22" cm="1">
        <f t="array" ref="M22">INDEX(Drivers!$C$7:$AG$25,$G22,M$9)</f>
        <v>146.98438355117329</v>
      </c>
      <c r="N22" cm="1">
        <f t="array" ref="N22">INDEX(Drivers!$C$7:$AG$25,$G22,N$9)</f>
        <v>148.78204922418408</v>
      </c>
      <c r="O22" cm="1">
        <f t="array" ref="O22">INDEX(Drivers!$C$7:$AG$25,$G22,O$9)</f>
        <v>151.86270236184362</v>
      </c>
      <c r="P22" cm="1">
        <f t="array" ref="P22">INDEX(Drivers!$C$7:$AG$25,$G22,P$9)</f>
        <v>153.55950890468549</v>
      </c>
      <c r="Q22" cm="1">
        <f t="array" ref="Q22">INDEX(Drivers!$C$7:$AG$25,$G22,Q$9)</f>
        <v>155.74281242834212</v>
      </c>
      <c r="R22" cm="1">
        <f t="array" ref="R22">INDEX(Drivers!$C$7:$AG$25,$G22,R$9)</f>
        <v>155.24</v>
      </c>
      <c r="S22" cm="1">
        <f t="array" ref="S22">INDEX(Drivers!$C$7:$AG$25,$G22,S$9)</f>
        <v>152.88999999999999</v>
      </c>
      <c r="T22" cm="1">
        <f t="array" ref="T22">INDEX(Drivers!$C$7:$AG$25,$G22,T$9)</f>
        <v>149.89510886468165</v>
      </c>
      <c r="U22" cm="1">
        <f t="array" ref="U22">INDEX(Drivers!$C$7:$AG$25,$G22,U$9)</f>
        <v>153.05903116134692</v>
      </c>
      <c r="V22" cm="1">
        <f t="array" ref="V22">INDEX(Drivers!$C$7:$AG$25,$G22,V$9)</f>
        <v>153.32655627042456</v>
      </c>
      <c r="W22" cm="1">
        <f t="array" ref="W22">INDEX(Drivers!$C$7:$AG$25,$G22,W$9)</f>
        <v>154.89162019025139</v>
      </c>
      <c r="X22" cm="1">
        <f t="array" ref="X22">INDEX(Drivers!$C$7:$AG$25,$G22,X$9)</f>
        <v>156.56135961246713</v>
      </c>
      <c r="Y22" cm="1">
        <f t="array" ref="Y22">INDEX(Drivers!$C$7:$AG$25,$G22,Y$9)</f>
        <v>159.02925856361827</v>
      </c>
      <c r="Z22" cm="1">
        <f t="array" ref="Z22">INDEX(Drivers!$C$7:$AG$25,$G22,Z$9)</f>
        <v>161.8192730358773</v>
      </c>
      <c r="AA22" cm="1">
        <f t="array" ref="AA22">INDEX(Drivers!$C$7:$AG$25,$G22,AA$9)</f>
        <v>164.87448014005409</v>
      </c>
      <c r="AB22" cm="1">
        <f t="array" ref="AB22">INDEX(Drivers!$C$7:$AG$25,$G22,AB$9)</f>
        <v>168.7242173005894</v>
      </c>
      <c r="AC22" cm="1">
        <f t="array" ref="AC22">INDEX(Drivers!$C$7:$AG$25,$G22,AC$9)</f>
        <v>173.40896507001949</v>
      </c>
      <c r="AD22" cm="1">
        <f t="array" ref="AD22">INDEX(Drivers!$C$7:$AG$25,$G22,AD$9)</f>
        <v>178.95541697933874</v>
      </c>
      <c r="AE22" cm="1">
        <f t="array" ref="AE22">INDEX(Drivers!$C$7:$AG$25,$G22,AE$9)</f>
        <v>184.75085539349243</v>
      </c>
      <c r="AF22" cm="1">
        <f t="array" ref="AF22">INDEX(Drivers!$C$7:$AG$25,$G22,AF$9)</f>
        <v>191.05600864487911</v>
      </c>
      <c r="AG22" cm="1">
        <f t="array" ref="AG22">INDEX(Drivers!$C$7:$AG$25,$G22,AG$9)</f>
        <v>198.12309082173635</v>
      </c>
      <c r="AH22" cm="1">
        <f t="array" ref="AH22">INDEX(Drivers!$C$7:$AG$25,$G22,AH$9)</f>
        <v>205.79924561662574</v>
      </c>
      <c r="AI22" cm="1">
        <f t="array" ref="AI22">INDEX(Drivers!$C$7:$AG$25,$G22,AI$9)</f>
        <v>213.91826391923422</v>
      </c>
      <c r="AJ22" cm="1">
        <f t="array" ref="AJ22">INDEX(Drivers!$C$7:$AG$25,$G22,AJ$9)</f>
        <v>222.4307832505832</v>
      </c>
      <c r="AK22" cm="1">
        <f t="array" ref="AK22">INDEX(Drivers!$C$7:$AG$25,$G22,AK$9)</f>
        <v>231.45082025356476</v>
      </c>
      <c r="AL22" cm="1">
        <f t="array" ref="AL22">INDEX(Drivers!$C$7:$AG$25,$G22,AL$9)</f>
        <v>240.60602473379652</v>
      </c>
      <c r="AM22" cm="1">
        <f t="array" ref="AM22">INDEX(Drivers!$C$7:$AG$25,$G22,AM$9)</f>
        <v>249.79924851910894</v>
      </c>
      <c r="AN22" cm="1">
        <f t="array" ref="AN22">INDEX(Drivers!$C$7:$AG$25,$G22,AN$9)</f>
        <v>299.16098922830128</v>
      </c>
      <c r="AO22" cm="1">
        <f t="array" ref="AO22">INDEX(Drivers!$C$7:$AG$25,$G22,AO$9)</f>
        <v>358.50603229683588</v>
      </c>
      <c r="AP22" cm="1">
        <f t="array" ref="AP22">INDEX(Drivers!$C$7:$AK$25,$G22,AP$9)</f>
        <v>420.26625317254434</v>
      </c>
      <c r="AQ22" cm="1">
        <f t="array" ref="AQ22">INDEX(Drivers!$C$7:$AK$25,$G22,AQ$9)</f>
        <v>470.60601324322431</v>
      </c>
    </row>
    <row r="23" spans="1:43">
      <c r="A23" t="s">
        <v>16</v>
      </c>
      <c r="B23" s="3" t="str">
        <f>[4]IND!B18</f>
        <v>PP</v>
      </c>
      <c r="C23" s="3" t="str">
        <f>[4]IND!A18</f>
        <v>Pulp &amp; Paper Products</v>
      </c>
      <c r="D23">
        <f>[4]IND!M18</f>
        <v>0</v>
      </c>
      <c r="F23" s="3" t="s">
        <v>284</v>
      </c>
      <c r="G23">
        <f>MATCH(B23,Drivers!$A$7:$A$25,0)</f>
        <v>16</v>
      </c>
      <c r="I23" s="3"/>
      <c r="J23" s="3"/>
      <c r="K23" cm="1">
        <f t="array" ref="K23">INDEX(Drivers!$C$7:$AG$25,$G23,K$9)</f>
        <v>21.771602125906632</v>
      </c>
      <c r="L23" cm="1">
        <f t="array" ref="L23">INDEX(Drivers!$C$7:$AG$25,$G23,L$9)</f>
        <v>22.321967288291042</v>
      </c>
      <c r="M23" cm="1">
        <f t="array" ref="M23">INDEX(Drivers!$C$7:$AG$25,$G23,M$9)</f>
        <v>22.799481809844082</v>
      </c>
      <c r="N23" cm="1">
        <f t="array" ref="N23">INDEX(Drivers!$C$7:$AG$25,$G23,N$9)</f>
        <v>23.061502598593702</v>
      </c>
      <c r="O23" cm="1">
        <f t="array" ref="O23">INDEX(Drivers!$C$7:$AG$25,$G23,O$9)</f>
        <v>23.492490064200549</v>
      </c>
      <c r="P23" cm="1">
        <f t="array" ref="P23">INDEX(Drivers!$C$7:$AG$25,$G23,P$9)</f>
        <v>23.649212778966675</v>
      </c>
      <c r="Q23" cm="1">
        <f t="array" ref="Q23">INDEX(Drivers!$C$7:$AG$25,$G23,Q$9)</f>
        <v>24.045917150718431</v>
      </c>
      <c r="R23" cm="1">
        <f t="array" ref="R23">INDEX(Drivers!$C$7:$AG$25,$G23,R$9)</f>
        <v>24.03</v>
      </c>
      <c r="S23" cm="1">
        <f t="array" ref="S23">INDEX(Drivers!$C$7:$AG$25,$G23,S$9)</f>
        <v>22.95</v>
      </c>
      <c r="T23" cm="1">
        <f t="array" ref="T23">INDEX(Drivers!$C$7:$AG$25,$G23,T$9)</f>
        <v>23.202650515448983</v>
      </c>
      <c r="U23" cm="1">
        <f t="array" ref="U23">INDEX(Drivers!$C$7:$AG$25,$G23,U$9)</f>
        <v>23.692402208239926</v>
      </c>
      <c r="V23" cm="1">
        <f t="array" ref="V23">INDEX(Drivers!$C$7:$AG$25,$G23,V$9)</f>
        <v>23.733813109883425</v>
      </c>
      <c r="W23" cm="1">
        <f t="array" ref="W23">INDEX(Drivers!$C$7:$AG$25,$G23,W$9)</f>
        <v>23.976073390696609</v>
      </c>
      <c r="X23" cm="1">
        <f t="array" ref="X23">INDEX(Drivers!$C$7:$AG$25,$G23,X$9)</f>
        <v>24.234536662507001</v>
      </c>
      <c r="Y23" cm="1">
        <f t="array" ref="Y23">INDEX(Drivers!$C$7:$AG$25,$G23,Y$9)</f>
        <v>24.616549106440019</v>
      </c>
      <c r="Z23" cm="1">
        <f t="array" ref="Z23">INDEX(Drivers!$C$7:$AG$25,$G23,Z$9)</f>
        <v>25.048422642696039</v>
      </c>
      <c r="AA23" cm="1">
        <f t="array" ref="AA23">INDEX(Drivers!$C$7:$AG$25,$G23,AA$9)</f>
        <v>25.521346030439972</v>
      </c>
      <c r="AB23" cm="1">
        <f t="array" ref="AB23">INDEX(Drivers!$C$7:$AG$25,$G23,AB$9)</f>
        <v>26.117256774885121</v>
      </c>
      <c r="AC23" cm="1">
        <f t="array" ref="AC23">INDEX(Drivers!$C$7:$AG$25,$G23,AC$9)</f>
        <v>26.842420965167289</v>
      </c>
      <c r="AD23" cm="1">
        <f t="array" ref="AD23">INDEX(Drivers!$C$7:$AG$25,$G23,AD$9)</f>
        <v>27.700970561797934</v>
      </c>
      <c r="AE23" cm="1">
        <f t="array" ref="AE23">INDEX(Drivers!$C$7:$AG$25,$G23,AE$9)</f>
        <v>28.598061421705907</v>
      </c>
      <c r="AF23" cm="1">
        <f t="array" ref="AF23">INDEX(Drivers!$C$7:$AG$25,$G23,AF$9)</f>
        <v>29.574052355942069</v>
      </c>
      <c r="AG23" cm="1">
        <f t="array" ref="AG23">INDEX(Drivers!$C$7:$AG$25,$G23,AG$9)</f>
        <v>30.667984233743397</v>
      </c>
      <c r="AH23" cm="1">
        <f t="array" ref="AH23">INDEX(Drivers!$C$7:$AG$25,$G23,AH$9)</f>
        <v>31.856196033029608</v>
      </c>
      <c r="AI23" cm="1">
        <f t="array" ref="AI23">INDEX(Drivers!$C$7:$AG$25,$G23,AI$9)</f>
        <v>33.112959816923464</v>
      </c>
      <c r="AJ23" cm="1">
        <f t="array" ref="AJ23">INDEX(Drivers!$C$7:$AG$25,$G23,AJ$9)</f>
        <v>34.430634639986565</v>
      </c>
      <c r="AK23" cm="1">
        <f t="array" ref="AK23">INDEX(Drivers!$C$7:$AG$25,$G23,AK$9)</f>
        <v>35.826869432447566</v>
      </c>
      <c r="AL23" cm="1">
        <f t="array" ref="AL23">INDEX(Drivers!$C$7:$AG$25,$G23,AL$9)</f>
        <v>37.244027147340439</v>
      </c>
      <c r="AM23" cm="1">
        <f t="array" ref="AM23">INDEX(Drivers!$C$7:$AG$25,$G23,AM$9)</f>
        <v>38.667069968527365</v>
      </c>
      <c r="AN23" cm="1">
        <f t="array" ref="AN23">INDEX(Drivers!$C$7:$AG$25,$G23,AN$9)</f>
        <v>46.307901128292194</v>
      </c>
      <c r="AO23" cm="1">
        <f t="array" ref="AO23">INDEX(Drivers!$C$7:$AG$25,$G23,AO$9)</f>
        <v>55.49407340951408</v>
      </c>
      <c r="AP23" cm="1">
        <f t="array" ref="AP23">INDEX(Drivers!$C$7:$AK$25,$G23,AP$9)</f>
        <v>65.054097292812685</v>
      </c>
      <c r="AQ23" cm="1">
        <f t="array" ref="AQ23">INDEX(Drivers!$C$7:$AK$25,$G23,AQ$9)</f>
        <v>72.846318592081175</v>
      </c>
    </row>
    <row r="24" spans="1:43">
      <c r="A24" t="s">
        <v>16</v>
      </c>
      <c r="B24" s="3" t="str">
        <f>B23</f>
        <v>PP</v>
      </c>
      <c r="C24" s="3" t="str">
        <f>C23</f>
        <v>Pulp &amp; Paper Products</v>
      </c>
      <c r="D24">
        <f>D23</f>
        <v>0</v>
      </c>
      <c r="F24" s="3" t="s">
        <v>285</v>
      </c>
      <c r="G24">
        <f>MATCH(B24,Drivers!$A$7:$A$25,0)</f>
        <v>16</v>
      </c>
      <c r="I24" s="3"/>
      <c r="J24" s="3"/>
      <c r="K24" cm="1">
        <f t="array" ref="K24">INDEX(Drivers!$C$7:$AG$25,$G24,K$9)</f>
        <v>21.771602125906632</v>
      </c>
      <c r="L24" cm="1">
        <f t="array" ref="L24">INDEX(Drivers!$C$7:$AG$25,$G24,L$9)</f>
        <v>22.321967288291042</v>
      </c>
      <c r="M24" cm="1">
        <f t="array" ref="M24">INDEX(Drivers!$C$7:$AG$25,$G24,M$9)</f>
        <v>22.799481809844082</v>
      </c>
      <c r="N24" cm="1">
        <f t="array" ref="N24">INDEX(Drivers!$C$7:$AG$25,$G24,N$9)</f>
        <v>23.061502598593702</v>
      </c>
      <c r="O24" cm="1">
        <f t="array" ref="O24">INDEX(Drivers!$C$7:$AG$25,$G24,O$9)</f>
        <v>23.492490064200549</v>
      </c>
      <c r="P24" cm="1">
        <f t="array" ref="P24">INDEX(Drivers!$C$7:$AG$25,$G24,P$9)</f>
        <v>23.649212778966675</v>
      </c>
      <c r="Q24" cm="1">
        <f t="array" ref="Q24">INDEX(Drivers!$C$7:$AG$25,$G24,Q$9)</f>
        <v>24.045917150718431</v>
      </c>
      <c r="R24" cm="1">
        <f t="array" ref="R24">INDEX(Drivers!$C$7:$AG$25,$G24,R$9)</f>
        <v>24.03</v>
      </c>
      <c r="S24" cm="1">
        <f t="array" ref="S24">INDEX(Drivers!$C$7:$AG$25,$G24,S$9)</f>
        <v>22.95</v>
      </c>
      <c r="T24" cm="1">
        <f t="array" ref="T24">INDEX(Drivers!$C$7:$AG$25,$G24,T$9)</f>
        <v>23.202650515448983</v>
      </c>
      <c r="U24" cm="1">
        <f t="array" ref="U24">INDEX(Drivers!$C$7:$AG$25,$G24,U$9)</f>
        <v>23.692402208239926</v>
      </c>
      <c r="V24" cm="1">
        <f t="array" ref="V24">INDEX(Drivers!$C$7:$AG$25,$G24,V$9)</f>
        <v>23.733813109883425</v>
      </c>
      <c r="W24" cm="1">
        <f t="array" ref="W24">INDEX(Drivers!$C$7:$AG$25,$G24,W$9)</f>
        <v>23.976073390696609</v>
      </c>
      <c r="X24" cm="1">
        <f t="array" ref="X24">INDEX(Drivers!$C$7:$AG$25,$G24,X$9)</f>
        <v>24.234536662507001</v>
      </c>
      <c r="Y24" cm="1">
        <f t="array" ref="Y24">INDEX(Drivers!$C$7:$AG$25,$G24,Y$9)</f>
        <v>24.616549106440019</v>
      </c>
      <c r="Z24" cm="1">
        <f t="array" ref="Z24">INDEX(Drivers!$C$7:$AG$25,$G24,Z$9)</f>
        <v>25.048422642696039</v>
      </c>
      <c r="AA24" cm="1">
        <f t="array" ref="AA24">INDEX(Drivers!$C$7:$AG$25,$G24,AA$9)</f>
        <v>25.521346030439972</v>
      </c>
      <c r="AB24" cm="1">
        <f t="array" ref="AB24">INDEX(Drivers!$C$7:$AG$25,$G24,AB$9)</f>
        <v>26.117256774885121</v>
      </c>
      <c r="AC24" cm="1">
        <f t="array" ref="AC24">INDEX(Drivers!$C$7:$AG$25,$G24,AC$9)</f>
        <v>26.842420965167289</v>
      </c>
      <c r="AD24" cm="1">
        <f t="array" ref="AD24">INDEX(Drivers!$C$7:$AG$25,$G24,AD$9)</f>
        <v>27.700970561797934</v>
      </c>
      <c r="AE24" cm="1">
        <f t="array" ref="AE24">INDEX(Drivers!$C$7:$AG$25,$G24,AE$9)</f>
        <v>28.598061421705907</v>
      </c>
      <c r="AF24" cm="1">
        <f t="array" ref="AF24">INDEX(Drivers!$C$7:$AG$25,$G24,AF$9)</f>
        <v>29.574052355942069</v>
      </c>
      <c r="AG24" cm="1">
        <f t="array" ref="AG24">INDEX(Drivers!$C$7:$AG$25,$G24,AG$9)</f>
        <v>30.667984233743397</v>
      </c>
      <c r="AH24" cm="1">
        <f t="array" ref="AH24">INDEX(Drivers!$C$7:$AG$25,$G24,AH$9)</f>
        <v>31.856196033029608</v>
      </c>
      <c r="AI24" cm="1">
        <f t="array" ref="AI24">INDEX(Drivers!$C$7:$AG$25,$G24,AI$9)</f>
        <v>33.112959816923464</v>
      </c>
      <c r="AJ24" cm="1">
        <f t="array" ref="AJ24">INDEX(Drivers!$C$7:$AG$25,$G24,AJ$9)</f>
        <v>34.430634639986565</v>
      </c>
      <c r="AK24" cm="1">
        <f t="array" ref="AK24">INDEX(Drivers!$C$7:$AG$25,$G24,AK$9)</f>
        <v>35.826869432447566</v>
      </c>
      <c r="AL24" cm="1">
        <f t="array" ref="AL24">INDEX(Drivers!$C$7:$AG$25,$G24,AL$9)</f>
        <v>37.244027147340439</v>
      </c>
      <c r="AM24" cm="1">
        <f t="array" ref="AM24">INDEX(Drivers!$C$7:$AG$25,$G24,AM$9)</f>
        <v>38.667069968527365</v>
      </c>
      <c r="AN24" cm="1">
        <f t="array" ref="AN24">INDEX(Drivers!$C$7:$AG$25,$G24,AN$9)</f>
        <v>46.307901128292194</v>
      </c>
      <c r="AO24" cm="1">
        <f t="array" ref="AO24">INDEX(Drivers!$C$7:$AG$25,$G24,AO$9)</f>
        <v>55.49407340951408</v>
      </c>
      <c r="AP24" cm="1">
        <f t="array" ref="AP24">INDEX(Drivers!$C$7:$AK$25,$G24,AP$9)</f>
        <v>65.054097292812685</v>
      </c>
      <c r="AQ24" cm="1">
        <f t="array" ref="AQ24">INDEX(Drivers!$C$7:$AK$25,$G24,AQ$9)</f>
        <v>72.846318592081175</v>
      </c>
    </row>
    <row r="25" spans="1:43">
      <c r="A25" t="s">
        <v>16</v>
      </c>
      <c r="B25" s="3" t="str">
        <f>[4]IND!B19</f>
        <v>OT</v>
      </c>
      <c r="C25" s="3" t="str">
        <f>[4]IND!A19</f>
        <v>Other</v>
      </c>
      <c r="D25">
        <f>[4]IND!M19</f>
        <v>1</v>
      </c>
      <c r="F25" s="3"/>
      <c r="G25">
        <f>MATCH(B25,Drivers!$A$7:$A$25,0)</f>
        <v>14</v>
      </c>
      <c r="I25" s="3"/>
      <c r="J25" s="3"/>
      <c r="K25" cm="1">
        <f t="array" ref="K25">INDEX(Drivers!$C$7:$AG$25,$G25,K$9)</f>
        <v>335.77331305186084</v>
      </c>
      <c r="L25" cm="1">
        <f t="array" ref="L25">INDEX(Drivers!$C$7:$AG$25,$G25,L$9)</f>
        <v>345.12368336779264</v>
      </c>
      <c r="M25" cm="1">
        <f t="array" ref="M25">INDEX(Drivers!$C$7:$AG$25,$G25,M$9)</f>
        <v>351.73654833895557</v>
      </c>
      <c r="N25" cm="1">
        <f t="array" ref="N25">INDEX(Drivers!$C$7:$AG$25,$G25,N$9)</f>
        <v>356.62847152051233</v>
      </c>
      <c r="O25" cm="1">
        <f t="array" ref="O25">INDEX(Drivers!$C$7:$AG$25,$G25,O$9)</f>
        <v>360.31274126727499</v>
      </c>
      <c r="P25" cm="1">
        <f t="array" ref="P25">INDEX(Drivers!$C$7:$AG$25,$G25,P$9)</f>
        <v>363.08022098030375</v>
      </c>
      <c r="Q25" cm="1">
        <f t="array" ref="Q25">INDEX(Drivers!$C$7:$AG$25,$G25,Q$9)</f>
        <v>367.26352107202263</v>
      </c>
      <c r="R25" cm="1">
        <f t="array" ref="R25">INDEX(Drivers!$C$7:$AG$25,$G25,R$9)</f>
        <v>366.87</v>
      </c>
      <c r="S25" cm="1">
        <f t="array" ref="S25">INDEX(Drivers!$C$7:$AG$25,$G25,S$9)</f>
        <v>340.31</v>
      </c>
      <c r="T25" cm="1">
        <f t="array" ref="T25">INDEX(Drivers!$C$7:$AG$25,$G25,T$9)</f>
        <v>354.2387180442268</v>
      </c>
      <c r="U25" cm="1">
        <f t="array" ref="U25">INDEX(Drivers!$C$7:$AG$25,$G25,U$9)</f>
        <v>361.71583845763558</v>
      </c>
      <c r="V25" cm="1">
        <f t="array" ref="V25">INDEX(Drivers!$C$7:$AG$25,$G25,V$9)</f>
        <v>362.34806556899423</v>
      </c>
      <c r="W25" cm="1">
        <f t="array" ref="W25">INDEX(Drivers!$C$7:$AG$25,$G25,W$9)</f>
        <v>366.04669350165898</v>
      </c>
      <c r="X25" cm="1">
        <f t="array" ref="X25">INDEX(Drivers!$C$7:$AG$25,$G25,X$9)</f>
        <v>369.99269518826236</v>
      </c>
      <c r="Y25" cm="1">
        <f t="array" ref="Y25">INDEX(Drivers!$C$7:$AG$25,$G25,Y$9)</f>
        <v>375.82494260006882</v>
      </c>
      <c r="Z25" cm="1">
        <f t="array" ref="Z25">INDEX(Drivers!$C$7:$AG$25,$G25,Z$9)</f>
        <v>382.41842758742825</v>
      </c>
      <c r="AA25" cm="1">
        <f t="array" ref="AA25">INDEX(Drivers!$C$7:$AG$25,$G25,AA$9)</f>
        <v>389.63862747347139</v>
      </c>
      <c r="AB25" cm="1">
        <f t="array" ref="AB25">INDEX(Drivers!$C$7:$AG$25,$G25,AB$9)</f>
        <v>398.73649575539355</v>
      </c>
      <c r="AC25" cm="1">
        <f t="array" ref="AC25">INDEX(Drivers!$C$7:$AG$25,$G25,AC$9)</f>
        <v>409.80769785646811</v>
      </c>
      <c r="AD25" cm="1">
        <f t="array" ref="AD25">INDEX(Drivers!$C$7:$AG$25,$G25,AD$9)</f>
        <v>422.91531710390404</v>
      </c>
      <c r="AE25" cm="1">
        <f t="array" ref="AE25">INDEX(Drivers!$C$7:$AG$25,$G25,AE$9)</f>
        <v>436.61135221728046</v>
      </c>
      <c r="AF25" cm="1">
        <f t="array" ref="AF25">INDEX(Drivers!$C$7:$AG$25,$G25,AF$9)</f>
        <v>451.51196786618686</v>
      </c>
      <c r="AG25" cm="1">
        <f t="array" ref="AG25">INDEX(Drivers!$C$7:$AG$25,$G25,AG$9)</f>
        <v>468.21320748370556</v>
      </c>
      <c r="AH25" cm="1">
        <f t="array" ref="AH25">INDEX(Drivers!$C$7:$AG$25,$G25,AH$9)</f>
        <v>486.35383431700279</v>
      </c>
      <c r="AI25" cm="1">
        <f t="array" ref="AI25">INDEX(Drivers!$C$7:$AG$25,$G25,AI$9)</f>
        <v>505.54105568184406</v>
      </c>
      <c r="AJ25" cm="1">
        <f t="array" ref="AJ25">INDEX(Drivers!$C$7:$AG$25,$G25,AJ$9)</f>
        <v>525.65821599550031</v>
      </c>
      <c r="AK25" cm="1">
        <f t="array" ref="AK25">INDEX(Drivers!$C$7:$AG$25,$G25,AK$9)</f>
        <v>546.97476440624382</v>
      </c>
      <c r="AL25" cm="1">
        <f t="array" ref="AL25">INDEX(Drivers!$C$7:$AG$25,$G25,AL$9)</f>
        <v>568.61074654784807</v>
      </c>
      <c r="AM25" cm="1">
        <f t="array" ref="AM25">INDEX(Drivers!$C$7:$AG$25,$G25,AM$9)</f>
        <v>590.33657758442098</v>
      </c>
      <c r="AN25" cm="1">
        <f t="array" ref="AN25">INDEX(Drivers!$C$7:$AG$25,$G25,AN$9)</f>
        <v>706.99041560285298</v>
      </c>
      <c r="AO25" cm="1">
        <f t="array" ref="AO25">INDEX(Drivers!$C$7:$AG$25,$G25,AO$9)</f>
        <v>847.23723311479125</v>
      </c>
      <c r="AP25" cm="1">
        <f t="array" ref="AP25">INDEX(Drivers!$C$7:$AK$25,$G25,AP$9)</f>
        <v>993.19170511086941</v>
      </c>
      <c r="AQ25" cm="1">
        <f t="array" ref="AQ25">INDEX(Drivers!$C$7:$AK$25,$G25,AQ$9)</f>
        <v>1112.156841526293</v>
      </c>
    </row>
    <row r="26" spans="1:43">
      <c r="A26" t="s">
        <v>16</v>
      </c>
      <c r="B26" s="3"/>
    </row>
    <row r="27" spans="1:43" ht="15.75" thickBot="1">
      <c r="A27" t="s">
        <v>16</v>
      </c>
      <c r="B27" s="9" t="s">
        <v>275</v>
      </c>
      <c r="C27" s="9"/>
      <c r="D27" s="9"/>
      <c r="E27" s="9"/>
      <c r="F27" s="9"/>
    </row>
    <row r="28" spans="1:43">
      <c r="A28" t="s">
        <v>16</v>
      </c>
      <c r="B28" t="s">
        <v>9</v>
      </c>
      <c r="C28" t="s">
        <v>10</v>
      </c>
      <c r="D28" t="s">
        <v>265</v>
      </c>
      <c r="E28" t="s">
        <v>264</v>
      </c>
    </row>
    <row r="29" spans="1:43">
      <c r="A29" s="43" t="str">
        <f t="shared" ref="A29:A34" si="9">IF(D10,"*","")</f>
        <v>*</v>
      </c>
      <c r="B29" s="15" t="s">
        <v>272</v>
      </c>
      <c r="C29" s="16" t="s">
        <v>125</v>
      </c>
      <c r="D29" s="43">
        <f>F10</f>
        <v>0</v>
      </c>
      <c r="E29" s="16" t="s">
        <v>125</v>
      </c>
      <c r="F29" s="16" t="s">
        <v>125</v>
      </c>
      <c r="G29" s="16" t="s">
        <v>125</v>
      </c>
      <c r="H29" s="16"/>
      <c r="I29" s="16" t="s">
        <v>125</v>
      </c>
      <c r="J29" s="15">
        <v>0</v>
      </c>
      <c r="K29" s="93">
        <v>0</v>
      </c>
      <c r="L29">
        <f t="shared" ref="L29:AQ29" si="10">K29*L10/K10</f>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c r="AQ29">
        <f t="shared" si="10"/>
        <v>0</v>
      </c>
    </row>
    <row r="30" spans="1:43">
      <c r="A30" s="43" t="str">
        <f t="shared" si="9"/>
        <v/>
      </c>
      <c r="B30" s="15" t="s">
        <v>272</v>
      </c>
      <c r="C30" s="16" t="s">
        <v>125</v>
      </c>
      <c r="D30" s="43" t="s">
        <v>691</v>
      </c>
      <c r="E30" s="16" t="s">
        <v>125</v>
      </c>
      <c r="F30" s="16" t="s">
        <v>125</v>
      </c>
      <c r="G30" s="16" t="s">
        <v>125</v>
      </c>
      <c r="H30" s="16"/>
      <c r="I30" s="16" t="s">
        <v>125</v>
      </c>
      <c r="J30" s="15">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30.822038664165241</v>
      </c>
      <c r="R30" s="121">
        <f>[5]CommData_BASE!L8</f>
        <v>30.425949170614519</v>
      </c>
      <c r="S30">
        <f t="shared" ref="S30:AQ30" si="11">R30*S11/R11</f>
        <v>23.066289237134932</v>
      </c>
      <c r="T30">
        <f t="shared" ref="T30:AD30" si="12">S30*(T11*T48)/(S11*S48)</f>
        <v>31.434875229756319</v>
      </c>
      <c r="U30">
        <f t="shared" si="12"/>
        <v>31.573415569989201</v>
      </c>
      <c r="V30">
        <f t="shared" si="12"/>
        <v>31.102710112438359</v>
      </c>
      <c r="W30">
        <f t="shared" si="12"/>
        <v>30.888928386452051</v>
      </c>
      <c r="X30">
        <f t="shared" si="12"/>
        <v>30.684926369822374</v>
      </c>
      <c r="Y30">
        <f t="shared" si="12"/>
        <v>31.168617222991266</v>
      </c>
      <c r="Z30">
        <f t="shared" si="12"/>
        <v>31.715440454878877</v>
      </c>
      <c r="AA30">
        <f t="shared" si="12"/>
        <v>32.314239579185639</v>
      </c>
      <c r="AB30">
        <f t="shared" si="12"/>
        <v>33.068761011591427</v>
      </c>
      <c r="AC30">
        <f t="shared" si="12"/>
        <v>33.986938655947448</v>
      </c>
      <c r="AD30">
        <f t="shared" si="12"/>
        <v>35.074004256760418</v>
      </c>
      <c r="AE30">
        <f t="shared" si="11"/>
        <v>36.209869462960278</v>
      </c>
      <c r="AF30">
        <f t="shared" si="11"/>
        <v>37.445635195629862</v>
      </c>
      <c r="AG30">
        <f t="shared" si="11"/>
        <v>38.830733643823713</v>
      </c>
      <c r="AH30">
        <f t="shared" si="11"/>
        <v>40.335206045363741</v>
      </c>
      <c r="AI30">
        <f t="shared" si="11"/>
        <v>41.926476582534924</v>
      </c>
      <c r="AJ30">
        <f t="shared" si="11"/>
        <v>43.594870556314227</v>
      </c>
      <c r="AK30">
        <f t="shared" si="11"/>
        <v>45.362734427544432</v>
      </c>
      <c r="AL30">
        <f t="shared" si="11"/>
        <v>47.157090174530481</v>
      </c>
      <c r="AM30">
        <f t="shared" si="11"/>
        <v>48.958897438161003</v>
      </c>
      <c r="AN30">
        <f t="shared" si="11"/>
        <v>58.633451765595545</v>
      </c>
      <c r="AO30">
        <f t="shared" si="11"/>
        <v>70.264663205502544</v>
      </c>
      <c r="AP30">
        <f t="shared" si="11"/>
        <v>91.244319454098502</v>
      </c>
      <c r="AQ30">
        <f t="shared" si="11"/>
        <v>112.55008522144044</v>
      </c>
    </row>
    <row r="31" spans="1:43">
      <c r="A31" s="43" t="str">
        <f t="shared" si="9"/>
        <v/>
      </c>
      <c r="B31" s="15" t="s">
        <v>272</v>
      </c>
      <c r="C31" s="16" t="s">
        <v>125</v>
      </c>
      <c r="D31" s="43" t="str">
        <f t="shared" ref="D31:D44" si="13">F12</f>
        <v>IFACR</v>
      </c>
      <c r="E31" s="16" t="s">
        <v>125</v>
      </c>
      <c r="F31" s="16" t="s">
        <v>125</v>
      </c>
      <c r="G31" s="16" t="s">
        <v>125</v>
      </c>
      <c r="H31" s="16"/>
      <c r="I31" s="16" t="s">
        <v>125</v>
      </c>
      <c r="J31" s="15">
        <v>0</v>
      </c>
      <c r="K31" s="121">
        <f>[6]CommData_BASE!E8</f>
        <v>3.484</v>
      </c>
      <c r="L31" s="121">
        <f>[6]CommData_BASE!F8</f>
        <v>3.484</v>
      </c>
      <c r="M31" s="121">
        <f>[6]CommData_BASE!G8</f>
        <v>3.484</v>
      </c>
      <c r="N31" s="121">
        <f>[6]CommData_BASE!H8</f>
        <v>3.484</v>
      </c>
      <c r="O31" s="121">
        <f>[6]CommData_BASE!I8</f>
        <v>3.484</v>
      </c>
      <c r="P31" s="121">
        <f>[6]CommData_BASE!J8</f>
        <v>3.484</v>
      </c>
      <c r="Q31">
        <f t="shared" ref="Q31:S32" si="14">P31*Q12/P12</f>
        <v>3.4912421940520733</v>
      </c>
      <c r="R31">
        <f t="shared" si="14"/>
        <v>3.4098997971612133</v>
      </c>
      <c r="S31">
        <f t="shared" si="14"/>
        <v>3.0970898071479627</v>
      </c>
      <c r="T31">
        <f t="shared" ref="T31:AD31" si="15">S31*(T12*T49)/(S12*S49)</f>
        <v>3.3790450428394809</v>
      </c>
      <c r="U31">
        <f t="shared" si="15"/>
        <v>3.3518684861407824</v>
      </c>
      <c r="V31">
        <f t="shared" si="15"/>
        <v>3.3563007535435014</v>
      </c>
      <c r="W31">
        <f t="shared" si="15"/>
        <v>3.3774366104143247</v>
      </c>
      <c r="X31">
        <f t="shared" si="15"/>
        <v>3.4019167156029231</v>
      </c>
      <c r="Y31">
        <f t="shared" si="15"/>
        <v>3.5075412423579051</v>
      </c>
      <c r="Z31">
        <f t="shared" si="15"/>
        <v>3.6006579806785992</v>
      </c>
      <c r="AA31">
        <f t="shared" si="15"/>
        <v>3.8006384966820956</v>
      </c>
      <c r="AB31">
        <f t="shared" si="15"/>
        <v>3.9529510816480093</v>
      </c>
      <c r="AC31">
        <f t="shared" si="15"/>
        <v>4.0548002160414889</v>
      </c>
      <c r="AD31">
        <f t="shared" si="15"/>
        <v>4.1405390883732949</v>
      </c>
      <c r="AE31">
        <f t="shared" ref="AE31:AQ31" si="16">AD31*(AE12*AE49)/(AD12*AD49)</f>
        <v>4.2343186818414287</v>
      </c>
      <c r="AF31">
        <f t="shared" si="16"/>
        <v>4.3517881418832571</v>
      </c>
      <c r="AG31">
        <f t="shared" si="16"/>
        <v>4.4939561611144496</v>
      </c>
      <c r="AH31">
        <f t="shared" si="16"/>
        <v>4.8034806951795241</v>
      </c>
      <c r="AI31">
        <f t="shared" si="16"/>
        <v>5.0704095810743768</v>
      </c>
      <c r="AJ31">
        <f t="shared" si="16"/>
        <v>5.177475097280313</v>
      </c>
      <c r="AK31">
        <f t="shared" si="16"/>
        <v>5.2975959779118993</v>
      </c>
      <c r="AL31">
        <f t="shared" si="16"/>
        <v>5.370048927505902</v>
      </c>
      <c r="AM31">
        <f t="shared" si="16"/>
        <v>5.5747558889085305</v>
      </c>
      <c r="AN31">
        <f t="shared" si="16"/>
        <v>6.1515839661257052</v>
      </c>
      <c r="AO31">
        <f t="shared" si="16"/>
        <v>6.5961580315342569</v>
      </c>
      <c r="AP31">
        <f t="shared" si="16"/>
        <v>7.0158073419209686</v>
      </c>
      <c r="AQ31">
        <f t="shared" si="16"/>
        <v>7.4161560372931863</v>
      </c>
    </row>
    <row r="32" spans="1:43">
      <c r="A32" s="43" t="str">
        <f t="shared" si="9"/>
        <v/>
      </c>
      <c r="B32" s="15" t="s">
        <v>272</v>
      </c>
      <c r="C32" s="16" t="s">
        <v>125</v>
      </c>
      <c r="D32" s="43" t="str">
        <f t="shared" si="13"/>
        <v>IFAMN</v>
      </c>
      <c r="E32" s="16" t="s">
        <v>125</v>
      </c>
      <c r="F32" s="16" t="s">
        <v>125</v>
      </c>
      <c r="G32" s="16" t="s">
        <v>125</v>
      </c>
      <c r="H32" s="16"/>
      <c r="I32" s="16" t="s">
        <v>125</v>
      </c>
      <c r="J32" s="15">
        <v>0</v>
      </c>
      <c r="K32" s="121">
        <f>[7]CommData_BASE!$E$8</f>
        <v>0.4587</v>
      </c>
      <c r="L32" s="121">
        <f>K32</f>
        <v>0.4587</v>
      </c>
      <c r="M32" s="121">
        <f t="shared" ref="M32:O32" si="17">L32</f>
        <v>0.4587</v>
      </c>
      <c r="N32" s="121">
        <f t="shared" si="17"/>
        <v>0.4587</v>
      </c>
      <c r="O32" s="121">
        <f t="shared" si="17"/>
        <v>0.4587</v>
      </c>
      <c r="P32" s="121">
        <f>[7]CommData_BASE!$F$8</f>
        <v>0.4587</v>
      </c>
      <c r="Q32">
        <f t="shared" si="14"/>
        <v>0.45965350011816469</v>
      </c>
      <c r="R32">
        <f t="shared" si="14"/>
        <v>0.44894404045862463</v>
      </c>
      <c r="S32">
        <f t="shared" si="14"/>
        <v>0.40775978603294205</v>
      </c>
      <c r="T32">
        <f>S32*(T13*T51)/(S13*S51)</f>
        <v>0.41577732146701868</v>
      </c>
      <c r="U32">
        <f t="shared" ref="U32:AD32" si="18">T32*(U13*U49)/(T13*T49)</f>
        <v>0.41243336013841014</v>
      </c>
      <c r="V32">
        <f t="shared" si="18"/>
        <v>0.41297873205425162</v>
      </c>
      <c r="W32">
        <f t="shared" si="18"/>
        <v>0.41557941060255432</v>
      </c>
      <c r="X32">
        <f t="shared" si="18"/>
        <v>0.4185915848812356</v>
      </c>
      <c r="Y32">
        <f t="shared" si="18"/>
        <v>0.43158823992981826</v>
      </c>
      <c r="Z32">
        <f t="shared" si="18"/>
        <v>0.44304586406678148</v>
      </c>
      <c r="AA32">
        <f t="shared" si="18"/>
        <v>0.46765262788181944</v>
      </c>
      <c r="AB32">
        <f t="shared" si="18"/>
        <v>0.48639405269266761</v>
      </c>
      <c r="AC32">
        <f t="shared" si="18"/>
        <v>0.49892616154442493</v>
      </c>
      <c r="AD32">
        <f t="shared" si="18"/>
        <v>0.50947597021278324</v>
      </c>
      <c r="AE32">
        <f t="shared" ref="AE32:AQ32" si="19">AD32*(AE13*AE51)/(AD13*AD51)</f>
        <v>0.52101515589575398</v>
      </c>
      <c r="AF32">
        <f t="shared" si="19"/>
        <v>0.53546928030994834</v>
      </c>
      <c r="AG32">
        <f t="shared" si="19"/>
        <v>0.55296245885146467</v>
      </c>
      <c r="AH32">
        <f t="shared" si="19"/>
        <v>0.59104815468278149</v>
      </c>
      <c r="AI32">
        <f t="shared" si="19"/>
        <v>0.62389263464457456</v>
      </c>
      <c r="AJ32">
        <f t="shared" si="19"/>
        <v>0.63706659740186899</v>
      </c>
      <c r="AK32">
        <f t="shared" si="19"/>
        <v>0.65184696800009334</v>
      </c>
      <c r="AL32">
        <f t="shared" si="19"/>
        <v>0.66076199959412774</v>
      </c>
      <c r="AM32">
        <f t="shared" si="19"/>
        <v>0.68595033269374073</v>
      </c>
      <c r="AN32">
        <f t="shared" si="19"/>
        <v>0.75692660849111559</v>
      </c>
      <c r="AO32">
        <f t="shared" si="19"/>
        <v>0.81162958278291208</v>
      </c>
      <c r="AP32">
        <f t="shared" si="19"/>
        <v>0.86326567049882141</v>
      </c>
      <c r="AQ32">
        <f t="shared" si="19"/>
        <v>0.91252689848020385</v>
      </c>
    </row>
    <row r="33" spans="1:43">
      <c r="A33" s="43" t="str">
        <f t="shared" si="9"/>
        <v/>
      </c>
      <c r="B33" s="15" t="s">
        <v>272</v>
      </c>
      <c r="C33" s="16" t="s">
        <v>125</v>
      </c>
      <c r="D33" s="43" t="str">
        <f t="shared" si="13"/>
        <v>IISCRS</v>
      </c>
      <c r="E33" s="16" t="s">
        <v>125</v>
      </c>
      <c r="F33" s="16" t="s">
        <v>125</v>
      </c>
      <c r="G33" s="16" t="s">
        <v>125</v>
      </c>
      <c r="H33" s="16"/>
      <c r="I33" s="16" t="s">
        <v>125</v>
      </c>
      <c r="J33" s="15">
        <v>0</v>
      </c>
      <c r="K33" s="120">
        <f>'[8]I&amp;S SATIM input'!D18</f>
        <v>6.94</v>
      </c>
      <c r="L33" s="120">
        <f>'[8]I&amp;S SATIM input'!E18</f>
        <v>7.1</v>
      </c>
      <c r="M33" s="120">
        <f>'[8]I&amp;S SATIM input'!F18</f>
        <v>6.5</v>
      </c>
      <c r="N33" s="120">
        <f>'[8]I&amp;S SATIM input'!G18</f>
        <v>6.4000000000000012</v>
      </c>
      <c r="O33" s="120">
        <f>'[8]I&amp;S SATIM input'!H18</f>
        <v>6.0910000000000002</v>
      </c>
      <c r="P33" s="120">
        <f>'[8]I&amp;S SATIM input'!I18</f>
        <v>6.23</v>
      </c>
      <c r="Q33" s="120">
        <f>'[8]I&amp;S SATIM input'!J18</f>
        <v>6.3</v>
      </c>
      <c r="R33" s="120">
        <f>'[8]I&amp;S SATIM input'!K18</f>
        <v>6.1267974837582679</v>
      </c>
      <c r="S33" s="120">
        <f>'[8]I&amp;S SATIM input'!L18</f>
        <v>5.0030232389251985</v>
      </c>
      <c r="T33">
        <f t="shared" ref="T33:AQ33" si="20">S33*T14/S14</f>
        <v>5.1013946759073407</v>
      </c>
      <c r="U33">
        <f t="shared" si="20"/>
        <v>5.1445049223084123</v>
      </c>
      <c r="V33">
        <f t="shared" si="20"/>
        <v>5.2384070464887156</v>
      </c>
      <c r="W33">
        <f t="shared" si="20"/>
        <v>5.3620580340062602</v>
      </c>
      <c r="X33">
        <f t="shared" si="20"/>
        <v>5.4954390879361403</v>
      </c>
      <c r="Y33">
        <f t="shared" si="20"/>
        <v>5.6660644152146791</v>
      </c>
      <c r="Z33">
        <f t="shared" si="20"/>
        <v>5.8164847242015707</v>
      </c>
      <c r="AA33">
        <f t="shared" si="20"/>
        <v>6.1395322401594914</v>
      </c>
      <c r="AB33">
        <f t="shared" si="20"/>
        <v>6.3855772209690613</v>
      </c>
      <c r="AC33">
        <f t="shared" si="20"/>
        <v>6.5501037984867567</v>
      </c>
      <c r="AD33">
        <f t="shared" si="20"/>
        <v>6.688605940002077</v>
      </c>
      <c r="AE33">
        <f t="shared" si="20"/>
        <v>6.8400970218477433</v>
      </c>
      <c r="AF33">
        <f t="shared" si="20"/>
        <v>7.0298565945591553</v>
      </c>
      <c r="AG33">
        <f t="shared" si="20"/>
        <v>7.2595140950953159</v>
      </c>
      <c r="AH33">
        <f t="shared" si="20"/>
        <v>7.7595184648010473</v>
      </c>
      <c r="AI33">
        <f t="shared" si="20"/>
        <v>8.1907140394951323</v>
      </c>
      <c r="AJ33">
        <f t="shared" si="20"/>
        <v>8.3636671338579625</v>
      </c>
      <c r="AK33">
        <f t="shared" si="20"/>
        <v>8.5577097980044705</v>
      </c>
      <c r="AL33">
        <f t="shared" si="20"/>
        <v>8.674749927002626</v>
      </c>
      <c r="AM33">
        <f t="shared" si="20"/>
        <v>9.0054325189970204</v>
      </c>
      <c r="AN33">
        <f t="shared" si="20"/>
        <v>9.9372376828387505</v>
      </c>
      <c r="AO33">
        <f t="shared" si="20"/>
        <v>10.655400383684245</v>
      </c>
      <c r="AP33">
        <f t="shared" si="20"/>
        <v>11.33329976109915</v>
      </c>
      <c r="AQ33">
        <f t="shared" si="20"/>
        <v>11.980021022458072</v>
      </c>
    </row>
    <row r="34" spans="1:43">
      <c r="A34" s="43" t="str">
        <f t="shared" si="9"/>
        <v>*</v>
      </c>
      <c r="B34" s="15" t="s">
        <v>272</v>
      </c>
      <c r="C34" s="16" t="s">
        <v>125</v>
      </c>
      <c r="D34" s="43">
        <f t="shared" si="13"/>
        <v>0</v>
      </c>
      <c r="E34" s="16" t="s">
        <v>125</v>
      </c>
      <c r="F34" s="16" t="s">
        <v>125</v>
      </c>
      <c r="G34" s="16" t="s">
        <v>125</v>
      </c>
      <c r="H34" s="16"/>
      <c r="I34" s="16" t="s">
        <v>125</v>
      </c>
      <c r="J34" s="15">
        <v>0</v>
      </c>
      <c r="K34" s="93">
        <v>0</v>
      </c>
      <c r="L34">
        <f t="shared" ref="L34:S34" si="21">K34*L15/K15</f>
        <v>0</v>
      </c>
      <c r="M34">
        <f t="shared" si="21"/>
        <v>0</v>
      </c>
      <c r="N34">
        <f t="shared" si="21"/>
        <v>0</v>
      </c>
      <c r="O34">
        <f t="shared" si="21"/>
        <v>0</v>
      </c>
      <c r="P34">
        <f t="shared" si="21"/>
        <v>0</v>
      </c>
      <c r="Q34">
        <f t="shared" si="21"/>
        <v>0</v>
      </c>
      <c r="R34">
        <f t="shared" si="21"/>
        <v>0</v>
      </c>
      <c r="S34">
        <f t="shared" si="21"/>
        <v>0</v>
      </c>
      <c r="T34">
        <f t="shared" ref="T34:AQ34" si="22">S34*T15/S15</f>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c r="AQ34">
        <f t="shared" si="22"/>
        <v>0</v>
      </c>
    </row>
    <row r="35" spans="1:43">
      <c r="A35" s="43" t="str">
        <f t="shared" ref="A35:A36" si="23">IF(D16,"*","")</f>
        <v/>
      </c>
      <c r="B35" s="15" t="s">
        <v>272</v>
      </c>
      <c r="C35" s="16" t="s">
        <v>125</v>
      </c>
      <c r="D35" s="43" t="str">
        <f t="shared" si="13"/>
        <v>ICPNH3</v>
      </c>
      <c r="E35" s="16" t="s">
        <v>125</v>
      </c>
      <c r="F35" s="16" t="s">
        <v>125</v>
      </c>
      <c r="G35" s="16" t="s">
        <v>125</v>
      </c>
      <c r="H35" s="16"/>
      <c r="I35" s="16" t="s">
        <v>125</v>
      </c>
      <c r="J35" s="15">
        <v>0</v>
      </c>
      <c r="K35" s="93">
        <f>[9]CommData_BASE!$E$8</f>
        <v>8.4021746293245467</v>
      </c>
      <c r="L35" s="93">
        <f>[9]CommData_BASE!$E$8</f>
        <v>8.4021746293245467</v>
      </c>
      <c r="M35" s="93">
        <f>[9]CommData_BASE!$E$8</f>
        <v>8.4021746293245467</v>
      </c>
      <c r="N35" s="93">
        <f>[9]CommData_BASE!$E$8</f>
        <v>8.4021746293245467</v>
      </c>
      <c r="O35" s="93">
        <f>[9]CommData_BASE!$E$8</f>
        <v>8.4021746293245467</v>
      </c>
      <c r="P35" s="93">
        <f>[9]CommData_BASE!$E$8</f>
        <v>8.4021746293245467</v>
      </c>
      <c r="Q35">
        <f>P35*Q16/P16</f>
        <v>8.4410931488914045</v>
      </c>
      <c r="R35">
        <f t="shared" ref="R35:AQ35" si="24">Q35*R16/Q16</f>
        <v>8.3458050196862938</v>
      </c>
      <c r="S35">
        <f t="shared" si="24"/>
        <v>7.9479928968368858</v>
      </c>
      <c r="T35">
        <f t="shared" si="24"/>
        <v>8.0130727602523439</v>
      </c>
      <c r="U35">
        <f t="shared" si="24"/>
        <v>8.1194004244240734</v>
      </c>
      <c r="V35">
        <f t="shared" si="24"/>
        <v>8.209228968293294</v>
      </c>
      <c r="W35">
        <f t="shared" si="24"/>
        <v>8.3018073655462672</v>
      </c>
      <c r="X35">
        <f t="shared" si="24"/>
        <v>8.393469145004655</v>
      </c>
      <c r="Y35">
        <f t="shared" si="24"/>
        <v>8.4713816575442866</v>
      </c>
      <c r="Z35">
        <f t="shared" si="24"/>
        <v>8.562126819208089</v>
      </c>
      <c r="AA35">
        <f t="shared" si="24"/>
        <v>8.5850422640726851</v>
      </c>
      <c r="AB35">
        <f t="shared" si="24"/>
        <v>8.6317897715964627</v>
      </c>
      <c r="AC35">
        <f t="shared" si="24"/>
        <v>8.7170352264927651</v>
      </c>
      <c r="AD35">
        <f t="shared" si="24"/>
        <v>7.6500921135971209</v>
      </c>
      <c r="AE35">
        <f t="shared" si="24"/>
        <v>7.0634567250634328</v>
      </c>
      <c r="AF35">
        <f t="shared" si="24"/>
        <v>7.0497074581446739</v>
      </c>
      <c r="AG35">
        <f t="shared" si="24"/>
        <v>7.177117331591834</v>
      </c>
      <c r="AH35">
        <f t="shared" si="24"/>
        <v>7.3347755922602627</v>
      </c>
      <c r="AI35">
        <f t="shared" si="24"/>
        <v>7.5089329732312002</v>
      </c>
      <c r="AJ35">
        <f t="shared" si="24"/>
        <v>7.6995894745046485</v>
      </c>
      <c r="AK35">
        <f t="shared" si="24"/>
        <v>7.8893293579835122</v>
      </c>
      <c r="AL35">
        <f t="shared" si="24"/>
        <v>8.0891520372027994</v>
      </c>
      <c r="AM35">
        <f t="shared" si="24"/>
        <v>8.299057512162511</v>
      </c>
      <c r="AN35">
        <f t="shared" si="24"/>
        <v>9.8105602554313407</v>
      </c>
      <c r="AO35">
        <f t="shared" si="24"/>
        <v>15.101278165769537</v>
      </c>
      <c r="AP35">
        <f t="shared" si="24"/>
        <v>21.947621071808666</v>
      </c>
      <c r="AQ35">
        <f t="shared" si="24"/>
        <v>24.473330000422742</v>
      </c>
    </row>
    <row r="36" spans="1:43">
      <c r="A36" s="43" t="str">
        <f t="shared" si="23"/>
        <v>*</v>
      </c>
      <c r="B36" s="15" t="s">
        <v>272</v>
      </c>
      <c r="C36" s="16" t="s">
        <v>125</v>
      </c>
      <c r="D36" s="43">
        <f t="shared" si="13"/>
        <v>0</v>
      </c>
      <c r="E36" s="16" t="s">
        <v>125</v>
      </c>
      <c r="F36" s="16" t="s">
        <v>125</v>
      </c>
      <c r="G36" s="16" t="s">
        <v>125</v>
      </c>
      <c r="H36" s="16"/>
      <c r="I36" s="16" t="s">
        <v>125</v>
      </c>
      <c r="J36" s="15">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5">S36*T17/S17</f>
        <v>0</v>
      </c>
      <c r="U36">
        <f t="shared" ref="U36" si="26">T36*U17/T17</f>
        <v>0</v>
      </c>
      <c r="V36">
        <f t="shared" ref="V36" si="27">U36*V17/U17</f>
        <v>0</v>
      </c>
      <c r="W36">
        <f t="shared" ref="W36" si="28">V36*W17/V17</f>
        <v>0</v>
      </c>
      <c r="X36">
        <f t="shared" ref="X36" si="29">W36*X17/W17</f>
        <v>0</v>
      </c>
      <c r="Y36">
        <f t="shared" ref="Y36" si="30">X36*Y17/X17</f>
        <v>0</v>
      </c>
      <c r="Z36">
        <f t="shared" ref="Z36" si="31">Y36*Z17/Y17</f>
        <v>0</v>
      </c>
      <c r="AA36">
        <f t="shared" ref="AA36" si="32">Z36*AA17/Z17</f>
        <v>0</v>
      </c>
      <c r="AB36">
        <f t="shared" ref="AB36" si="33">AA36*AB17/AA17</f>
        <v>0</v>
      </c>
      <c r="AC36">
        <f t="shared" ref="AC36" si="34">AB36*AC17/AB17</f>
        <v>0</v>
      </c>
      <c r="AD36">
        <f t="shared" ref="AD36" si="35">AC36*AD17/AC17</f>
        <v>0</v>
      </c>
      <c r="AE36">
        <f t="shared" ref="AE36" si="36">AD36*AE17/AD17</f>
        <v>0</v>
      </c>
      <c r="AF36">
        <f t="shared" ref="AF36" si="37">AE36*AF17/AE17</f>
        <v>0</v>
      </c>
      <c r="AG36">
        <f t="shared" ref="AG36" si="38">AF36*AG17/AF17</f>
        <v>0</v>
      </c>
      <c r="AH36">
        <f t="shared" ref="AH36" si="39">AG36*AH17/AG17</f>
        <v>0</v>
      </c>
      <c r="AI36">
        <f t="shared" ref="AI36" si="40">AH36*AI17/AH17</f>
        <v>0</v>
      </c>
      <c r="AJ36">
        <f t="shared" ref="AJ36" si="41">AI36*AJ17/AI17</f>
        <v>0</v>
      </c>
      <c r="AK36">
        <f t="shared" ref="AK36" si="42">AJ36*AK17/AJ17</f>
        <v>0</v>
      </c>
      <c r="AL36">
        <f t="shared" ref="AL36" si="43">AK36*AL17/AK17</f>
        <v>0</v>
      </c>
      <c r="AM36">
        <f t="shared" ref="AM36" si="44">AL36*AM17/AL17</f>
        <v>0</v>
      </c>
      <c r="AN36">
        <f t="shared" ref="AN36" si="45">AM36*AN17/AM17</f>
        <v>0</v>
      </c>
      <c r="AO36">
        <f t="shared" ref="AO36" si="46">AN36*AO17/AN17</f>
        <v>0</v>
      </c>
      <c r="AP36">
        <f t="shared" ref="AP36" si="47">AO36*AP17/AO17</f>
        <v>0</v>
      </c>
      <c r="AQ36">
        <f t="shared" ref="AQ36" si="48">AP36*AQ17/AP17</f>
        <v>0</v>
      </c>
    </row>
    <row r="37" spans="1:43">
      <c r="A37" s="43" t="str">
        <f t="shared" ref="A37:A44" si="49">IF(D18,"*","")</f>
        <v/>
      </c>
      <c r="B37" s="15" t="s">
        <v>272</v>
      </c>
      <c r="C37" s="16" t="s">
        <v>125</v>
      </c>
      <c r="D37" s="43" t="str">
        <f t="shared" si="13"/>
        <v>INMCEM</v>
      </c>
      <c r="E37" s="16" t="s">
        <v>125</v>
      </c>
      <c r="F37" s="16" t="s">
        <v>125</v>
      </c>
      <c r="G37" s="16" t="s">
        <v>125</v>
      </c>
      <c r="H37" s="16"/>
      <c r="I37" s="16" t="s">
        <v>125</v>
      </c>
      <c r="J37" s="15">
        <v>0</v>
      </c>
      <c r="K37" s="93">
        <f>'[10]NMM-TSData'!J14</f>
        <v>14.27</v>
      </c>
      <c r="L37" s="93">
        <f>'[10]NMM-TSData'!K14</f>
        <v>14.368</v>
      </c>
      <c r="M37" s="93">
        <f>'[10]NMM-TSData'!L14</f>
        <v>14.465999999999999</v>
      </c>
      <c r="N37" s="93">
        <f>'[10]NMM-TSData'!M14</f>
        <v>14.564</v>
      </c>
      <c r="O37" s="93">
        <f>'[10]NMM-TSData'!N14</f>
        <v>14.662000000000001</v>
      </c>
      <c r="P37" s="93">
        <f>'[10]NMM-TSData'!O14</f>
        <v>14.759960880300349</v>
      </c>
      <c r="Q37">
        <f t="shared" ref="Q37:S44" si="50">P37*Q18/P18</f>
        <v>14.950029598277064</v>
      </c>
      <c r="R37">
        <f t="shared" si="50"/>
        <v>14.933982218184843</v>
      </c>
      <c r="S37">
        <f t="shared" si="50"/>
        <v>13.942901152088631</v>
      </c>
      <c r="T37">
        <f t="shared" ref="T37:AQ37" si="51">S37*T18/S18</f>
        <v>14.419807333020081</v>
      </c>
      <c r="U37">
        <f t="shared" si="51"/>
        <v>14.724174502036556</v>
      </c>
      <c r="V37">
        <f t="shared" si="51"/>
        <v>14.749910235236014</v>
      </c>
      <c r="W37">
        <f t="shared" si="51"/>
        <v>14.900468317875902</v>
      </c>
      <c r="X37">
        <f t="shared" si="51"/>
        <v>15.061096112518857</v>
      </c>
      <c r="Y37">
        <f t="shared" si="51"/>
        <v>15.298506309972918</v>
      </c>
      <c r="Z37">
        <f t="shared" si="51"/>
        <v>15.566903801065388</v>
      </c>
      <c r="AA37">
        <f t="shared" si="51"/>
        <v>15.8608126426439</v>
      </c>
      <c r="AB37">
        <f t="shared" si="51"/>
        <v>16.231154734244779</v>
      </c>
      <c r="AC37">
        <f t="shared" si="51"/>
        <v>16.681824277438221</v>
      </c>
      <c r="AD37">
        <f t="shared" si="51"/>
        <v>17.215389171716698</v>
      </c>
      <c r="AE37">
        <f t="shared" si="51"/>
        <v>17.77290639809879</v>
      </c>
      <c r="AF37">
        <f t="shared" si="51"/>
        <v>18.379457844498816</v>
      </c>
      <c r="AG37">
        <f t="shared" si="51"/>
        <v>19.059306334344456</v>
      </c>
      <c r="AH37">
        <f t="shared" si="51"/>
        <v>19.797747195017685</v>
      </c>
      <c r="AI37">
        <f t="shared" si="51"/>
        <v>20.57879122336265</v>
      </c>
      <c r="AJ37">
        <f t="shared" si="51"/>
        <v>21.397689782537608</v>
      </c>
      <c r="AK37">
        <f t="shared" si="51"/>
        <v>22.265411195896895</v>
      </c>
      <c r="AL37">
        <f t="shared" si="51"/>
        <v>23.146135628463423</v>
      </c>
      <c r="AM37">
        <f t="shared" si="51"/>
        <v>24.030517492272047</v>
      </c>
      <c r="AN37">
        <f t="shared" si="51"/>
        <v>28.7790833129995</v>
      </c>
      <c r="AO37">
        <f t="shared" si="51"/>
        <v>34.488036017991192</v>
      </c>
      <c r="AP37">
        <f t="shared" si="51"/>
        <v>40.429327182310949</v>
      </c>
      <c r="AQ37">
        <f t="shared" si="51"/>
        <v>45.27197779918307</v>
      </c>
    </row>
    <row r="38" spans="1:43">
      <c r="A38" s="43" t="str">
        <f t="shared" si="49"/>
        <v/>
      </c>
      <c r="B38" s="15" t="s">
        <v>272</v>
      </c>
      <c r="C38" s="16" t="s">
        <v>125</v>
      </c>
      <c r="D38" s="43" t="str">
        <f t="shared" si="13"/>
        <v>INMLIM</v>
      </c>
      <c r="E38" s="16" t="s">
        <v>125</v>
      </c>
      <c r="F38" s="16" t="s">
        <v>125</v>
      </c>
      <c r="G38" s="16" t="s">
        <v>125</v>
      </c>
      <c r="H38" s="16"/>
      <c r="I38" s="16" t="s">
        <v>125</v>
      </c>
      <c r="J38" s="15">
        <v>0</v>
      </c>
      <c r="K38" s="120">
        <f>'[10]NMM-TSData'!J16</f>
        <v>1.2</v>
      </c>
      <c r="L38" s="120">
        <f>'[10]NMM-TSData'!K16</f>
        <v>1.1733333333333333</v>
      </c>
      <c r="M38" s="120">
        <f>'[10]NMM-TSData'!L16</f>
        <v>1.1466666666666667</v>
      </c>
      <c r="N38" s="120">
        <f>'[10]NMM-TSData'!M16</f>
        <v>1.1200000000000001</v>
      </c>
      <c r="O38" s="120">
        <f>'[10]NMM-TSData'!N16</f>
        <v>1.1200000000000001</v>
      </c>
      <c r="P38" s="120">
        <f>'[10]NMM-TSData'!O16</f>
        <v>1.3591716472036741</v>
      </c>
      <c r="Q38">
        <f t="shared" si="50"/>
        <v>1.3766741334629091</v>
      </c>
      <c r="R38">
        <f t="shared" si="50"/>
        <v>1.3751964097609202</v>
      </c>
      <c r="S38">
        <f t="shared" si="50"/>
        <v>1.2839326661749715</v>
      </c>
      <c r="T38">
        <f t="shared" ref="T38:AQ38" si="52">S38*T19/S19</f>
        <v>1.327848592833242</v>
      </c>
      <c r="U38">
        <f t="shared" si="52"/>
        <v>1.3558762569864022</v>
      </c>
      <c r="V38">
        <f t="shared" si="52"/>
        <v>1.3582461331106259</v>
      </c>
      <c r="W38">
        <f t="shared" si="52"/>
        <v>1.3721102807761258</v>
      </c>
      <c r="X38">
        <f t="shared" si="52"/>
        <v>1.3869016983145657</v>
      </c>
      <c r="Y38">
        <f t="shared" si="52"/>
        <v>1.4087636267948271</v>
      </c>
      <c r="Z38">
        <f t="shared" si="52"/>
        <v>1.4334790215734385</v>
      </c>
      <c r="AA38">
        <f t="shared" si="52"/>
        <v>1.4605436301842345</v>
      </c>
      <c r="AB38">
        <f t="shared" si="52"/>
        <v>1.4946465979869363</v>
      </c>
      <c r="AC38">
        <f t="shared" si="52"/>
        <v>1.5361465227045075</v>
      </c>
      <c r="AD38">
        <f t="shared" si="52"/>
        <v>1.5852798694747177</v>
      </c>
      <c r="AE38">
        <f t="shared" si="52"/>
        <v>1.6366188678007589</v>
      </c>
      <c r="AF38">
        <f t="shared" si="52"/>
        <v>1.6924731844349989</v>
      </c>
      <c r="AG38">
        <f t="shared" si="52"/>
        <v>1.7550770625405097</v>
      </c>
      <c r="AH38">
        <f t="shared" si="52"/>
        <v>1.823076421692152</v>
      </c>
      <c r="AI38">
        <f t="shared" si="52"/>
        <v>1.8949988954136827</v>
      </c>
      <c r="AJ38">
        <f t="shared" si="52"/>
        <v>1.9704072052725563</v>
      </c>
      <c r="AK38">
        <f t="shared" si="52"/>
        <v>2.0503113698075399</v>
      </c>
      <c r="AL38">
        <f t="shared" si="52"/>
        <v>2.1314129179384458</v>
      </c>
      <c r="AM38">
        <f t="shared" si="52"/>
        <v>2.2128512607862327</v>
      </c>
      <c r="AN38">
        <f t="shared" si="52"/>
        <v>2.6501231533579332</v>
      </c>
      <c r="AO38">
        <f t="shared" si="52"/>
        <v>3.1758323144308269</v>
      </c>
      <c r="AP38">
        <f t="shared" si="52"/>
        <v>3.7229363727554583</v>
      </c>
      <c r="AQ38">
        <f t="shared" si="52"/>
        <v>4.1688720679205273</v>
      </c>
    </row>
    <row r="39" spans="1:43">
      <c r="A39" s="43" t="str">
        <f t="shared" si="49"/>
        <v/>
      </c>
      <c r="B39" s="15" t="s">
        <v>272</v>
      </c>
      <c r="C39" s="16" t="s">
        <v>125</v>
      </c>
      <c r="D39" s="43" t="str">
        <f t="shared" si="13"/>
        <v>INMGLA</v>
      </c>
      <c r="E39" s="16" t="s">
        <v>125</v>
      </c>
      <c r="F39" s="16" t="s">
        <v>125</v>
      </c>
      <c r="G39" s="16" t="s">
        <v>125</v>
      </c>
      <c r="H39" s="16"/>
      <c r="I39" s="16" t="s">
        <v>125</v>
      </c>
      <c r="J39" s="15">
        <v>0</v>
      </c>
      <c r="K39" s="93">
        <f>'[10]NMM-TSData'!J15</f>
        <v>1.27</v>
      </c>
      <c r="L39" s="93">
        <f>'[10]NMM-TSData'!K15</f>
        <v>1.2484871200000001</v>
      </c>
      <c r="M39" s="93">
        <f>'[10]NMM-TSData'!L15</f>
        <v>1.2269742400000001</v>
      </c>
      <c r="N39" s="93">
        <f>'[10]NMM-TSData'!M15</f>
        <v>1.2054613600000001</v>
      </c>
      <c r="O39" s="93">
        <f>'[10]NMM-TSData'!N15</f>
        <v>1.1839484800000002</v>
      </c>
      <c r="P39" s="93">
        <f>'[10]NMM-TSData'!O15</f>
        <v>1.1624356</v>
      </c>
      <c r="Q39">
        <f t="shared" si="50"/>
        <v>1.1774046535099847</v>
      </c>
      <c r="R39">
        <f t="shared" si="50"/>
        <v>1.1761408259119843</v>
      </c>
      <c r="S39">
        <f t="shared" si="50"/>
        <v>1.098087237351745</v>
      </c>
      <c r="T39">
        <f t="shared" ref="T39:AQ39" si="53">S39*T20/S20</f>
        <v>1.1356464644439157</v>
      </c>
      <c r="U39">
        <f t="shared" si="53"/>
        <v>1.1596172077003009</v>
      </c>
      <c r="V39">
        <f t="shared" si="53"/>
        <v>1.1616440513149799</v>
      </c>
      <c r="W39">
        <f t="shared" si="53"/>
        <v>1.173501404904713</v>
      </c>
      <c r="X39">
        <f t="shared" si="53"/>
        <v>1.186151808815449</v>
      </c>
      <c r="Y39">
        <f t="shared" si="53"/>
        <v>1.2048492882709645</v>
      </c>
      <c r="Z39">
        <f t="shared" si="53"/>
        <v>1.2259872032781092</v>
      </c>
      <c r="AA39">
        <f t="shared" si="53"/>
        <v>1.2491342904131171</v>
      </c>
      <c r="AB39">
        <f t="shared" si="53"/>
        <v>1.2783009552130147</v>
      </c>
      <c r="AC39">
        <f t="shared" si="53"/>
        <v>1.313793889448565</v>
      </c>
      <c r="AD39">
        <f t="shared" si="53"/>
        <v>1.355815330633233</v>
      </c>
      <c r="AE39">
        <f t="shared" si="53"/>
        <v>1.3997231618812667</v>
      </c>
      <c r="AF39">
        <f t="shared" si="53"/>
        <v>1.4474927325627123</v>
      </c>
      <c r="AG39">
        <f t="shared" si="53"/>
        <v>1.5010348857981977</v>
      </c>
      <c r="AH39">
        <f t="shared" si="53"/>
        <v>1.5591915402705592</v>
      </c>
      <c r="AI39">
        <f t="shared" si="53"/>
        <v>1.6207034501650739</v>
      </c>
      <c r="AJ39">
        <f t="shared" si="53"/>
        <v>1.6851966317997331</v>
      </c>
      <c r="AK39">
        <f t="shared" si="53"/>
        <v>1.753534906538482</v>
      </c>
      <c r="AL39">
        <f t="shared" si="53"/>
        <v>1.8228972471644349</v>
      </c>
      <c r="AM39">
        <f t="shared" si="53"/>
        <v>1.8925476324752513</v>
      </c>
      <c r="AN39">
        <f t="shared" si="53"/>
        <v>2.2665257211518988</v>
      </c>
      <c r="AO39">
        <f t="shared" si="53"/>
        <v>2.7161400471529848</v>
      </c>
      <c r="AP39">
        <f t="shared" si="53"/>
        <v>3.184052422760189</v>
      </c>
      <c r="AQ39">
        <f t="shared" si="53"/>
        <v>3.5654402544127319</v>
      </c>
    </row>
    <row r="40" spans="1:43">
      <c r="A40" s="43" t="str">
        <f t="shared" si="49"/>
        <v/>
      </c>
      <c r="B40" s="15" t="s">
        <v>272</v>
      </c>
      <c r="C40" s="16" t="s">
        <v>125</v>
      </c>
      <c r="D40" s="43" t="str">
        <f t="shared" si="13"/>
        <v>INMBRI</v>
      </c>
      <c r="E40" s="16" t="s">
        <v>125</v>
      </c>
      <c r="F40" s="16" t="s">
        <v>125</v>
      </c>
      <c r="G40" s="16" t="s">
        <v>125</v>
      </c>
      <c r="H40" s="16"/>
      <c r="I40" s="16" t="s">
        <v>125</v>
      </c>
      <c r="J40" s="15">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9.6111784370000013</v>
      </c>
      <c r="Q40">
        <f t="shared" si="50"/>
        <v>9.7349446433321738</v>
      </c>
      <c r="R40">
        <f t="shared" si="50"/>
        <v>9.7244951418217358</v>
      </c>
      <c r="S40">
        <f t="shared" si="50"/>
        <v>9.0791372679742359</v>
      </c>
      <c r="T40">
        <f t="shared" ref="T40:AQ40" si="54">S40*T21/S21</f>
        <v>9.3896821562576456</v>
      </c>
      <c r="U40">
        <f t="shared" si="54"/>
        <v>9.587875579363951</v>
      </c>
      <c r="V40">
        <f t="shared" si="54"/>
        <v>9.6046338029116249</v>
      </c>
      <c r="W40">
        <f t="shared" si="54"/>
        <v>9.7026720436034335</v>
      </c>
      <c r="X40">
        <f t="shared" si="54"/>
        <v>9.8072673341177694</v>
      </c>
      <c r="Y40">
        <f t="shared" si="54"/>
        <v>9.9618606822302151</v>
      </c>
      <c r="Z40">
        <f t="shared" si="54"/>
        <v>10.136631889271539</v>
      </c>
      <c r="AA40">
        <f t="shared" si="54"/>
        <v>10.328015209561583</v>
      </c>
      <c r="AB40">
        <f t="shared" si="54"/>
        <v>10.569169231172744</v>
      </c>
      <c r="AC40">
        <f t="shared" si="54"/>
        <v>10.86262972411582</v>
      </c>
      <c r="AD40">
        <f t="shared" si="54"/>
        <v>11.210068816144439</v>
      </c>
      <c r="AE40">
        <f t="shared" si="54"/>
        <v>11.573104842317875</v>
      </c>
      <c r="AF40">
        <f t="shared" si="54"/>
        <v>11.968070264641707</v>
      </c>
      <c r="AG40">
        <f t="shared" si="54"/>
        <v>12.410764198522815</v>
      </c>
      <c r="AH40">
        <f t="shared" si="54"/>
        <v>12.891611467337382</v>
      </c>
      <c r="AI40">
        <f t="shared" si="54"/>
        <v>13.400200452393284</v>
      </c>
      <c r="AJ40">
        <f t="shared" si="54"/>
        <v>13.933439004843468</v>
      </c>
      <c r="AK40">
        <f t="shared" si="54"/>
        <v>14.498469319289143</v>
      </c>
      <c r="AL40">
        <f t="shared" si="54"/>
        <v>15.071966752234252</v>
      </c>
      <c r="AM40">
        <f t="shared" si="54"/>
        <v>15.647845778502942</v>
      </c>
      <c r="AN40">
        <f t="shared" si="54"/>
        <v>18.73994837911107</v>
      </c>
      <c r="AO40">
        <f t="shared" si="54"/>
        <v>22.457421858956256</v>
      </c>
      <c r="AP40">
        <f t="shared" si="54"/>
        <v>26.326186145632789</v>
      </c>
      <c r="AQ40">
        <f t="shared" si="54"/>
        <v>29.479553526770381</v>
      </c>
    </row>
    <row r="41" spans="1:43">
      <c r="A41" s="43" t="str">
        <f t="shared" si="49"/>
        <v>*</v>
      </c>
      <c r="B41" s="15" t="s">
        <v>272</v>
      </c>
      <c r="C41" s="16" t="s">
        <v>125</v>
      </c>
      <c r="D41" s="43">
        <f t="shared" si="13"/>
        <v>0</v>
      </c>
      <c r="E41" s="16" t="s">
        <v>125</v>
      </c>
      <c r="F41" s="16" t="s">
        <v>125</v>
      </c>
      <c r="G41" s="16" t="s">
        <v>125</v>
      </c>
      <c r="H41" s="16"/>
      <c r="I41" s="16" t="s">
        <v>125</v>
      </c>
      <c r="J41" s="15">
        <v>0</v>
      </c>
      <c r="K41" s="93">
        <v>0</v>
      </c>
      <c r="L41">
        <f>K41*L22/K22</f>
        <v>0</v>
      </c>
      <c r="M41">
        <f>L41*M22/L22</f>
        <v>0</v>
      </c>
      <c r="N41">
        <f>M41*N22/M22</f>
        <v>0</v>
      </c>
      <c r="O41">
        <f>N41*O22/N22</f>
        <v>0</v>
      </c>
      <c r="P41">
        <f>O41*P22/O22</f>
        <v>0</v>
      </c>
      <c r="Q41">
        <f t="shared" si="50"/>
        <v>0</v>
      </c>
      <c r="R41">
        <f t="shared" si="50"/>
        <v>0</v>
      </c>
      <c r="S41">
        <f t="shared" si="50"/>
        <v>0</v>
      </c>
      <c r="T41">
        <f t="shared" ref="T41:AQ41" si="55">S41*T22/S22</f>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c r="AQ41">
        <f t="shared" si="55"/>
        <v>0</v>
      </c>
    </row>
    <row r="42" spans="1:43">
      <c r="A42" s="43" t="str">
        <f t="shared" si="49"/>
        <v/>
      </c>
      <c r="B42" s="15" t="s">
        <v>272</v>
      </c>
      <c r="C42" s="16" t="s">
        <v>125</v>
      </c>
      <c r="D42" s="43" t="str">
        <f t="shared" si="13"/>
        <v>IPPPAP</v>
      </c>
      <c r="E42" s="16" t="s">
        <v>125</v>
      </c>
      <c r="F42" s="16" t="s">
        <v>125</v>
      </c>
      <c r="G42" s="16" t="s">
        <v>125</v>
      </c>
      <c r="H42" s="16"/>
      <c r="I42" s="16" t="s">
        <v>125</v>
      </c>
      <c r="J42" s="15">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50"/>
        <v>2.2166294765726118</v>
      </c>
      <c r="R42">
        <f t="shared" si="50"/>
        <v>2.2151621827595136</v>
      </c>
      <c r="S42">
        <f t="shared" si="50"/>
        <v>2.1156043318489735</v>
      </c>
      <c r="T42">
        <f t="shared" ref="T42:AQ42" si="56">S42*T23/S23</f>
        <v>2.1388944636541041</v>
      </c>
      <c r="U42">
        <f t="shared" si="56"/>
        <v>2.1840413395930534</v>
      </c>
      <c r="V42">
        <f t="shared" si="56"/>
        <v>2.187858728826289</v>
      </c>
      <c r="W42">
        <f t="shared" si="56"/>
        <v>2.2101910556029045</v>
      </c>
      <c r="X42">
        <f t="shared" si="56"/>
        <v>2.2340170258628578</v>
      </c>
      <c r="Y42">
        <f t="shared" si="56"/>
        <v>2.2692321535842046</v>
      </c>
      <c r="Z42">
        <f t="shared" si="56"/>
        <v>2.3090436361164124</v>
      </c>
      <c r="AA42">
        <f t="shared" si="56"/>
        <v>2.3526392251248551</v>
      </c>
      <c r="AB42">
        <f t="shared" si="56"/>
        <v>2.4075721816539839</v>
      </c>
      <c r="AC42">
        <f t="shared" si="56"/>
        <v>2.4744201338222935</v>
      </c>
      <c r="AD42">
        <f t="shared" si="56"/>
        <v>2.5535639789525324</v>
      </c>
      <c r="AE42">
        <f t="shared" si="56"/>
        <v>2.6362606808820939</v>
      </c>
      <c r="AF42">
        <f t="shared" si="56"/>
        <v>2.7262306437716517</v>
      </c>
      <c r="AG42">
        <f t="shared" si="56"/>
        <v>2.8270727796942738</v>
      </c>
      <c r="AH42">
        <f t="shared" si="56"/>
        <v>2.9366059400308302</v>
      </c>
      <c r="AI42">
        <f t="shared" si="56"/>
        <v>3.0524584413518214</v>
      </c>
      <c r="AJ42">
        <f t="shared" si="56"/>
        <v>3.1739259168917178</v>
      </c>
      <c r="AK42">
        <f t="shared" si="56"/>
        <v>3.3026353014324039</v>
      </c>
      <c r="AL42">
        <f t="shared" si="56"/>
        <v>3.4332734278176131</v>
      </c>
      <c r="AM42">
        <f t="shared" si="56"/>
        <v>3.5644540621056149</v>
      </c>
      <c r="AN42">
        <f t="shared" si="56"/>
        <v>4.2688102930653136</v>
      </c>
      <c r="AO42">
        <f t="shared" si="56"/>
        <v>5.1156210064101497</v>
      </c>
      <c r="AP42">
        <f t="shared" si="56"/>
        <v>5.996894554997783</v>
      </c>
      <c r="AQ42">
        <f t="shared" si="56"/>
        <v>6.7152064127519555</v>
      </c>
    </row>
    <row r="43" spans="1:43">
      <c r="A43" s="43" t="str">
        <f t="shared" si="49"/>
        <v/>
      </c>
      <c r="B43" s="15" t="s">
        <v>272</v>
      </c>
      <c r="C43" s="16" t="s">
        <v>125</v>
      </c>
      <c r="D43" s="43" t="str">
        <f t="shared" si="13"/>
        <v>IPPPULPD</v>
      </c>
      <c r="E43" s="16" t="s">
        <v>125</v>
      </c>
      <c r="F43" s="16" t="s">
        <v>125</v>
      </c>
      <c r="G43" s="16" t="s">
        <v>125</v>
      </c>
      <c r="H43" s="16"/>
      <c r="I43" s="16" t="s">
        <v>125</v>
      </c>
      <c r="J43" s="15">
        <v>0</v>
      </c>
      <c r="K43" s="120">
        <f>[11]CommData_BASE!$E$8</f>
        <v>0.65910719806663931</v>
      </c>
      <c r="L43" s="120">
        <f>[11]CommData_BASE!$E$8</f>
        <v>0.65910719806663931</v>
      </c>
      <c r="M43" s="120">
        <f>[11]CommData_BASE!$E$8</f>
        <v>0.65910719806663931</v>
      </c>
      <c r="N43" s="120">
        <f>[11]CommData_BASE!$E$8</f>
        <v>0.65910719806663931</v>
      </c>
      <c r="O43" s="120">
        <f>[11]CommData_BASE!$E$8</f>
        <v>0.65910719806663931</v>
      </c>
      <c r="P43" s="120">
        <f>[11]CommData_BASE!$E$8</f>
        <v>0.65910719806663931</v>
      </c>
      <c r="Q43">
        <f t="shared" si="50"/>
        <v>0.6701634099316971</v>
      </c>
      <c r="R43">
        <f t="shared" si="50"/>
        <v>0.66971979649266711</v>
      </c>
      <c r="S43">
        <f t="shared" si="50"/>
        <v>0.63962003035816517</v>
      </c>
      <c r="T43">
        <f t="shared" ref="T43:AQ43" si="57">S43*T24/S24</f>
        <v>0.64666143908851315</v>
      </c>
      <c r="U43">
        <f t="shared" si="57"/>
        <v>0.66031089410423893</v>
      </c>
      <c r="V43">
        <f t="shared" si="57"/>
        <v>0.66146502230320947</v>
      </c>
      <c r="W43">
        <f t="shared" si="57"/>
        <v>0.66821685359594618</v>
      </c>
      <c r="X43">
        <f t="shared" si="57"/>
        <v>0.67542026474025274</v>
      </c>
      <c r="Y43">
        <f t="shared" si="57"/>
        <v>0.68606701031696882</v>
      </c>
      <c r="Z43">
        <f t="shared" si="57"/>
        <v>0.6981033922067712</v>
      </c>
      <c r="AA43">
        <f t="shared" si="57"/>
        <v>0.71128383977216825</v>
      </c>
      <c r="AB43">
        <f t="shared" si="57"/>
        <v>0.72789196388775712</v>
      </c>
      <c r="AC43">
        <f t="shared" si="57"/>
        <v>0.74810240142165407</v>
      </c>
      <c r="AD43">
        <f t="shared" si="57"/>
        <v>0.77203031074892581</v>
      </c>
      <c r="AE43">
        <f t="shared" si="57"/>
        <v>0.79703237101247137</v>
      </c>
      <c r="AF43">
        <f t="shared" si="57"/>
        <v>0.82423338848460337</v>
      </c>
      <c r="AG43">
        <f t="shared" si="57"/>
        <v>0.85472143819654456</v>
      </c>
      <c r="AH43">
        <f t="shared" si="57"/>
        <v>0.88783708382318405</v>
      </c>
      <c r="AI43">
        <f t="shared" si="57"/>
        <v>0.92286328380606997</v>
      </c>
      <c r="AJ43">
        <f t="shared" si="57"/>
        <v>0.95958708382044089</v>
      </c>
      <c r="AK43">
        <f t="shared" si="57"/>
        <v>0.99850036226667327</v>
      </c>
      <c r="AL43">
        <f t="shared" si="57"/>
        <v>1.0379967657796183</v>
      </c>
      <c r="AM43">
        <f t="shared" si="57"/>
        <v>1.0776571881102741</v>
      </c>
      <c r="AN43">
        <f t="shared" si="57"/>
        <v>1.2906083279085485</v>
      </c>
      <c r="AO43">
        <f t="shared" si="57"/>
        <v>1.5466283624789399</v>
      </c>
      <c r="AP43">
        <f t="shared" si="57"/>
        <v>1.8130676987081444</v>
      </c>
      <c r="AQ43">
        <f t="shared" si="57"/>
        <v>2.0302381049824647</v>
      </c>
    </row>
    <row r="44" spans="1:43">
      <c r="A44" s="43" t="str">
        <f t="shared" si="49"/>
        <v>*</v>
      </c>
      <c r="B44" s="15" t="s">
        <v>272</v>
      </c>
      <c r="C44" s="16" t="s">
        <v>125</v>
      </c>
      <c r="D44" s="43">
        <f t="shared" si="13"/>
        <v>0</v>
      </c>
      <c r="E44" s="16" t="s">
        <v>125</v>
      </c>
      <c r="F44" s="16" t="s">
        <v>125</v>
      </c>
      <c r="G44" s="16" t="s">
        <v>125</v>
      </c>
      <c r="H44" s="16"/>
      <c r="I44" s="16" t="s">
        <v>125</v>
      </c>
      <c r="J44" s="15">
        <v>0</v>
      </c>
      <c r="K44" s="93">
        <v>0</v>
      </c>
      <c r="L44">
        <f>K44*L25/K25</f>
        <v>0</v>
      </c>
      <c r="M44">
        <f>L44*M25/L25</f>
        <v>0</v>
      </c>
      <c r="N44">
        <f>M44*N25/M25</f>
        <v>0</v>
      </c>
      <c r="O44">
        <f>N44*O25/N25</f>
        <v>0</v>
      </c>
      <c r="P44">
        <f>O44*P25/O25</f>
        <v>0</v>
      </c>
      <c r="Q44">
        <f t="shared" si="50"/>
        <v>0</v>
      </c>
      <c r="R44">
        <f t="shared" si="50"/>
        <v>0</v>
      </c>
      <c r="S44">
        <f t="shared" si="50"/>
        <v>0</v>
      </c>
      <c r="T44">
        <f t="shared" ref="T44:AQ44" si="58">S44*T25/S25</f>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c r="AQ44">
        <f t="shared" si="58"/>
        <v>0</v>
      </c>
    </row>
    <row r="45" spans="1:43">
      <c r="A45" t="s">
        <v>16</v>
      </c>
      <c r="B45" s="3"/>
      <c r="T45" s="182" t="s">
        <v>641</v>
      </c>
      <c r="Y45" s="20">
        <v>2025</v>
      </c>
    </row>
    <row r="46" spans="1:43" ht="15.75" thickBot="1">
      <c r="A46" t="s">
        <v>16</v>
      </c>
      <c r="B46" s="9" t="s">
        <v>274</v>
      </c>
      <c r="C46" s="9"/>
      <c r="D46">
        <v>2010</v>
      </c>
      <c r="E46">
        <v>2020</v>
      </c>
      <c r="F46">
        <v>2030</v>
      </c>
      <c r="G46">
        <v>2050</v>
      </c>
      <c r="H46">
        <v>2070</v>
      </c>
      <c r="T46" s="182" t="s">
        <v>640</v>
      </c>
    </row>
    <row r="47" spans="1:43">
      <c r="A47" t="s">
        <v>16</v>
      </c>
      <c r="B47" s="3" t="str">
        <f t="shared" ref="B47:C53" si="59">B10</f>
        <v>MI</v>
      </c>
      <c r="C47" s="3" t="str">
        <f t="shared" si="59"/>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2">
        <v>1.0900000000000001</v>
      </c>
      <c r="U47" s="275">
        <f t="shared" ref="U47:AB47" si="60">IF(U$63=1,($AC47-$T47)/$AD$63+T47,$AC47)</f>
        <v>1.0846132399175183</v>
      </c>
      <c r="V47" s="275">
        <f t="shared" si="60"/>
        <v>1.0792264798350366</v>
      </c>
      <c r="W47" s="275">
        <f t="shared" si="60"/>
        <v>1.0738397197525549</v>
      </c>
      <c r="X47" s="275">
        <f t="shared" si="60"/>
        <v>1.0684529596700731</v>
      </c>
      <c r="Y47" s="275">
        <f t="shared" si="60"/>
        <v>1.0684529596700734</v>
      </c>
      <c r="Z47" s="275">
        <f t="shared" si="60"/>
        <v>1.0684529596700734</v>
      </c>
      <c r="AA47" s="275">
        <f t="shared" si="60"/>
        <v>1.0684529596700734</v>
      </c>
      <c r="AB47" s="275">
        <f t="shared" si="60"/>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c r="A48" t="s">
        <v>16</v>
      </c>
      <c r="B48" s="3" t="str">
        <f t="shared" si="59"/>
        <v>PG</v>
      </c>
      <c r="C48" s="3" t="str">
        <f t="shared" si="59"/>
        <v>PGM</v>
      </c>
      <c r="D48">
        <v>1</v>
      </c>
      <c r="E48">
        <v>1</v>
      </c>
      <c r="F48">
        <v>1</v>
      </c>
      <c r="G48">
        <v>1</v>
      </c>
      <c r="H48">
        <f t="shared" ref="H48:H62" si="61">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2">
        <v>1.07</v>
      </c>
      <c r="U48" s="275">
        <f t="shared" ref="U48" si="62">IF(U$63=1,($AC48-$T48)/$AD$63+T48,$AC48)</f>
        <v>1.0525</v>
      </c>
      <c r="V48" s="275">
        <f t="shared" ref="V48:AB48" si="63">IF(V$63=1,($AC48-$T48)/$AD$63+U48,$AC48)</f>
        <v>1.0349999999999999</v>
      </c>
      <c r="W48" s="275">
        <f t="shared" si="63"/>
        <v>1.0174999999999998</v>
      </c>
      <c r="X48" s="275">
        <f t="shared" si="63"/>
        <v>0.99999999999999978</v>
      </c>
      <c r="Y48" s="275">
        <f t="shared" si="63"/>
        <v>1</v>
      </c>
      <c r="Z48" s="275">
        <f t="shared" si="63"/>
        <v>1</v>
      </c>
      <c r="AA48" s="275">
        <f t="shared" si="63"/>
        <v>1</v>
      </c>
      <c r="AB48" s="275">
        <f t="shared" si="63"/>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3" t="str">
        <f t="shared" si="59"/>
        <v>FAC</v>
      </c>
      <c r="C49" s="3" t="str">
        <f t="shared" si="59"/>
        <v>FerroChrome</v>
      </c>
      <c r="D49">
        <v>1</v>
      </c>
      <c r="E49">
        <v>1</v>
      </c>
      <c r="F49">
        <v>1</v>
      </c>
      <c r="G49">
        <v>1</v>
      </c>
      <c r="H49">
        <f t="shared" si="61"/>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2">
        <v>1.07</v>
      </c>
      <c r="U49" s="275">
        <f t="shared" ref="U49:AB49" si="64">IF(U$63=1,($AC49-$T49)/$AD$63+T49,$AC49)</f>
        <v>1.0525</v>
      </c>
      <c r="V49" s="275">
        <f t="shared" si="64"/>
        <v>1.0349999999999999</v>
      </c>
      <c r="W49" s="275">
        <f t="shared" si="64"/>
        <v>1.0174999999999998</v>
      </c>
      <c r="X49" s="275">
        <f t="shared" si="64"/>
        <v>0.99999999999999978</v>
      </c>
      <c r="Y49" s="275">
        <f t="shared" si="64"/>
        <v>1</v>
      </c>
      <c r="Z49" s="275">
        <f t="shared" si="64"/>
        <v>1</v>
      </c>
      <c r="AA49" s="275">
        <f t="shared" si="64"/>
        <v>1</v>
      </c>
      <c r="AB49" s="275">
        <f t="shared" si="64"/>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3" t="str">
        <f t="shared" si="59"/>
        <v>FAM</v>
      </c>
      <c r="C50" s="3" t="str">
        <f t="shared" si="59"/>
        <v>FerroManganese</v>
      </c>
      <c r="D50">
        <v>1</v>
      </c>
      <c r="E50">
        <v>1</v>
      </c>
      <c r="F50">
        <v>1</v>
      </c>
      <c r="G50">
        <v>1</v>
      </c>
      <c r="H50">
        <f t="shared" si="61"/>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2">
        <v>1.07</v>
      </c>
      <c r="U50" s="275">
        <f t="shared" ref="U50" si="65">IF(U$63=1,($AC50-$T50)/$AD$63+T50,$AC50)</f>
        <v>1.0525</v>
      </c>
      <c r="V50" s="275">
        <f t="shared" ref="V50" si="66">IF(V$63=1,($AC50-$T50)/$AD$63+U50,$AC50)</f>
        <v>1.0349999999999999</v>
      </c>
      <c r="W50" s="275">
        <f t="shared" ref="W50" si="67">IF(W$63=1,($AC50-$T50)/$AD$63+V50,$AC50)</f>
        <v>1.0174999999999998</v>
      </c>
      <c r="X50" s="275">
        <f t="shared" ref="X50" si="68">IF(X$63=1,($AC50-$T50)/$AD$63+W50,$AC50)</f>
        <v>0.99999999999999978</v>
      </c>
      <c r="Y50" s="275">
        <f t="shared" ref="Y50" si="69">IF(Y$63=1,($AC50-$T50)/$AD$63+X50,$AC50)</f>
        <v>1</v>
      </c>
      <c r="Z50" s="275">
        <f t="shared" ref="Z50" si="70">IF(Z$63=1,($AC50-$T50)/$AD$63+Y50,$AC50)</f>
        <v>1</v>
      </c>
      <c r="AA50" s="275">
        <f t="shared" ref="AA50" si="71">IF(AA$63=1,($AC50-$T50)/$AD$63+Z50,$AC50)</f>
        <v>1</v>
      </c>
      <c r="AB50" s="275">
        <f t="shared" ref="AB50" si="72">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3" t="str">
        <f t="shared" si="59"/>
        <v>IS</v>
      </c>
      <c r="C51" s="3" t="str">
        <f t="shared" si="59"/>
        <v>Iron &amp; Steel</v>
      </c>
      <c r="D51">
        <v>1</v>
      </c>
      <c r="E51">
        <v>1</v>
      </c>
      <c r="F51">
        <v>1</v>
      </c>
      <c r="G51">
        <v>1</v>
      </c>
      <c r="H51">
        <f t="shared" si="61"/>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75">
        <f t="shared" ref="U51:AB51" si="73">IF(U$63=1,($AC51-$T51)/$AD$63+T51,$AC51)</f>
        <v>1</v>
      </c>
      <c r="V51" s="275">
        <f t="shared" si="73"/>
        <v>1</v>
      </c>
      <c r="W51" s="275">
        <f t="shared" si="73"/>
        <v>1</v>
      </c>
      <c r="X51" s="275">
        <f t="shared" si="73"/>
        <v>1</v>
      </c>
      <c r="Y51" s="275">
        <f t="shared" si="73"/>
        <v>1</v>
      </c>
      <c r="Z51" s="275">
        <f t="shared" si="73"/>
        <v>1</v>
      </c>
      <c r="AA51" s="275">
        <f t="shared" si="73"/>
        <v>1</v>
      </c>
      <c r="AB51" s="275">
        <f t="shared" si="73"/>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3" t="str">
        <f t="shared" si="59"/>
        <v>CP</v>
      </c>
      <c r="C52" s="3" t="str">
        <f t="shared" si="59"/>
        <v>Chemicals</v>
      </c>
      <c r="D52">
        <v>1</v>
      </c>
      <c r="E52">
        <v>1</v>
      </c>
      <c r="F52">
        <v>1</v>
      </c>
      <c r="G52">
        <v>1</v>
      </c>
      <c r="H52">
        <f t="shared" si="61"/>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2">
        <v>1.0349999999999999</v>
      </c>
      <c r="U52" s="275">
        <f t="shared" ref="U52:AB52" si="74">IF(U$63=1,($AC52-$T52)/$AD$63+T52,$AC52)</f>
        <v>1.0262499999999999</v>
      </c>
      <c r="V52" s="275">
        <f t="shared" si="74"/>
        <v>1.0174999999999998</v>
      </c>
      <c r="W52" s="275">
        <f t="shared" si="74"/>
        <v>1.0087499999999998</v>
      </c>
      <c r="X52" s="275">
        <f t="shared" si="74"/>
        <v>0.99999999999999978</v>
      </c>
      <c r="Y52" s="275">
        <f t="shared" si="74"/>
        <v>1</v>
      </c>
      <c r="Z52" s="275">
        <f t="shared" si="74"/>
        <v>1</v>
      </c>
      <c r="AA52" s="275">
        <f t="shared" si="74"/>
        <v>1</v>
      </c>
      <c r="AB52" s="275">
        <f t="shared" si="74"/>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3" t="str">
        <f t="shared" si="59"/>
        <v>am</v>
      </c>
      <c r="C53" s="3" t="str">
        <f t="shared" si="59"/>
        <v>Ammonia</v>
      </c>
      <c r="D53">
        <v>1</v>
      </c>
      <c r="E53">
        <v>1</v>
      </c>
      <c r="F53">
        <v>1</v>
      </c>
      <c r="G53">
        <v>1</v>
      </c>
      <c r="H53">
        <f t="shared" si="61"/>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2">
        <v>1.0349999999999999</v>
      </c>
      <c r="U53" s="275">
        <f t="shared" ref="U53" si="75">IF(U$63=1,($AC53-$T53)/$AD$63+T53,$AC53)</f>
        <v>1.0262499999999999</v>
      </c>
      <c r="V53" s="275">
        <f t="shared" ref="V53" si="76">IF(V$63=1,($AC53-$T53)/$AD$63+U53,$AC53)</f>
        <v>1.0174999999999998</v>
      </c>
      <c r="W53" s="275">
        <f t="shared" ref="W53" si="77">IF(W$63=1,($AC53-$T53)/$AD$63+V53,$AC53)</f>
        <v>1.0087499999999998</v>
      </c>
      <c r="X53" s="275">
        <f t="shared" ref="X53" si="78">IF(X$63=1,($AC53-$T53)/$AD$63+W53,$AC53)</f>
        <v>0.99999999999999978</v>
      </c>
      <c r="Y53" s="275">
        <f t="shared" ref="Y53" si="79">IF(Y$63=1,($AC53-$T53)/$AD$63+X53,$AC53)</f>
        <v>1</v>
      </c>
      <c r="Z53" s="275">
        <f t="shared" ref="Z53" si="80">IF(Z$63=1,($AC53-$T53)/$AD$63+Y53,$AC53)</f>
        <v>1</v>
      </c>
      <c r="AA53" s="275">
        <f t="shared" ref="AA53" si="81">IF(AA$63=1,($AC53-$T53)/$AD$63+Z53,$AC53)</f>
        <v>1</v>
      </c>
      <c r="AB53" s="275">
        <f t="shared" ref="AB53" si="82">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3" t="str">
        <f t="shared" ref="B54:C62" si="83">B17</f>
        <v>NF</v>
      </c>
      <c r="C54" s="3" t="str">
        <f t="shared" si="83"/>
        <v>Precious &amp; Non-Ferrous metals</v>
      </c>
      <c r="D54">
        <v>1</v>
      </c>
      <c r="E54">
        <v>1</v>
      </c>
      <c r="F54">
        <v>1</v>
      </c>
      <c r="G54">
        <v>1</v>
      </c>
      <c r="H54">
        <f t="shared" si="61"/>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2">
        <v>1.0349999999999999</v>
      </c>
      <c r="U54" s="275">
        <f t="shared" ref="U54:AB54" si="84">IF(U$63=1,($AC54-$T54)/$AD$63+T54,$AC54)</f>
        <v>1.0262499999999999</v>
      </c>
      <c r="V54" s="275">
        <f t="shared" si="84"/>
        <v>1.0174999999999998</v>
      </c>
      <c r="W54" s="275">
        <f t="shared" si="84"/>
        <v>1.0087499999999998</v>
      </c>
      <c r="X54" s="275">
        <f t="shared" si="84"/>
        <v>0.99999999999999978</v>
      </c>
      <c r="Y54" s="275">
        <f t="shared" si="84"/>
        <v>1</v>
      </c>
      <c r="Z54" s="275">
        <f t="shared" si="84"/>
        <v>1</v>
      </c>
      <c r="AA54" s="275">
        <f t="shared" si="84"/>
        <v>1</v>
      </c>
      <c r="AB54" s="275">
        <f t="shared" si="84"/>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3" t="str">
        <f t="shared" si="83"/>
        <v>NM</v>
      </c>
      <c r="C55" s="3" t="str">
        <f t="shared" si="83"/>
        <v>N.M.M Products</v>
      </c>
      <c r="D55">
        <v>1</v>
      </c>
      <c r="E55">
        <v>1</v>
      </c>
      <c r="F55">
        <v>1</v>
      </c>
      <c r="G55">
        <v>1</v>
      </c>
      <c r="H55">
        <f t="shared" si="61"/>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75">
        <f t="shared" ref="U55:AB55" si="85">IF(U$63=1,($AC55-$T55)/$AD$63+T55,$AC55)</f>
        <v>1</v>
      </c>
      <c r="V55" s="275">
        <f t="shared" si="85"/>
        <v>1</v>
      </c>
      <c r="W55" s="275">
        <f t="shared" si="85"/>
        <v>1</v>
      </c>
      <c r="X55" s="275">
        <f t="shared" si="85"/>
        <v>1</v>
      </c>
      <c r="Y55" s="275">
        <f t="shared" si="85"/>
        <v>1</v>
      </c>
      <c r="Z55" s="275">
        <f t="shared" si="85"/>
        <v>1</v>
      </c>
      <c r="AA55" s="275">
        <f t="shared" si="85"/>
        <v>1</v>
      </c>
      <c r="AB55" s="275">
        <f t="shared" si="85"/>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3" t="str">
        <f t="shared" si="83"/>
        <v>NM</v>
      </c>
      <c r="C56" s="3" t="str">
        <f t="shared" si="83"/>
        <v>N.M.M Products</v>
      </c>
      <c r="D56">
        <v>1</v>
      </c>
      <c r="E56">
        <v>1</v>
      </c>
      <c r="F56">
        <v>1</v>
      </c>
      <c r="G56">
        <v>1</v>
      </c>
      <c r="H56">
        <f t="shared" si="61"/>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75">
        <f t="shared" ref="U56:AB56" si="86">IF(U$63=1,($AC56-$T56)/$AD$63+T56,$AC56)</f>
        <v>1</v>
      </c>
      <c r="V56" s="275">
        <f t="shared" si="86"/>
        <v>1</v>
      </c>
      <c r="W56" s="275">
        <f t="shared" si="86"/>
        <v>1</v>
      </c>
      <c r="X56" s="275">
        <f t="shared" si="86"/>
        <v>1</v>
      </c>
      <c r="Y56" s="275">
        <f t="shared" si="86"/>
        <v>1</v>
      </c>
      <c r="Z56" s="275">
        <f t="shared" si="86"/>
        <v>1</v>
      </c>
      <c r="AA56" s="275">
        <f t="shared" si="86"/>
        <v>1</v>
      </c>
      <c r="AB56" s="275">
        <f t="shared" si="86"/>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3" t="str">
        <f t="shared" si="83"/>
        <v>NM</v>
      </c>
      <c r="C57" s="3" t="str">
        <f t="shared" si="83"/>
        <v>N.M.M Products</v>
      </c>
      <c r="D57">
        <v>1</v>
      </c>
      <c r="E57">
        <v>1</v>
      </c>
      <c r="F57">
        <v>1</v>
      </c>
      <c r="G57">
        <v>1</v>
      </c>
      <c r="H57">
        <f t="shared" si="61"/>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75">
        <f t="shared" ref="U57:AB57" si="87">IF(U$63=1,($AC57-$T57)/$AD$63+T57,$AC57)</f>
        <v>1</v>
      </c>
      <c r="V57" s="275">
        <f t="shared" si="87"/>
        <v>1</v>
      </c>
      <c r="W57" s="275">
        <f t="shared" si="87"/>
        <v>1</v>
      </c>
      <c r="X57" s="275">
        <f t="shared" si="87"/>
        <v>1</v>
      </c>
      <c r="Y57" s="275">
        <f t="shared" si="87"/>
        <v>1</v>
      </c>
      <c r="Z57" s="275">
        <f t="shared" si="87"/>
        <v>1</v>
      </c>
      <c r="AA57" s="275">
        <f t="shared" si="87"/>
        <v>1</v>
      </c>
      <c r="AB57" s="275">
        <f t="shared" si="87"/>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3" t="str">
        <f t="shared" si="83"/>
        <v>NM</v>
      </c>
      <c r="C58" s="3" t="str">
        <f t="shared" si="83"/>
        <v>N.M.M Products</v>
      </c>
      <c r="D58">
        <v>1</v>
      </c>
      <c r="E58">
        <v>1</v>
      </c>
      <c r="F58">
        <v>1</v>
      </c>
      <c r="G58">
        <v>1</v>
      </c>
      <c r="H58">
        <f t="shared" si="61"/>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75">
        <f t="shared" ref="U58:AB58" si="88">IF(U$63=1,($AC58-$T58)/$AD$63+T58,$AC58)</f>
        <v>1</v>
      </c>
      <c r="V58" s="275">
        <f t="shared" si="88"/>
        <v>1</v>
      </c>
      <c r="W58" s="275">
        <f t="shared" si="88"/>
        <v>1</v>
      </c>
      <c r="X58" s="275">
        <f t="shared" si="88"/>
        <v>1</v>
      </c>
      <c r="Y58" s="275">
        <f t="shared" si="88"/>
        <v>1</v>
      </c>
      <c r="Z58" s="275">
        <f t="shared" si="88"/>
        <v>1</v>
      </c>
      <c r="AA58" s="275">
        <f t="shared" si="88"/>
        <v>1</v>
      </c>
      <c r="AB58" s="275">
        <f t="shared" si="88"/>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3" t="str">
        <f t="shared" si="83"/>
        <v>FB</v>
      </c>
      <c r="C59" s="3" t="str">
        <f t="shared" si="83"/>
        <v>Food, Beverage &amp; Tabacco</v>
      </c>
      <c r="D59">
        <v>1</v>
      </c>
      <c r="E59">
        <v>1</v>
      </c>
      <c r="F59">
        <v>1</v>
      </c>
      <c r="G59">
        <v>1</v>
      </c>
      <c r="H59">
        <f t="shared" si="61"/>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2">
        <v>1.0349999999999999</v>
      </c>
      <c r="U59" s="275">
        <f t="shared" ref="U59:AB59" si="89">IF(U$63=1,($AC59-$T59)/$AD$63+T59,$AC59)</f>
        <v>1.0262499999999999</v>
      </c>
      <c r="V59" s="275">
        <f t="shared" si="89"/>
        <v>1.0174999999999998</v>
      </c>
      <c r="W59" s="275">
        <f t="shared" si="89"/>
        <v>1.0087499999999998</v>
      </c>
      <c r="X59" s="275">
        <f t="shared" si="89"/>
        <v>0.99999999999999978</v>
      </c>
      <c r="Y59" s="275">
        <f t="shared" si="89"/>
        <v>1</v>
      </c>
      <c r="Z59" s="275">
        <f t="shared" si="89"/>
        <v>1</v>
      </c>
      <c r="AA59" s="275">
        <f t="shared" si="89"/>
        <v>1</v>
      </c>
      <c r="AB59" s="275">
        <f t="shared" si="89"/>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3" t="str">
        <f t="shared" si="83"/>
        <v>PP</v>
      </c>
      <c r="C60" s="3" t="str">
        <f t="shared" si="83"/>
        <v>Pulp &amp; Paper Products</v>
      </c>
      <c r="D60">
        <v>1</v>
      </c>
      <c r="E60">
        <v>1</v>
      </c>
      <c r="F60">
        <v>1</v>
      </c>
      <c r="G60">
        <v>1</v>
      </c>
      <c r="H60">
        <f t="shared" si="61"/>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75">
        <f t="shared" ref="U60:AB60" si="90">IF(U$63=1,($AC60-$T60)/$AD$63+T60,$AC60)</f>
        <v>1</v>
      </c>
      <c r="V60" s="275">
        <f t="shared" si="90"/>
        <v>1</v>
      </c>
      <c r="W60" s="275">
        <f t="shared" si="90"/>
        <v>1</v>
      </c>
      <c r="X60" s="275">
        <f t="shared" si="90"/>
        <v>1</v>
      </c>
      <c r="Y60" s="275">
        <f t="shared" si="90"/>
        <v>1</v>
      </c>
      <c r="Z60" s="275">
        <f t="shared" si="90"/>
        <v>1</v>
      </c>
      <c r="AA60" s="275">
        <f t="shared" si="90"/>
        <v>1</v>
      </c>
      <c r="AB60" s="275">
        <f t="shared" si="90"/>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3" t="str">
        <f t="shared" si="83"/>
        <v>PP</v>
      </c>
      <c r="C61" s="3" t="str">
        <f t="shared" si="83"/>
        <v>Pulp &amp; Paper Products</v>
      </c>
      <c r="D61">
        <v>1</v>
      </c>
      <c r="E61">
        <v>1</v>
      </c>
      <c r="F61">
        <v>1</v>
      </c>
      <c r="G61">
        <v>1</v>
      </c>
      <c r="H61">
        <f t="shared" si="61"/>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75">
        <f t="shared" ref="U61:AB61" si="91">IF(U$63=1,($AC61-$T61)/$AD$63+T61,$AC61)</f>
        <v>1</v>
      </c>
      <c r="V61" s="275">
        <f t="shared" si="91"/>
        <v>1</v>
      </c>
      <c r="W61" s="275">
        <f t="shared" si="91"/>
        <v>1</v>
      </c>
      <c r="X61" s="275">
        <f t="shared" si="91"/>
        <v>1</v>
      </c>
      <c r="Y61" s="275">
        <f t="shared" si="91"/>
        <v>1</v>
      </c>
      <c r="Z61" s="275">
        <f t="shared" si="91"/>
        <v>1</v>
      </c>
      <c r="AA61" s="275">
        <f t="shared" si="91"/>
        <v>1</v>
      </c>
      <c r="AB61" s="275">
        <f t="shared" si="91"/>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3" t="str">
        <f t="shared" si="83"/>
        <v>OT</v>
      </c>
      <c r="C62" s="3" t="str">
        <f t="shared" si="83"/>
        <v>Other</v>
      </c>
      <c r="D62">
        <v>1</v>
      </c>
      <c r="E62">
        <v>1</v>
      </c>
      <c r="F62">
        <v>1</v>
      </c>
      <c r="G62">
        <v>1</v>
      </c>
      <c r="H62">
        <f t="shared" si="61"/>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75">
        <f t="shared" ref="U62:AB62" si="92">IF(U$63=1,($AC62-$T62)/$AD$63+T62,$AC62)</f>
        <v>1.0262499999999999</v>
      </c>
      <c r="V62" s="275">
        <f t="shared" si="92"/>
        <v>1.0174999999999998</v>
      </c>
      <c r="W62" s="275">
        <f t="shared" si="92"/>
        <v>1.0087499999999998</v>
      </c>
      <c r="X62" s="275">
        <f t="shared" si="92"/>
        <v>0.99999999999999978</v>
      </c>
      <c r="Y62" s="275">
        <f t="shared" si="92"/>
        <v>1</v>
      </c>
      <c r="Z62" s="275">
        <f t="shared" si="92"/>
        <v>1</v>
      </c>
      <c r="AA62" s="275">
        <f t="shared" si="92"/>
        <v>1</v>
      </c>
      <c r="AB62" s="275">
        <f t="shared" si="92"/>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3"/>
      <c r="U63" s="276">
        <f t="shared" ref="U63:AC63" si="93">IF(U3&lt;=$Y$45,1,0)</f>
        <v>1</v>
      </c>
      <c r="V63" s="276">
        <f t="shared" si="93"/>
        <v>1</v>
      </c>
      <c r="W63" s="276">
        <f t="shared" si="93"/>
        <v>1</v>
      </c>
      <c r="X63" s="276">
        <f t="shared" si="93"/>
        <v>1</v>
      </c>
      <c r="Y63" s="276">
        <f t="shared" si="93"/>
        <v>0</v>
      </c>
      <c r="Z63" s="276">
        <f t="shared" si="93"/>
        <v>0</v>
      </c>
      <c r="AA63" s="276">
        <f t="shared" si="93"/>
        <v>0</v>
      </c>
      <c r="AB63" s="276">
        <f t="shared" si="93"/>
        <v>0</v>
      </c>
      <c r="AC63" s="276">
        <f t="shared" si="93"/>
        <v>0</v>
      </c>
      <c r="AD63" s="276">
        <f>SUM(U63:AC63)</f>
        <v>4</v>
      </c>
    </row>
    <row r="64" spans="1:43" ht="15.75" thickBot="1">
      <c r="A64" t="s">
        <v>16</v>
      </c>
      <c r="B64" s="9" t="s">
        <v>273</v>
      </c>
      <c r="C64" s="9"/>
    </row>
    <row r="65" spans="1:49">
      <c r="A65" t="s">
        <v>16</v>
      </c>
      <c r="B65" s="3" t="s">
        <v>95</v>
      </c>
      <c r="C65" s="3" t="s">
        <v>96</v>
      </c>
    </row>
    <row r="66" spans="1:49">
      <c r="A66" t="s">
        <v>16</v>
      </c>
      <c r="B66" s="3" t="s">
        <v>97</v>
      </c>
      <c r="C66" s="3" t="s">
        <v>98</v>
      </c>
    </row>
    <row r="67" spans="1:49">
      <c r="A67" t="s">
        <v>16</v>
      </c>
      <c r="B67" s="3" t="s">
        <v>99</v>
      </c>
      <c r="C67" s="3" t="s">
        <v>64</v>
      </c>
    </row>
    <row r="68" spans="1:49">
      <c r="A68" t="s">
        <v>16</v>
      </c>
      <c r="B68" s="3" t="s">
        <v>100</v>
      </c>
      <c r="C68" s="3" t="s">
        <v>63</v>
      </c>
    </row>
    <row r="69" spans="1:49">
      <c r="A69" t="s">
        <v>16</v>
      </c>
      <c r="B69" s="3" t="s">
        <v>101</v>
      </c>
      <c r="C69" s="3" t="s">
        <v>102</v>
      </c>
    </row>
    <row r="70" spans="1:49">
      <c r="A70" t="s">
        <v>16</v>
      </c>
      <c r="B70" s="3" t="s">
        <v>103</v>
      </c>
      <c r="C70" s="3" t="s">
        <v>104</v>
      </c>
    </row>
    <row r="71" spans="1:49">
      <c r="A71" t="s">
        <v>16</v>
      </c>
      <c r="B71" s="3" t="s">
        <v>105</v>
      </c>
      <c r="C71" s="3" t="s">
        <v>106</v>
      </c>
    </row>
    <row r="72" spans="1:49">
      <c r="A72" t="s">
        <v>16</v>
      </c>
      <c r="B72" s="3" t="s">
        <v>107</v>
      </c>
      <c r="C72" s="3" t="s">
        <v>108</v>
      </c>
    </row>
    <row r="73" spans="1:49">
      <c r="A73" t="s">
        <v>16</v>
      </c>
      <c r="B73" s="3" t="s">
        <v>29</v>
      </c>
      <c r="C73" s="3" t="s">
        <v>109</v>
      </c>
    </row>
    <row r="74" spans="1:49">
      <c r="A74" t="s">
        <v>16</v>
      </c>
      <c r="B74" s="3" t="s">
        <v>110</v>
      </c>
      <c r="C74" s="3" t="s">
        <v>111</v>
      </c>
    </row>
    <row r="75" spans="1:49">
      <c r="A75" t="s">
        <v>16</v>
      </c>
      <c r="B75" s="3" t="s">
        <v>207</v>
      </c>
      <c r="C75" s="3" t="s">
        <v>206</v>
      </c>
    </row>
    <row r="76" spans="1:49">
      <c r="A76" t="s">
        <v>16</v>
      </c>
      <c r="B76" s="3" t="s">
        <v>112</v>
      </c>
      <c r="C76" s="3" t="s">
        <v>2</v>
      </c>
    </row>
    <row r="77" spans="1:49">
      <c r="A77" t="s">
        <v>16</v>
      </c>
      <c r="B77" s="3"/>
      <c r="C77" s="3"/>
    </row>
    <row r="78" spans="1:49" ht="23.25">
      <c r="A78" t="s">
        <v>16</v>
      </c>
      <c r="B78" s="10" t="s">
        <v>18</v>
      </c>
      <c r="C78" s="10" t="s">
        <v>19</v>
      </c>
      <c r="D78" s="10" t="s">
        <v>20</v>
      </c>
      <c r="E78" s="10" t="s">
        <v>21</v>
      </c>
      <c r="F78" s="10" t="s">
        <v>22</v>
      </c>
      <c r="G78" s="10" t="s">
        <v>23</v>
      </c>
      <c r="H78" s="10"/>
      <c r="I78" s="10" t="s">
        <v>24</v>
      </c>
      <c r="J78" s="11" t="s">
        <v>25</v>
      </c>
      <c r="K78" s="2">
        <f t="shared" ref="K78:AQ78" si="94">K3</f>
        <v>2012</v>
      </c>
      <c r="L78" s="2">
        <f t="shared" si="94"/>
        <v>2013</v>
      </c>
      <c r="M78" s="2">
        <f t="shared" si="94"/>
        <v>2014</v>
      </c>
      <c r="N78" s="2">
        <f t="shared" si="94"/>
        <v>2015</v>
      </c>
      <c r="O78" s="2">
        <f t="shared" si="94"/>
        <v>2016</v>
      </c>
      <c r="P78" s="2">
        <f t="shared" si="94"/>
        <v>2017</v>
      </c>
      <c r="Q78" s="2">
        <f t="shared" si="94"/>
        <v>2018</v>
      </c>
      <c r="R78" s="2">
        <f t="shared" si="94"/>
        <v>2019</v>
      </c>
      <c r="S78" s="2">
        <f t="shared" si="94"/>
        <v>2020</v>
      </c>
      <c r="T78" s="2">
        <f t="shared" si="94"/>
        <v>2021</v>
      </c>
      <c r="U78" s="2">
        <f t="shared" si="94"/>
        <v>2022</v>
      </c>
      <c r="V78" s="2">
        <f t="shared" si="94"/>
        <v>2023</v>
      </c>
      <c r="W78" s="2">
        <f t="shared" si="94"/>
        <v>2024</v>
      </c>
      <c r="X78" s="2">
        <f t="shared" si="94"/>
        <v>2025</v>
      </c>
      <c r="Y78" s="2">
        <f t="shared" si="94"/>
        <v>2026</v>
      </c>
      <c r="Z78" s="2">
        <f t="shared" si="94"/>
        <v>2027</v>
      </c>
      <c r="AA78" s="2">
        <f t="shared" si="94"/>
        <v>2028</v>
      </c>
      <c r="AB78" s="2">
        <f t="shared" si="94"/>
        <v>2029</v>
      </c>
      <c r="AC78" s="2">
        <f t="shared" si="94"/>
        <v>2030</v>
      </c>
      <c r="AD78" s="2">
        <f t="shared" si="94"/>
        <v>2031</v>
      </c>
      <c r="AE78" s="2">
        <f t="shared" si="94"/>
        <v>2032</v>
      </c>
      <c r="AF78" s="2">
        <f t="shared" si="94"/>
        <v>2033</v>
      </c>
      <c r="AG78" s="2">
        <f t="shared" si="94"/>
        <v>2034</v>
      </c>
      <c r="AH78" s="2">
        <f t="shared" si="94"/>
        <v>2035</v>
      </c>
      <c r="AI78" s="2">
        <f t="shared" si="94"/>
        <v>2036</v>
      </c>
      <c r="AJ78" s="2">
        <f t="shared" si="94"/>
        <v>2037</v>
      </c>
      <c r="AK78" s="2">
        <f t="shared" si="94"/>
        <v>2038</v>
      </c>
      <c r="AL78" s="2">
        <f t="shared" si="94"/>
        <v>2039</v>
      </c>
      <c r="AM78" s="2">
        <f t="shared" si="94"/>
        <v>2040</v>
      </c>
      <c r="AN78" s="2">
        <f t="shared" si="94"/>
        <v>2045</v>
      </c>
      <c r="AO78" s="2">
        <f t="shared" si="94"/>
        <v>2050</v>
      </c>
      <c r="AP78" s="2">
        <f t="shared" si="94"/>
        <v>2060</v>
      </c>
      <c r="AQ78" s="2">
        <f t="shared" si="94"/>
        <v>2070</v>
      </c>
      <c r="AR78" s="2"/>
      <c r="AS78" s="2"/>
      <c r="AT78" s="2"/>
      <c r="AU78" s="2"/>
      <c r="AV78" s="2"/>
      <c r="AW78" s="2"/>
    </row>
    <row r="79" spans="1:49" s="2" customFormat="1">
      <c r="A79" s="2" t="s">
        <v>16</v>
      </c>
      <c r="C79" s="1" t="s">
        <v>760</v>
      </c>
      <c r="D79" s="1" t="s">
        <v>761</v>
      </c>
      <c r="K79" s="2">
        <f t="shared" ref="K79:AQ79" si="95">SUMIF($B$10:$B$25,$D79,K$10:K$25)*SUMIF($B$10:$B$25,$D79,K$47:K$62)</f>
        <v>186.51301855651582</v>
      </c>
      <c r="L79" s="2">
        <f t="shared" si="95"/>
        <v>191.72764997425244</v>
      </c>
      <c r="M79" s="2">
        <f t="shared" si="95"/>
        <v>193.25080325111884</v>
      </c>
      <c r="N79" s="2">
        <f t="shared" si="95"/>
        <v>199.99778725841253</v>
      </c>
      <c r="O79" s="2">
        <f t="shared" si="95"/>
        <v>197.80224330122689</v>
      </c>
      <c r="P79" s="2">
        <f t="shared" si="95"/>
        <v>204.56882730948811</v>
      </c>
      <c r="Q79" s="2">
        <f t="shared" si="95"/>
        <v>203.94770491309214</v>
      </c>
      <c r="R79" s="2">
        <f t="shared" si="95"/>
        <v>201.87293671790277</v>
      </c>
      <c r="S79" s="2">
        <f t="shared" si="95"/>
        <v>194.31413122982036</v>
      </c>
      <c r="T79" s="2">
        <f t="shared" si="95"/>
        <v>216.97699313950605</v>
      </c>
      <c r="U79" s="2">
        <f t="shared" si="95"/>
        <v>220.02935345195166</v>
      </c>
      <c r="V79" s="2">
        <f t="shared" si="95"/>
        <v>219.37444504512584</v>
      </c>
      <c r="W79" s="2">
        <f t="shared" si="95"/>
        <v>220.46227271071007</v>
      </c>
      <c r="X79" s="2">
        <f t="shared" si="95"/>
        <v>221.76927584102728</v>
      </c>
      <c r="Y79" s="2">
        <f t="shared" si="95"/>
        <v>224.87404570280171</v>
      </c>
      <c r="Z79" s="2">
        <f t="shared" si="95"/>
        <v>228.47203043404653</v>
      </c>
      <c r="AA79" s="2">
        <f t="shared" si="95"/>
        <v>232.5845269818594</v>
      </c>
      <c r="AB79" s="2">
        <f t="shared" si="95"/>
        <v>237.70876466782113</v>
      </c>
      <c r="AC79" s="2">
        <f t="shared" si="95"/>
        <v>243.94109733448514</v>
      </c>
      <c r="AD79" s="2">
        <f t="shared" si="95"/>
        <v>251.1077004492553</v>
      </c>
      <c r="AE79" s="2">
        <f t="shared" si="95"/>
        <v>258.66040216107149</v>
      </c>
      <c r="AF79" s="2">
        <f t="shared" si="95"/>
        <v>266.67310786041884</v>
      </c>
      <c r="AG79" s="2">
        <f t="shared" si="95"/>
        <v>275.8375761254328</v>
      </c>
      <c r="AH79" s="2">
        <f t="shared" si="95"/>
        <v>285.54835356360701</v>
      </c>
      <c r="AI79" s="2">
        <f t="shared" si="95"/>
        <v>295.84050477451257</v>
      </c>
      <c r="AJ79" s="2">
        <f t="shared" si="95"/>
        <v>306.78867974062996</v>
      </c>
      <c r="AK79" s="2">
        <f t="shared" si="95"/>
        <v>318.24906023319772</v>
      </c>
      <c r="AL79" s="2">
        <f t="shared" si="95"/>
        <v>329.88599860833341</v>
      </c>
      <c r="AM79" s="2">
        <f t="shared" si="95"/>
        <v>341.56680139596699</v>
      </c>
      <c r="AN79" s="2">
        <f t="shared" si="95"/>
        <v>405.20331752035696</v>
      </c>
      <c r="AO79" s="2">
        <f t="shared" si="95"/>
        <v>481.8917740485312</v>
      </c>
      <c r="AP79" s="2">
        <f t="shared" si="95"/>
        <v>561.76696955225952</v>
      </c>
      <c r="AQ79" s="2">
        <f t="shared" si="95"/>
        <v>626.77126428026031</v>
      </c>
    </row>
    <row r="80" spans="1:49">
      <c r="A80" s="43" t="str">
        <f>'[4]TS BYDem'!A10</f>
        <v/>
      </c>
      <c r="B80" t="s">
        <v>272</v>
      </c>
      <c r="C80" t="s">
        <v>125</v>
      </c>
      <c r="D80" s="3" t="s">
        <v>320</v>
      </c>
      <c r="E80" t="s">
        <v>125</v>
      </c>
      <c r="F80" t="s">
        <v>125</v>
      </c>
      <c r="G80" t="s">
        <v>125</v>
      </c>
      <c r="I80" t="s">
        <v>125</v>
      </c>
      <c r="J80">
        <v>0</v>
      </c>
      <c r="K80">
        <f>INDEX('[4]TS BYDem'!$J$10:$J$203,MATCH(D80,'[4]TS BYDem'!$D$10:$D$203,0))</f>
        <v>2.1376388478991801</v>
      </c>
      <c r="L80">
        <f t="shared" ref="L80:AA89" si="96">L$79/K$79*K80</f>
        <v>2.1974041060152065</v>
      </c>
      <c r="M80">
        <f t="shared" si="96"/>
        <v>2.2148610730469636</v>
      </c>
      <c r="N80" s="165">
        <f>P80</f>
        <v>1.54836715990045</v>
      </c>
      <c r="O80" s="165">
        <f>P80</f>
        <v>1.54836715990045</v>
      </c>
      <c r="P80" s="292">
        <f>IFERROR(INDEX('BY-DMD'!$I$5:$I$138,MATCH(D80,'BY-DMD'!$H$5:$H$138,0)),"")</f>
        <v>1.54836715990045</v>
      </c>
      <c r="Q80">
        <f t="shared" si="96"/>
        <v>1.5436659278823224</v>
      </c>
      <c r="R80">
        <f t="shared" si="96"/>
        <v>1.5279621523849098</v>
      </c>
      <c r="S80">
        <f t="shared" si="96"/>
        <v>1.4707500818082153</v>
      </c>
      <c r="T80">
        <f t="shared" si="96"/>
        <v>1.6422837000619317</v>
      </c>
      <c r="U80">
        <f t="shared" si="96"/>
        <v>1.6653868019867628</v>
      </c>
      <c r="V80">
        <f t="shared" si="96"/>
        <v>1.6604298460164491</v>
      </c>
      <c r="W80">
        <f t="shared" si="96"/>
        <v>1.6686635376065835</v>
      </c>
      <c r="X80">
        <f t="shared" si="96"/>
        <v>1.6785561529746553</v>
      </c>
      <c r="Y80">
        <f t="shared" si="96"/>
        <v>1.7020559391163008</v>
      </c>
      <c r="Z80">
        <f t="shared" si="96"/>
        <v>1.7292888341421617</v>
      </c>
      <c r="AA80">
        <f t="shared" si="96"/>
        <v>1.7604160331567211</v>
      </c>
      <c r="AB80">
        <f t="shared" ref="AB80:AQ89" si="97">AB$79/AA$79*AA80</f>
        <v>1.7992010301517125</v>
      </c>
      <c r="AC80">
        <f t="shared" si="97"/>
        <v>1.8463731206288121</v>
      </c>
      <c r="AD80">
        <f t="shared" si="97"/>
        <v>1.9006166388465837</v>
      </c>
      <c r="AE80">
        <f t="shared" si="97"/>
        <v>1.9577825103672137</v>
      </c>
      <c r="AF80">
        <f t="shared" si="97"/>
        <v>2.0184301199272316</v>
      </c>
      <c r="AG80">
        <f t="shared" si="97"/>
        <v>2.0877953398687321</v>
      </c>
      <c r="AH80">
        <f t="shared" si="97"/>
        <v>2.1612955357691748</v>
      </c>
      <c r="AI80">
        <f t="shared" si="97"/>
        <v>2.2391961091326156</v>
      </c>
      <c r="AJ80">
        <f t="shared" si="97"/>
        <v>2.3220620804603698</v>
      </c>
      <c r="AK80">
        <f t="shared" si="97"/>
        <v>2.4088048996280711</v>
      </c>
      <c r="AL80">
        <f t="shared" si="97"/>
        <v>2.4968840730721555</v>
      </c>
      <c r="AM80">
        <f t="shared" si="97"/>
        <v>2.5852952531894626</v>
      </c>
      <c r="AN80">
        <f t="shared" si="97"/>
        <v>3.0669555972086067</v>
      </c>
      <c r="AO80">
        <f t="shared" si="97"/>
        <v>3.6474051661550821</v>
      </c>
      <c r="AP80">
        <f t="shared" si="97"/>
        <v>4.2519749397379059</v>
      </c>
      <c r="AQ80">
        <f t="shared" si="97"/>
        <v>4.7439879044358664</v>
      </c>
    </row>
    <row r="81" spans="1:43">
      <c r="A81" s="43" t="str">
        <f>'[4]TS BYDem'!A11</f>
        <v/>
      </c>
      <c r="B81" t="s">
        <v>272</v>
      </c>
      <c r="C81" t="s">
        <v>125</v>
      </c>
      <c r="D81" s="3" t="s">
        <v>315</v>
      </c>
      <c r="E81" t="s">
        <v>125</v>
      </c>
      <c r="F81" t="s">
        <v>125</v>
      </c>
      <c r="G81" t="s">
        <v>125</v>
      </c>
      <c r="I81" t="s">
        <v>125</v>
      </c>
      <c r="J81">
        <v>0</v>
      </c>
      <c r="K81">
        <f>INDEX('[4]TS BYDem'!$J$10:$J$203,MATCH(D81,'[4]TS BYDem'!$D$10:$D$203,0))</f>
        <v>0.99318058118269725</v>
      </c>
      <c r="L81">
        <f t="shared" si="96"/>
        <v>1.0209484587400051</v>
      </c>
      <c r="M81">
        <f t="shared" si="96"/>
        <v>1.0290592397914098</v>
      </c>
      <c r="N81" s="165">
        <f t="shared" ref="N81:N88" si="98">P81</f>
        <v>0.71939570019765298</v>
      </c>
      <c r="O81" s="165">
        <f t="shared" ref="O81:O89" si="99">P81</f>
        <v>0.71939570019765298</v>
      </c>
      <c r="P81" s="292">
        <f>IFERROR(INDEX('BY-DMD'!$I$5:$I$138,MATCH(D81,'BY-DMD'!$H$5:$H$138,0)),"")</f>
        <v>0.71939570019765298</v>
      </c>
      <c r="Q81">
        <f t="shared" si="96"/>
        <v>0.71721143396735521</v>
      </c>
      <c r="R81">
        <f t="shared" si="96"/>
        <v>0.70991521323736106</v>
      </c>
      <c r="S81">
        <f t="shared" si="96"/>
        <v>0.68333358670962918</v>
      </c>
      <c r="T81">
        <f t="shared" si="96"/>
        <v>0.76303079975243426</v>
      </c>
      <c r="U81">
        <f t="shared" si="96"/>
        <v>0.77376486374990383</v>
      </c>
      <c r="V81">
        <f t="shared" si="96"/>
        <v>0.77146178415517641</v>
      </c>
      <c r="W81">
        <f t="shared" si="96"/>
        <v>0.77528728658127866</v>
      </c>
      <c r="X81">
        <f t="shared" si="96"/>
        <v>0.77988355104865315</v>
      </c>
      <c r="Y81">
        <f t="shared" si="96"/>
        <v>0.79080192076333444</v>
      </c>
      <c r="Z81">
        <f t="shared" si="96"/>
        <v>0.80345475149554779</v>
      </c>
      <c r="AA81">
        <f t="shared" si="96"/>
        <v>0.81791693702246782</v>
      </c>
      <c r="AB81">
        <f t="shared" si="97"/>
        <v>0.83593705575978949</v>
      </c>
      <c r="AC81">
        <f t="shared" si="97"/>
        <v>0.85785394985146091</v>
      </c>
      <c r="AD81">
        <f t="shared" si="97"/>
        <v>0.88305634033096891</v>
      </c>
      <c r="AE81">
        <f t="shared" si="97"/>
        <v>0.9096165020516791</v>
      </c>
      <c r="AF81">
        <f t="shared" si="97"/>
        <v>0.93779433394753786</v>
      </c>
      <c r="AG81">
        <f t="shared" si="97"/>
        <v>0.97002250454009187</v>
      </c>
      <c r="AH81">
        <f t="shared" si="97"/>
        <v>1.0041718499045744</v>
      </c>
      <c r="AI81">
        <f t="shared" si="97"/>
        <v>1.0403656797480041</v>
      </c>
      <c r="AJ81">
        <f t="shared" si="97"/>
        <v>1.0788665114691582</v>
      </c>
      <c r="AK81">
        <f t="shared" si="97"/>
        <v>1.1191685875841535</v>
      </c>
      <c r="AL81">
        <f t="shared" si="97"/>
        <v>1.1600915548839195</v>
      </c>
      <c r="AM81">
        <f t="shared" si="97"/>
        <v>1.2011687776983586</v>
      </c>
      <c r="AN81">
        <f t="shared" si="97"/>
        <v>1.4249557381925173</v>
      </c>
      <c r="AO81">
        <f t="shared" si="97"/>
        <v>1.6946417241110787</v>
      </c>
      <c r="AP81">
        <f t="shared" si="97"/>
        <v>1.9755343359208741</v>
      </c>
      <c r="AQ81">
        <f t="shared" si="97"/>
        <v>2.2041312865743414</v>
      </c>
    </row>
    <row r="82" spans="1:43">
      <c r="A82" s="43" t="str">
        <f>'[4]TS BYDem'!A12</f>
        <v/>
      </c>
      <c r="B82" t="s">
        <v>272</v>
      </c>
      <c r="C82" t="s">
        <v>125</v>
      </c>
      <c r="D82" s="3" t="s">
        <v>321</v>
      </c>
      <c r="E82" t="s">
        <v>125</v>
      </c>
      <c r="F82" t="s">
        <v>125</v>
      </c>
      <c r="G82" t="s">
        <v>125</v>
      </c>
      <c r="I82" t="s">
        <v>125</v>
      </c>
      <c r="J82">
        <v>0</v>
      </c>
      <c r="K82">
        <f>INDEX('[4]TS BYDem'!$J$10:$J$203,MATCH(D82,'[4]TS BYDem'!$D$10:$D$203,0))</f>
        <v>1.4429062223319464</v>
      </c>
      <c r="L82">
        <f t="shared" si="96"/>
        <v>1.4832477715602643</v>
      </c>
      <c r="M82">
        <f t="shared" si="96"/>
        <v>1.4950312243067001</v>
      </c>
      <c r="N82" s="165">
        <f t="shared" si="98"/>
        <v>1.0451478329328101</v>
      </c>
      <c r="O82" s="165">
        <f t="shared" si="99"/>
        <v>1.0451478329328101</v>
      </c>
      <c r="P82" s="292">
        <f>IFERROR(INDEX('BY-DMD'!$I$5:$I$138,MATCH(D82,'BY-DMD'!$H$5:$H$138,0)),"")</f>
        <v>1.0451478329328101</v>
      </c>
      <c r="Q82">
        <f t="shared" si="96"/>
        <v>1.0419745013205739</v>
      </c>
      <c r="R82">
        <f t="shared" si="96"/>
        <v>1.0313744528598203</v>
      </c>
      <c r="S82">
        <f t="shared" si="96"/>
        <v>0.99275630522055125</v>
      </c>
      <c r="T82">
        <f t="shared" si="96"/>
        <v>1.1085414975418104</v>
      </c>
      <c r="U82">
        <f t="shared" si="96"/>
        <v>1.1241360913410716</v>
      </c>
      <c r="V82">
        <f t="shared" si="96"/>
        <v>1.1207901460611098</v>
      </c>
      <c r="W82">
        <f t="shared" si="96"/>
        <v>1.1263478878844506</v>
      </c>
      <c r="X82">
        <f t="shared" si="96"/>
        <v>1.133025403257899</v>
      </c>
      <c r="Y82">
        <f t="shared" si="96"/>
        <v>1.1488877589035098</v>
      </c>
      <c r="Z82">
        <f t="shared" si="96"/>
        <v>1.167269963045966</v>
      </c>
      <c r="AA82">
        <f t="shared" si="96"/>
        <v>1.1882808223807937</v>
      </c>
      <c r="AB82">
        <f t="shared" si="97"/>
        <v>1.2144606953524131</v>
      </c>
      <c r="AC82">
        <f t="shared" si="97"/>
        <v>1.2463018564244555</v>
      </c>
      <c r="AD82">
        <f t="shared" si="97"/>
        <v>1.2829162312214515</v>
      </c>
      <c r="AE82">
        <f t="shared" si="97"/>
        <v>1.321503194497877</v>
      </c>
      <c r="AF82">
        <f t="shared" si="97"/>
        <v>1.3624403309508895</v>
      </c>
      <c r="AG82">
        <f t="shared" si="97"/>
        <v>1.4092618544114026</v>
      </c>
      <c r="AH82">
        <f t="shared" si="97"/>
        <v>1.4588744866442016</v>
      </c>
      <c r="AI82">
        <f t="shared" si="97"/>
        <v>1.5114573736645245</v>
      </c>
      <c r="AJ82">
        <f t="shared" si="97"/>
        <v>1.5673919043107589</v>
      </c>
      <c r="AK82">
        <f t="shared" si="97"/>
        <v>1.6259433072489577</v>
      </c>
      <c r="AL82">
        <f t="shared" si="97"/>
        <v>1.6853967493237152</v>
      </c>
      <c r="AM82">
        <f t="shared" si="97"/>
        <v>1.7450742959028978</v>
      </c>
      <c r="AN82">
        <f t="shared" si="97"/>
        <v>2.0701950281158217</v>
      </c>
      <c r="AO82">
        <f t="shared" si="97"/>
        <v>2.4619984871546947</v>
      </c>
      <c r="AP82">
        <f t="shared" si="97"/>
        <v>2.8700830843231033</v>
      </c>
      <c r="AQ82">
        <f t="shared" si="97"/>
        <v>3.2021918354942289</v>
      </c>
    </row>
    <row r="83" spans="1:43">
      <c r="A83" s="43" t="str">
        <f>'[4]TS BYDem'!A13</f>
        <v/>
      </c>
      <c r="B83" t="s">
        <v>272</v>
      </c>
      <c r="C83" t="s">
        <v>125</v>
      </c>
      <c r="D83" s="3" t="s">
        <v>316</v>
      </c>
      <c r="E83" t="s">
        <v>125</v>
      </c>
      <c r="F83" t="s">
        <v>125</v>
      </c>
      <c r="G83" t="s">
        <v>125</v>
      </c>
      <c r="I83" t="s">
        <v>125</v>
      </c>
      <c r="J83">
        <v>0</v>
      </c>
      <c r="K83">
        <f>INDEX('[4]TS BYDem'!$J$10:$J$203,MATCH(D83,'[4]TS BYDem'!$D$10:$D$203,0))</f>
        <v>17.35324025908308</v>
      </c>
      <c r="L83">
        <f t="shared" si="96"/>
        <v>17.838411495680308</v>
      </c>
      <c r="M83">
        <f t="shared" si="96"/>
        <v>17.980126240149275</v>
      </c>
      <c r="N83" s="165">
        <f t="shared" si="98"/>
        <v>12.569563545045501</v>
      </c>
      <c r="O83" s="165">
        <f t="shared" si="99"/>
        <v>12.569563545045501</v>
      </c>
      <c r="P83" s="292">
        <f>IFERROR(INDEX('BY-DMD'!$I$5:$I$138,MATCH(D83,'BY-DMD'!$H$5:$H$138,0)),"")</f>
        <v>12.569563545045501</v>
      </c>
      <c r="Q83">
        <f t="shared" si="96"/>
        <v>12.531399189637925</v>
      </c>
      <c r="R83">
        <f t="shared" si="96"/>
        <v>12.403916762262918</v>
      </c>
      <c r="S83">
        <f t="shared" si="96"/>
        <v>11.93947216844731</v>
      </c>
      <c r="T83">
        <f t="shared" si="96"/>
        <v>13.331973101423882</v>
      </c>
      <c r="U83">
        <f t="shared" si="96"/>
        <v>13.519522873372351</v>
      </c>
      <c r="V83">
        <f t="shared" si="96"/>
        <v>13.479282564308409</v>
      </c>
      <c r="W83">
        <f t="shared" si="96"/>
        <v>13.546123241592701</v>
      </c>
      <c r="X83">
        <f t="shared" si="96"/>
        <v>13.626430975259479</v>
      </c>
      <c r="Y83">
        <f t="shared" si="96"/>
        <v>13.817201008913115</v>
      </c>
      <c r="Z83">
        <f t="shared" si="96"/>
        <v>14.038276225055725</v>
      </c>
      <c r="AA83">
        <f t="shared" si="96"/>
        <v>14.290965197106731</v>
      </c>
      <c r="AB83">
        <f t="shared" si="97"/>
        <v>14.605819772267242</v>
      </c>
      <c r="AC83">
        <f t="shared" si="97"/>
        <v>14.9887603332403</v>
      </c>
      <c r="AD83">
        <f t="shared" si="97"/>
        <v>15.429106374413731</v>
      </c>
      <c r="AE83">
        <f t="shared" si="97"/>
        <v>15.893175926710786</v>
      </c>
      <c r="AF83">
        <f t="shared" si="97"/>
        <v>16.385510046138098</v>
      </c>
      <c r="AG83">
        <f t="shared" si="97"/>
        <v>16.94861327026409</v>
      </c>
      <c r="AH83">
        <f t="shared" si="97"/>
        <v>17.545284012753424</v>
      </c>
      <c r="AI83">
        <f t="shared" si="97"/>
        <v>18.177676789121918</v>
      </c>
      <c r="AJ83">
        <f t="shared" si="97"/>
        <v>18.850378406219697</v>
      </c>
      <c r="AK83">
        <f t="shared" si="97"/>
        <v>19.55455207112416</v>
      </c>
      <c r="AL83">
        <f t="shared" si="97"/>
        <v>20.269574190084423</v>
      </c>
      <c r="AM83">
        <f t="shared" si="97"/>
        <v>20.987291521836926</v>
      </c>
      <c r="AN83">
        <f t="shared" si="97"/>
        <v>24.897384979041451</v>
      </c>
      <c r="AO83">
        <f t="shared" si="97"/>
        <v>29.609444192462171</v>
      </c>
      <c r="AP83">
        <f t="shared" si="97"/>
        <v>34.517309964396816</v>
      </c>
      <c r="AQ83">
        <f t="shared" si="97"/>
        <v>38.511445454298872</v>
      </c>
    </row>
    <row r="84" spans="1:43">
      <c r="A84" s="43" t="str">
        <f>'[4]TS BYDem'!A14</f>
        <v/>
      </c>
      <c r="B84" t="s">
        <v>272</v>
      </c>
      <c r="C84" t="s">
        <v>125</v>
      </c>
      <c r="D84" s="3" t="s">
        <v>319</v>
      </c>
      <c r="E84" t="s">
        <v>125</v>
      </c>
      <c r="F84" t="s">
        <v>125</v>
      </c>
      <c r="G84" t="s">
        <v>125</v>
      </c>
      <c r="I84" t="s">
        <v>125</v>
      </c>
      <c r="J84">
        <v>0</v>
      </c>
      <c r="K84">
        <f>INDEX('[4]TS BYDem'!$J$10:$J$203,MATCH(D84,'[4]TS BYDem'!$D$10:$D$203,0))</f>
        <v>7.6954998524370488</v>
      </c>
      <c r="L84">
        <f t="shared" si="96"/>
        <v>7.9106547816547446</v>
      </c>
      <c r="M84">
        <f t="shared" si="96"/>
        <v>7.973499862969069</v>
      </c>
      <c r="N84" s="165">
        <f t="shared" si="98"/>
        <v>5.5741217756416299</v>
      </c>
      <c r="O84" s="165">
        <f t="shared" si="99"/>
        <v>5.5741217756416299</v>
      </c>
      <c r="P84" s="292">
        <f>IFERROR(INDEX('BY-DMD'!$I$5:$I$138,MATCH(D84,'BY-DMD'!$H$5:$H$138,0)),"")</f>
        <v>5.5741217756416299</v>
      </c>
      <c r="Q84">
        <f t="shared" si="96"/>
        <v>5.5571973403763701</v>
      </c>
      <c r="R84">
        <f t="shared" si="96"/>
        <v>5.5006637485856853</v>
      </c>
      <c r="S84">
        <f t="shared" si="96"/>
        <v>5.2947002945095845</v>
      </c>
      <c r="T84">
        <f t="shared" si="96"/>
        <v>5.9122213202229643</v>
      </c>
      <c r="U84">
        <f t="shared" si="96"/>
        <v>5.9953924871523565</v>
      </c>
      <c r="V84">
        <f t="shared" si="96"/>
        <v>5.9775474456592272</v>
      </c>
      <c r="W84">
        <f t="shared" si="96"/>
        <v>6.0071887353837106</v>
      </c>
      <c r="X84">
        <f t="shared" si="96"/>
        <v>6.042802150708769</v>
      </c>
      <c r="Y84">
        <f t="shared" si="96"/>
        <v>6.1274013808186929</v>
      </c>
      <c r="Z84">
        <f t="shared" si="96"/>
        <v>6.2254398029117919</v>
      </c>
      <c r="AA84">
        <f t="shared" si="96"/>
        <v>6.3374977193642055</v>
      </c>
      <c r="AB84">
        <f t="shared" si="97"/>
        <v>6.4771237085461753</v>
      </c>
      <c r="AC84">
        <f t="shared" si="97"/>
        <v>6.646943234263734</v>
      </c>
      <c r="AD84">
        <f t="shared" si="97"/>
        <v>6.842219899847712</v>
      </c>
      <c r="AE84">
        <f t="shared" si="97"/>
        <v>7.0480170373219799</v>
      </c>
      <c r="AF84">
        <f t="shared" si="97"/>
        <v>7.2663484317380451</v>
      </c>
      <c r="AG84">
        <f t="shared" si="97"/>
        <v>7.516063223527448</v>
      </c>
      <c r="AH84">
        <f t="shared" si="97"/>
        <v>7.7806639287690418</v>
      </c>
      <c r="AI84">
        <f t="shared" si="97"/>
        <v>8.0611059928774296</v>
      </c>
      <c r="AJ84">
        <f t="shared" si="97"/>
        <v>8.3594234896573454</v>
      </c>
      <c r="AK84">
        <f t="shared" si="97"/>
        <v>8.6716976386610707</v>
      </c>
      <c r="AL84">
        <f t="shared" si="97"/>
        <v>8.9887826630597765</v>
      </c>
      <c r="AM84">
        <f t="shared" si="97"/>
        <v>9.3070629114820829</v>
      </c>
      <c r="AN84">
        <f t="shared" si="97"/>
        <v>11.041040149951005</v>
      </c>
      <c r="AO84">
        <f t="shared" si="97"/>
        <v>13.13065859815832</v>
      </c>
      <c r="AP84">
        <f t="shared" si="97"/>
        <v>15.30710978305649</v>
      </c>
      <c r="AQ84">
        <f t="shared" si="97"/>
        <v>17.07835645596915</v>
      </c>
    </row>
    <row r="85" spans="1:43">
      <c r="A85" s="43" t="str">
        <f>'[4]TS BYDem'!A15</f>
        <v/>
      </c>
      <c r="B85" t="s">
        <v>272</v>
      </c>
      <c r="C85" t="s">
        <v>125</v>
      </c>
      <c r="D85" s="3" t="s">
        <v>323</v>
      </c>
      <c r="E85" t="s">
        <v>125</v>
      </c>
      <c r="F85" t="s">
        <v>125</v>
      </c>
      <c r="G85" t="s">
        <v>125</v>
      </c>
      <c r="I85" t="s">
        <v>125</v>
      </c>
      <c r="J85">
        <v>0</v>
      </c>
      <c r="K85">
        <f>INDEX('[4]TS BYDem'!$J$10:$J$203,MATCH(D85,'[4]TS BYDem'!$D$10:$D$203,0))</f>
        <v>15.294517272248457</v>
      </c>
      <c r="L85">
        <f t="shared" si="96"/>
        <v>15.722129622872741</v>
      </c>
      <c r="M85">
        <f t="shared" si="96"/>
        <v>15.847031864451422</v>
      </c>
      <c r="N85" s="165">
        <f t="shared" si="98"/>
        <v>11.078357924751099</v>
      </c>
      <c r="O85" s="165">
        <f t="shared" si="99"/>
        <v>11.078357924751099</v>
      </c>
      <c r="P85" s="292">
        <f>IFERROR(INDEX('BY-DMD'!$I$5:$I$138,MATCH(D85,'BY-DMD'!$H$5:$H$138,0)),"")</f>
        <v>11.078357924751099</v>
      </c>
      <c r="Q85">
        <f t="shared" si="96"/>
        <v>11.044721244554738</v>
      </c>
      <c r="R85">
        <f t="shared" si="96"/>
        <v>10.932362851638773</v>
      </c>
      <c r="S85">
        <f t="shared" si="96"/>
        <v>10.523018213054799</v>
      </c>
      <c r="T85">
        <f t="shared" si="96"/>
        <v>11.750318086338385</v>
      </c>
      <c r="U85">
        <f t="shared" si="96"/>
        <v>11.915617660576153</v>
      </c>
      <c r="V85">
        <f t="shared" si="96"/>
        <v>11.880151310036984</v>
      </c>
      <c r="W85">
        <f t="shared" si="96"/>
        <v>11.93906226141843</v>
      </c>
      <c r="X85">
        <f t="shared" si="96"/>
        <v>12.009842588396198</v>
      </c>
      <c r="Y85">
        <f t="shared" si="96"/>
        <v>12.177980384633749</v>
      </c>
      <c r="Z85">
        <f t="shared" si="96"/>
        <v>12.372828070787889</v>
      </c>
      <c r="AA85">
        <f t="shared" si="96"/>
        <v>12.595538976062075</v>
      </c>
      <c r="AB85">
        <f t="shared" si="97"/>
        <v>12.873040391713733</v>
      </c>
      <c r="AC85">
        <f t="shared" si="97"/>
        <v>13.210550328567246</v>
      </c>
      <c r="AD85">
        <f t="shared" si="97"/>
        <v>13.598655375921044</v>
      </c>
      <c r="AE85">
        <f t="shared" si="97"/>
        <v>14.00766946649798</v>
      </c>
      <c r="AF85">
        <f t="shared" si="97"/>
        <v>14.44159492254397</v>
      </c>
      <c r="AG85">
        <f t="shared" si="97"/>
        <v>14.937893703571097</v>
      </c>
      <c r="AH85">
        <f t="shared" si="97"/>
        <v>15.463777679163021</v>
      </c>
      <c r="AI85">
        <f t="shared" si="97"/>
        <v>16.02114576123925</v>
      </c>
      <c r="AJ85">
        <f t="shared" si="97"/>
        <v>16.614040595181638</v>
      </c>
      <c r="AK85">
        <f t="shared" si="97"/>
        <v>17.234673751857176</v>
      </c>
      <c r="AL85">
        <f t="shared" si="97"/>
        <v>17.864868342907879</v>
      </c>
      <c r="AM85">
        <f t="shared" si="97"/>
        <v>18.497438396868557</v>
      </c>
      <c r="AN85">
        <f t="shared" si="97"/>
        <v>21.943653110919904</v>
      </c>
      <c r="AO85">
        <f t="shared" si="97"/>
        <v>26.096691388010449</v>
      </c>
      <c r="AP85">
        <f t="shared" si="97"/>
        <v>30.42230647188169</v>
      </c>
      <c r="AQ85">
        <f t="shared" si="97"/>
        <v>33.942592788786257</v>
      </c>
    </row>
    <row r="86" spans="1:43">
      <c r="A86" s="43" t="str">
        <f>'[4]TS BYDem'!A16</f>
        <v/>
      </c>
      <c r="B86" t="s">
        <v>272</v>
      </c>
      <c r="C86" t="s">
        <v>125</v>
      </c>
      <c r="D86" s="3" t="s">
        <v>318</v>
      </c>
      <c r="E86" t="s">
        <v>125</v>
      </c>
      <c r="F86" t="s">
        <v>125</v>
      </c>
      <c r="G86" t="s">
        <v>125</v>
      </c>
      <c r="I86" t="s">
        <v>125</v>
      </c>
      <c r="J86">
        <v>0</v>
      </c>
      <c r="K86">
        <f>INDEX('[4]TS BYDem'!$J$10:$J$203,MATCH(D86,'[4]TS BYDem'!$D$10:$D$203,0))</f>
        <v>5.8889063414920679</v>
      </c>
      <c r="L86">
        <f t="shared" si="96"/>
        <v>6.0535515564058358</v>
      </c>
      <c r="M86">
        <f t="shared" si="96"/>
        <v>6.1016431430447868</v>
      </c>
      <c r="N86" s="165">
        <f t="shared" si="98"/>
        <v>4.2655424211891404</v>
      </c>
      <c r="O86" s="165">
        <f t="shared" si="99"/>
        <v>4.2655424211891404</v>
      </c>
      <c r="P86" s="292">
        <f>IFERROR(INDEX('BY-DMD'!$I$5:$I$138,MATCH(D86,'BY-DMD'!$H$5:$H$138,0)),"")</f>
        <v>4.2655424211891404</v>
      </c>
      <c r="Q86">
        <f t="shared" si="96"/>
        <v>4.2525911618725418</v>
      </c>
      <c r="R86">
        <f t="shared" si="96"/>
        <v>4.2093293811451913</v>
      </c>
      <c r="S86">
        <f t="shared" si="96"/>
        <v>4.0517178530986726</v>
      </c>
      <c r="T86">
        <f t="shared" si="96"/>
        <v>4.5242698060659086</v>
      </c>
      <c r="U86">
        <f t="shared" si="96"/>
        <v>4.5879157318344195</v>
      </c>
      <c r="V86">
        <f t="shared" si="96"/>
        <v>4.5742599875646306</v>
      </c>
      <c r="W86">
        <f t="shared" si="96"/>
        <v>4.5969426959494841</v>
      </c>
      <c r="X86">
        <f t="shared" si="96"/>
        <v>4.6241955153077372</v>
      </c>
      <c r="Y86">
        <f t="shared" si="96"/>
        <v>4.6889342525220465</v>
      </c>
      <c r="Z86">
        <f t="shared" si="96"/>
        <v>4.7639572005623991</v>
      </c>
      <c r="AA86">
        <f t="shared" si="96"/>
        <v>4.8497084301725231</v>
      </c>
      <c r="AB86">
        <f t="shared" si="97"/>
        <v>4.9565558590462189</v>
      </c>
      <c r="AC86">
        <f t="shared" si="97"/>
        <v>5.0865085978004929</v>
      </c>
      <c r="AD86">
        <f t="shared" si="97"/>
        <v>5.2359421649960964</v>
      </c>
      <c r="AE86">
        <f t="shared" si="97"/>
        <v>5.3934264208822604</v>
      </c>
      <c r="AF86">
        <f t="shared" si="97"/>
        <v>5.5605023948641712</v>
      </c>
      <c r="AG86">
        <f t="shared" si="97"/>
        <v>5.7515942081486955</v>
      </c>
      <c r="AH86">
        <f t="shared" si="97"/>
        <v>5.9540773217786738</v>
      </c>
      <c r="AI86">
        <f t="shared" si="97"/>
        <v>6.168682881055763</v>
      </c>
      <c r="AJ86">
        <f t="shared" si="97"/>
        <v>6.3969674411560336</v>
      </c>
      <c r="AK86">
        <f t="shared" si="97"/>
        <v>6.6359321934936881</v>
      </c>
      <c r="AL86">
        <f t="shared" si="97"/>
        <v>6.8785784213904195</v>
      </c>
      <c r="AM86">
        <f t="shared" si="97"/>
        <v>7.1221392828349455</v>
      </c>
      <c r="AN86">
        <f t="shared" si="97"/>
        <v>8.4490484832020645</v>
      </c>
      <c r="AO86">
        <f t="shared" si="97"/>
        <v>10.048108656928125</v>
      </c>
      <c r="AP86">
        <f t="shared" si="97"/>
        <v>11.713616737034947</v>
      </c>
      <c r="AQ86">
        <f t="shared" si="97"/>
        <v>13.06904600926849</v>
      </c>
    </row>
    <row r="87" spans="1:43">
      <c r="A87" s="43" t="str">
        <f>'[4]TS BYDem'!A17</f>
        <v/>
      </c>
      <c r="B87" t="s">
        <v>272</v>
      </c>
      <c r="C87" t="s">
        <v>125</v>
      </c>
      <c r="D87" s="3" t="s">
        <v>322</v>
      </c>
      <c r="E87" t="s">
        <v>125</v>
      </c>
      <c r="F87" t="s">
        <v>125</v>
      </c>
      <c r="G87" t="s">
        <v>125</v>
      </c>
      <c r="I87" t="s">
        <v>125</v>
      </c>
      <c r="J87">
        <v>0</v>
      </c>
      <c r="K87">
        <f>INDEX('[4]TS BYDem'!$J$10:$J$203,MATCH(D87,'[4]TS BYDem'!$D$10:$D$203,0))</f>
        <v>28.894976807848312</v>
      </c>
      <c r="L87">
        <f t="shared" si="96"/>
        <v>29.702838130575874</v>
      </c>
      <c r="M87">
        <f t="shared" si="96"/>
        <v>29.938808139267341</v>
      </c>
      <c r="N87" s="165">
        <f t="shared" si="98"/>
        <v>20.9296501227637</v>
      </c>
      <c r="O87" s="165">
        <f t="shared" si="99"/>
        <v>20.9296501227637</v>
      </c>
      <c r="P87" s="292">
        <f>IFERROR(INDEX('BY-DMD'!$I$5:$I$138,MATCH(D87,'BY-DMD'!$H$5:$H$138,0)),"")</f>
        <v>20.9296501227637</v>
      </c>
      <c r="Q87">
        <f t="shared" si="96"/>
        <v>20.866102442450156</v>
      </c>
      <c r="R87">
        <f t="shared" si="96"/>
        <v>20.653830744057636</v>
      </c>
      <c r="S87">
        <f t="shared" si="96"/>
        <v>19.880481469428183</v>
      </c>
      <c r="T87">
        <f t="shared" si="96"/>
        <v>22.199142512699613</v>
      </c>
      <c r="U87">
        <f t="shared" si="96"/>
        <v>22.511432680406575</v>
      </c>
      <c r="V87">
        <f t="shared" si="96"/>
        <v>22.444428318121286</v>
      </c>
      <c r="W87">
        <f t="shared" si="96"/>
        <v>22.555725101379938</v>
      </c>
      <c r="X87">
        <f t="shared" si="96"/>
        <v>22.689445955073406</v>
      </c>
      <c r="Y87">
        <f t="shared" si="96"/>
        <v>23.007098198444439</v>
      </c>
      <c r="Z87">
        <f t="shared" si="96"/>
        <v>23.37521176961955</v>
      </c>
      <c r="AA87">
        <f t="shared" si="96"/>
        <v>23.795965581472707</v>
      </c>
      <c r="AB87">
        <f t="shared" si="97"/>
        <v>24.320231684591171</v>
      </c>
      <c r="AC87">
        <f t="shared" si="97"/>
        <v>24.957868141120336</v>
      </c>
      <c r="AD87">
        <f t="shared" si="97"/>
        <v>25.691090781801186</v>
      </c>
      <c r="AE87">
        <f t="shared" si="97"/>
        <v>26.46381557271355</v>
      </c>
      <c r="AF87">
        <f t="shared" si="97"/>
        <v>27.283603851454082</v>
      </c>
      <c r="AG87">
        <f t="shared" si="97"/>
        <v>28.221230159775875</v>
      </c>
      <c r="AH87">
        <f t="shared" si="97"/>
        <v>29.214749929498812</v>
      </c>
      <c r="AI87">
        <f t="shared" si="97"/>
        <v>30.267750656383466</v>
      </c>
      <c r="AJ87">
        <f t="shared" si="97"/>
        <v>31.387869858010276</v>
      </c>
      <c r="AK87">
        <f t="shared" si="97"/>
        <v>32.560393341367337</v>
      </c>
      <c r="AL87">
        <f t="shared" si="97"/>
        <v>33.750980645870378</v>
      </c>
      <c r="AM87">
        <f t="shared" si="97"/>
        <v>34.946055764174261</v>
      </c>
      <c r="AN87">
        <f t="shared" si="97"/>
        <v>41.456774112772422</v>
      </c>
      <c r="AO87">
        <f t="shared" si="97"/>
        <v>49.302850099516945</v>
      </c>
      <c r="AP87">
        <f t="shared" si="97"/>
        <v>57.474964675171279</v>
      </c>
      <c r="AQ87">
        <f t="shared" si="97"/>
        <v>64.125621879534933</v>
      </c>
    </row>
    <row r="88" spans="1:43">
      <c r="A88" s="43" t="str">
        <f>'[4]TS BYDem'!A18</f>
        <v/>
      </c>
      <c r="B88" t="s">
        <v>272</v>
      </c>
      <c r="C88" t="s">
        <v>125</v>
      </c>
      <c r="D88" s="3" t="s">
        <v>317</v>
      </c>
      <c r="E88" t="s">
        <v>125</v>
      </c>
      <c r="F88" t="s">
        <v>125</v>
      </c>
      <c r="G88" t="s">
        <v>125</v>
      </c>
      <c r="I88" t="s">
        <v>125</v>
      </c>
      <c r="J88">
        <v>0</v>
      </c>
      <c r="K88">
        <f>INDEX('[4]TS BYDem'!$J$10:$J$203,MATCH(D88,'[4]TS BYDem'!$D$10:$D$203,0))</f>
        <v>0.18682963530638833</v>
      </c>
      <c r="L88">
        <f t="shared" si="96"/>
        <v>0.19205311886572904</v>
      </c>
      <c r="M88">
        <f t="shared" si="96"/>
        <v>0.19357885778430459</v>
      </c>
      <c r="N88" s="165">
        <f t="shared" si="98"/>
        <v>0.13532728977530001</v>
      </c>
      <c r="O88" s="165">
        <f t="shared" si="99"/>
        <v>0.13532728977530001</v>
      </c>
      <c r="P88" s="292">
        <f>IFERROR(INDEX('BY-DMD'!$I$5:$I$138,MATCH(D88,'BY-DMD'!$H$5:$H$138,0)),"")</f>
        <v>0.13532728977530001</v>
      </c>
      <c r="Q88">
        <f t="shared" si="96"/>
        <v>0.13491640209691566</v>
      </c>
      <c r="R88">
        <f t="shared" si="96"/>
        <v>0.13354389211844181</v>
      </c>
      <c r="S88">
        <f t="shared" si="96"/>
        <v>0.12854355715003868</v>
      </c>
      <c r="T88">
        <f t="shared" si="96"/>
        <v>0.14353559538541355</v>
      </c>
      <c r="U88">
        <f t="shared" si="96"/>
        <v>0.1455548064936438</v>
      </c>
      <c r="V88">
        <f t="shared" si="96"/>
        <v>0.14512156854183839</v>
      </c>
      <c r="W88">
        <f t="shared" si="96"/>
        <v>0.14584119318681613</v>
      </c>
      <c r="X88">
        <f t="shared" si="96"/>
        <v>0.1467058077699856</v>
      </c>
      <c r="Y88">
        <f t="shared" si="96"/>
        <v>0.14875968907876544</v>
      </c>
      <c r="Z88">
        <f t="shared" si="96"/>
        <v>0.1511398441040257</v>
      </c>
      <c r="AA88">
        <f t="shared" si="96"/>
        <v>0.15386036129789821</v>
      </c>
      <c r="AB88">
        <f t="shared" si="97"/>
        <v>0.15725017003526048</v>
      </c>
      <c r="AC88">
        <f t="shared" si="97"/>
        <v>0.16137301074295901</v>
      </c>
      <c r="AD88">
        <f t="shared" si="97"/>
        <v>0.16611389423519227</v>
      </c>
      <c r="AE88">
        <f t="shared" si="97"/>
        <v>0.17111019140609535</v>
      </c>
      <c r="AF88">
        <f t="shared" si="97"/>
        <v>0.17641079248164096</v>
      </c>
      <c r="AG88">
        <f t="shared" si="97"/>
        <v>0.18247331270452816</v>
      </c>
      <c r="AH88">
        <f t="shared" si="97"/>
        <v>0.18889722982622686</v>
      </c>
      <c r="AI88">
        <f t="shared" si="97"/>
        <v>0.19570573993819163</v>
      </c>
      <c r="AJ88">
        <f t="shared" si="97"/>
        <v>0.2029482258322374</v>
      </c>
      <c r="AK88">
        <f t="shared" si="97"/>
        <v>0.21052954822749453</v>
      </c>
      <c r="AL88">
        <f t="shared" si="97"/>
        <v>0.21822766798650756</v>
      </c>
      <c r="AM88">
        <f t="shared" si="97"/>
        <v>0.22595480512876023</v>
      </c>
      <c r="AN88">
        <f t="shared" si="97"/>
        <v>0.26805191919603366</v>
      </c>
      <c r="AO88">
        <f t="shared" si="97"/>
        <v>0.31878321152195588</v>
      </c>
      <c r="AP88">
        <f t="shared" si="97"/>
        <v>0.37162260973309497</v>
      </c>
      <c r="AQ88">
        <f t="shared" si="97"/>
        <v>0.41462454284769695</v>
      </c>
    </row>
    <row r="89" spans="1:43">
      <c r="A89" s="43" t="str">
        <f>'[4]TS BYDem'!A20</f>
        <v/>
      </c>
      <c r="B89" t="s">
        <v>272</v>
      </c>
      <c r="C89" t="s">
        <v>125</v>
      </c>
      <c r="D89" s="3" t="s">
        <v>325</v>
      </c>
      <c r="E89" t="s">
        <v>125</v>
      </c>
      <c r="F89" t="s">
        <v>125</v>
      </c>
      <c r="G89" t="s">
        <v>125</v>
      </c>
      <c r="I89" t="s">
        <v>125</v>
      </c>
      <c r="J89">
        <v>0</v>
      </c>
      <c r="K89">
        <f>INDEX('[4]TS BYDem'!$J$10:$J$203,MATCH(D89,'[4]TS BYDem'!$D$10:$D$203,0))</f>
        <v>20.275122960000004</v>
      </c>
      <c r="L89">
        <f t="shared" si="96"/>
        <v>20.841985766703509</v>
      </c>
      <c r="M89">
        <f t="shared" si="96"/>
        <v>21.007561983390151</v>
      </c>
      <c r="N89" s="165">
        <f t="shared" ref="N89" si="100">P89</f>
        <v>25.233177191199999</v>
      </c>
      <c r="O89" s="165">
        <f t="shared" si="99"/>
        <v>25.233177191199999</v>
      </c>
      <c r="P89" s="292">
        <f>IFERROR(INDEX('BY-DMD'!$I$5:$I$138,MATCH(D89,'BY-DMD'!$H$5:$H$138,0)),"")</f>
        <v>25.233177191199999</v>
      </c>
      <c r="Q89">
        <f t="shared" si="96"/>
        <v>25.156562920629973</v>
      </c>
      <c r="R89">
        <f t="shared" si="96"/>
        <v>24.900644195433998</v>
      </c>
      <c r="S89">
        <f t="shared" si="96"/>
        <v>23.968279862396869</v>
      </c>
      <c r="T89">
        <f t="shared" si="96"/>
        <v>26.763700932888938</v>
      </c>
      <c r="U89">
        <f t="shared" si="96"/>
        <v>27.140203793213811</v>
      </c>
      <c r="V89">
        <f t="shared" si="96"/>
        <v>27.059422082281667</v>
      </c>
      <c r="W89">
        <f t="shared" si="96"/>
        <v>27.193603563400728</v>
      </c>
      <c r="X89">
        <f t="shared" si="96"/>
        <v>27.354819922757635</v>
      </c>
      <c r="Y89">
        <f t="shared" si="96"/>
        <v>27.737787401676247</v>
      </c>
      <c r="Z89">
        <f t="shared" si="96"/>
        <v>28.181592000103066</v>
      </c>
      <c r="AA89">
        <f t="shared" si="96"/>
        <v>28.688860656104929</v>
      </c>
      <c r="AB89">
        <f t="shared" si="97"/>
        <v>29.320925664250478</v>
      </c>
      <c r="AC89">
        <f t="shared" si="97"/>
        <v>30.089672088428387</v>
      </c>
      <c r="AD89">
        <f t="shared" si="97"/>
        <v>30.973659001939982</v>
      </c>
      <c r="AE89">
        <f t="shared" si="97"/>
        <v>31.905270445741316</v>
      </c>
      <c r="AF89">
        <f t="shared" si="97"/>
        <v>32.89362250969819</v>
      </c>
      <c r="AG89">
        <f t="shared" si="97"/>
        <v>34.024042303542807</v>
      </c>
      <c r="AH89">
        <f t="shared" si="97"/>
        <v>35.2218482986422</v>
      </c>
      <c r="AI89">
        <f t="shared" si="97"/>
        <v>36.491365646906132</v>
      </c>
      <c r="AJ89">
        <f t="shared" si="97"/>
        <v>37.841802282212036</v>
      </c>
      <c r="AK89">
        <f t="shared" si="97"/>
        <v>39.255418498577377</v>
      </c>
      <c r="AL89">
        <f t="shared" si="97"/>
        <v>40.690812795180719</v>
      </c>
      <c r="AM89">
        <f t="shared" si="97"/>
        <v>42.131617683942721</v>
      </c>
      <c r="AN89">
        <f t="shared" si="97"/>
        <v>49.98106135684445</v>
      </c>
      <c r="AO89">
        <f t="shared" si="97"/>
        <v>59.440437145157958</v>
      </c>
      <c r="AP89">
        <f t="shared" si="97"/>
        <v>69.292891147243537</v>
      </c>
      <c r="AQ89">
        <f t="shared" si="97"/>
        <v>77.311047718963565</v>
      </c>
    </row>
    <row r="90" spans="1:43">
      <c r="A90" s="43" t="str">
        <f>'[4]TS BYDem'!A27</f>
        <v/>
      </c>
      <c r="B90" t="s">
        <v>272</v>
      </c>
      <c r="C90" t="s">
        <v>125</v>
      </c>
      <c r="D90" s="3" t="s">
        <v>324</v>
      </c>
      <c r="E90" t="s">
        <v>125</v>
      </c>
      <c r="F90" t="s">
        <v>125</v>
      </c>
      <c r="G90" t="s">
        <v>125</v>
      </c>
      <c r="I90" t="s">
        <v>125</v>
      </c>
      <c r="J90">
        <v>0</v>
      </c>
      <c r="K90">
        <f>INDEX('[4]TS BYDem'!$J$10:$J$203,MATCH(D90,'[4]TS BYDem'!$D$10:$D$203,0))</f>
        <v>51.488523217763458</v>
      </c>
      <c r="L90">
        <f t="shared" ref="L90:AA90" si="101">L$79/K$79*K90</f>
        <v>52.928067078573662</v>
      </c>
      <c r="M90">
        <f t="shared" si="101"/>
        <v>53.348546643309163</v>
      </c>
      <c r="N90" s="165">
        <f t="shared" ref="N90" si="102">P90</f>
        <v>25.406351025250501</v>
      </c>
      <c r="O90" s="165">
        <f t="shared" ref="O90" si="103">P90</f>
        <v>25.406351025250501</v>
      </c>
      <c r="P90" s="292">
        <f>IFERROR(INDEX('BY-DMD'!$I$5:$I$138,MATCH(D90,'BY-DMD'!$H$5:$H$138,0)),"")</f>
        <v>25.406351025250501</v>
      </c>
      <c r="Q90">
        <f t="shared" si="101"/>
        <v>25.329210955377555</v>
      </c>
      <c r="R90">
        <f t="shared" si="101"/>
        <v>25.071535874788374</v>
      </c>
      <c r="S90">
        <f t="shared" si="101"/>
        <v>24.132772779317943</v>
      </c>
      <c r="T90">
        <f t="shared" si="101"/>
        <v>26.94737866276062</v>
      </c>
      <c r="U90">
        <f t="shared" si="101"/>
        <v>27.326465440416211</v>
      </c>
      <c r="V90">
        <f t="shared" si="101"/>
        <v>27.245129329279237</v>
      </c>
      <c r="W90">
        <f t="shared" si="101"/>
        <v>27.380231690134046</v>
      </c>
      <c r="X90">
        <f t="shared" si="101"/>
        <v>27.542554468030715</v>
      </c>
      <c r="Y90">
        <f t="shared" si="101"/>
        <v>27.928150230583153</v>
      </c>
      <c r="Z90">
        <f t="shared" si="101"/>
        <v>28.375000634272485</v>
      </c>
      <c r="AA90">
        <f t="shared" si="101"/>
        <v>28.885750645689395</v>
      </c>
      <c r="AB90">
        <f t="shared" ref="AB90:AP90" si="104">AB$79/AA$79*AA90</f>
        <v>29.52215347938899</v>
      </c>
      <c r="AC90">
        <f t="shared" si="104"/>
        <v>30.296175765765256</v>
      </c>
      <c r="AD90">
        <f t="shared" si="104"/>
        <v>31.186229430281028</v>
      </c>
      <c r="AE90">
        <f t="shared" si="104"/>
        <v>32.124234469480434</v>
      </c>
      <c r="AF90">
        <f t="shared" si="104"/>
        <v>33.119369536426198</v>
      </c>
      <c r="AG90">
        <f t="shared" si="104"/>
        <v>34.257547335864139</v>
      </c>
      <c r="AH90">
        <f t="shared" si="104"/>
        <v>35.463573804154372</v>
      </c>
      <c r="AI90">
        <f t="shared" si="104"/>
        <v>36.741803776473795</v>
      </c>
      <c r="AJ90">
        <f t="shared" si="104"/>
        <v>38.101508380216892</v>
      </c>
      <c r="AK90">
        <f t="shared" si="104"/>
        <v>39.524826162826116</v>
      </c>
      <c r="AL90">
        <f t="shared" si="104"/>
        <v>40.970071487377048</v>
      </c>
      <c r="AM90">
        <f t="shared" si="104"/>
        <v>42.420764536667349</v>
      </c>
      <c r="AN90">
        <f t="shared" si="104"/>
        <v>50.324078487009764</v>
      </c>
      <c r="AO90">
        <f t="shared" si="104"/>
        <v>59.848373423656213</v>
      </c>
      <c r="AP90">
        <f t="shared" si="104"/>
        <v>69.768444247096426</v>
      </c>
      <c r="AQ90">
        <f t="shared" ref="AQ90" si="105">AQ$79/AP$79*AP90</f>
        <v>77.84162896311318</v>
      </c>
    </row>
    <row r="91" spans="1:43" s="2" customFormat="1">
      <c r="A91" s="43" t="str">
        <f>'[4]TS BYDem'!A70</f>
        <v>*</v>
      </c>
      <c r="C91" s="1" t="s">
        <v>762</v>
      </c>
      <c r="D91" s="1" t="s">
        <v>740</v>
      </c>
      <c r="K91" s="2">
        <f t="shared" ref="K91:AB91" si="106">SUMIF($B$10:$B$25,$D91,K$10:K$25)*SUMIF($B$10:$B$25,$D91,K$47:K$62)</f>
        <v>72.107894835057621</v>
      </c>
      <c r="L91" s="2">
        <f t="shared" si="106"/>
        <v>74.266300997437128</v>
      </c>
      <c r="M91" s="2">
        <f t="shared" si="106"/>
        <v>75.801027741220466</v>
      </c>
      <c r="N91" s="2">
        <f t="shared" si="106"/>
        <v>76.644854367250801</v>
      </c>
      <c r="O91" s="2">
        <f t="shared" si="106"/>
        <v>77.466834349241523</v>
      </c>
      <c r="P91" s="2">
        <f t="shared" si="106"/>
        <v>78.131791577197461</v>
      </c>
      <c r="Q91" s="2">
        <f t="shared" si="106"/>
        <v>79.016580660802092</v>
      </c>
      <c r="R91" s="2">
        <f t="shared" si="106"/>
        <v>78.849999999999994</v>
      </c>
      <c r="S91" s="2">
        <f t="shared" si="106"/>
        <v>77.7</v>
      </c>
      <c r="T91" s="2">
        <f t="shared" si="106"/>
        <v>78.799937906914792</v>
      </c>
      <c r="U91" s="1">
        <f t="shared" si="106"/>
        <v>79.782968970676677</v>
      </c>
      <c r="V91" s="2">
        <f t="shared" si="106"/>
        <v>79.240984564265815</v>
      </c>
      <c r="W91" s="2">
        <f t="shared" si="106"/>
        <v>79.361438992568466</v>
      </c>
      <c r="X91" s="2">
        <f t="shared" si="106"/>
        <v>79.521149223415549</v>
      </c>
      <c r="Y91" s="2">
        <f t="shared" si="106"/>
        <v>80.774652394623175</v>
      </c>
      <c r="Z91" s="2">
        <f t="shared" si="106"/>
        <v>82.191765517127848</v>
      </c>
      <c r="AA91" s="2">
        <f t="shared" si="106"/>
        <v>83.743576134007128</v>
      </c>
      <c r="AB91" s="2">
        <f t="shared" si="106"/>
        <v>85.69894701205537</v>
      </c>
      <c r="AC91" s="2">
        <f>SUMIF($B$10:$B$25,$D91,AC$10:AC$25)*SUMIF($B$10:$B$25,$D91,AC$46:AC$62)</f>
        <v>88.078439163688699</v>
      </c>
      <c r="AD91" s="2">
        <f t="shared" ref="AD91:AQ91" si="107">SUMIF($B$10:$B$25,$D91,AD$10:AD$25)*SUMIF($B$10:$B$25,$D91,AD$47:AD$62)</f>
        <v>90.895610853007341</v>
      </c>
      <c r="AE91" s="2">
        <f t="shared" si="107"/>
        <v>93.839248568518911</v>
      </c>
      <c r="AF91" s="2">
        <f t="shared" si="107"/>
        <v>97.041782283230575</v>
      </c>
      <c r="AG91" s="2">
        <f t="shared" si="107"/>
        <v>100.63131738787621</v>
      </c>
      <c r="AH91" s="2">
        <f t="shared" si="107"/>
        <v>104.5302146152469</v>
      </c>
      <c r="AI91" s="2">
        <f t="shared" si="107"/>
        <v>108.65405249955944</v>
      </c>
      <c r="AJ91" s="2">
        <f t="shared" si="107"/>
        <v>112.97775869175773</v>
      </c>
      <c r="AK91" s="2">
        <f t="shared" si="107"/>
        <v>117.55924489173901</v>
      </c>
      <c r="AL91" s="2">
        <f t="shared" si="107"/>
        <v>122.2093857914187</v>
      </c>
      <c r="AM91" s="2">
        <f t="shared" si="107"/>
        <v>126.87883757879234</v>
      </c>
      <c r="AN91" s="2">
        <f t="shared" si="107"/>
        <v>151.95081165067981</v>
      </c>
      <c r="AO91" s="2">
        <f t="shared" si="107"/>
        <v>182.09353675989101</v>
      </c>
      <c r="AP91" s="2">
        <f t="shared" si="107"/>
        <v>213.46298674732734</v>
      </c>
      <c r="AQ91" s="2">
        <f t="shared" si="107"/>
        <v>239.03171955828529</v>
      </c>
    </row>
    <row r="92" spans="1:43">
      <c r="A92" s="43" t="str">
        <f>'[4]TS BYDem'!A73</f>
        <v/>
      </c>
      <c r="B92" t="s">
        <v>272</v>
      </c>
      <c r="C92" t="s">
        <v>125</v>
      </c>
      <c r="D92" s="3" t="s">
        <v>299</v>
      </c>
      <c r="E92" t="s">
        <v>125</v>
      </c>
      <c r="F92" t="s">
        <v>125</v>
      </c>
      <c r="G92" t="s">
        <v>125</v>
      </c>
      <c r="I92" t="s">
        <v>125</v>
      </c>
      <c r="J92">
        <v>0</v>
      </c>
      <c r="K92">
        <f>INDEX('[4]TS BYDem'!$J$10:$J$203,MATCH(D92,'[4]TS BYDem'!$D$10:$D$203,0))</f>
        <v>0.55647663194961794</v>
      </c>
      <c r="L92">
        <f t="shared" ref="L92:L102" si="108">L$91/K$91*K92</f>
        <v>0.57313365118957349</v>
      </c>
      <c r="M92">
        <f t="shared" ref="M92:AB92" si="109">M$91/L$91*L92</f>
        <v>0.5849775633062303</v>
      </c>
      <c r="N92" s="165">
        <f t="shared" ref="N92:N100" si="110">P92</f>
        <v>0.80918000000000001</v>
      </c>
      <c r="O92" s="165">
        <f t="shared" ref="O92:O100" si="111">P92</f>
        <v>0.80918000000000001</v>
      </c>
      <c r="P92" s="292">
        <f>IFERROR(INDEX('BY-DMD'!$I$5:$I$138,MATCH(D92,'BY-DMD'!$H$5:$H$138,0)),"")</f>
        <v>0.80918000000000001</v>
      </c>
      <c r="Q92">
        <f t="shared" si="109"/>
        <v>0.81834340987731991</v>
      </c>
      <c r="R92">
        <f t="shared" si="109"/>
        <v>0.81661819999300977</v>
      </c>
      <c r="S92">
        <f t="shared" si="109"/>
        <v>0.804708105763562</v>
      </c>
      <c r="T92">
        <f t="shared" si="109"/>
        <v>0.81609972673564612</v>
      </c>
      <c r="U92">
        <f t="shared" si="109"/>
        <v>0.82628058986597508</v>
      </c>
      <c r="V92">
        <f t="shared" si="109"/>
        <v>0.82066747216924052</v>
      </c>
      <c r="W92">
        <f t="shared" si="109"/>
        <v>0.82191497094440469</v>
      </c>
      <c r="X92">
        <f t="shared" si="109"/>
        <v>0.82356902650857478</v>
      </c>
      <c r="Y92">
        <f t="shared" si="109"/>
        <v>0.83655106206161356</v>
      </c>
      <c r="Z92">
        <f t="shared" si="109"/>
        <v>0.85122754103797682</v>
      </c>
      <c r="AA92">
        <f t="shared" si="109"/>
        <v>0.86729902857996799</v>
      </c>
      <c r="AB92">
        <f t="shared" si="109"/>
        <v>0.88755002980698783</v>
      </c>
      <c r="AC92">
        <f t="shared" ref="AB92:AQ101" si="112">AC$91/AB$91*AB92</f>
        <v>0.91219348697584401</v>
      </c>
      <c r="AD92">
        <f t="shared" si="112"/>
        <v>0.9413698176543811</v>
      </c>
      <c r="AE92">
        <f t="shared" si="112"/>
        <v>0.97185590684490231</v>
      </c>
      <c r="AF92">
        <f t="shared" si="112"/>
        <v>1.0050232792929019</v>
      </c>
      <c r="AG92">
        <f t="shared" si="112"/>
        <v>1.042198671759198</v>
      </c>
      <c r="AH92">
        <f t="shared" si="112"/>
        <v>1.0825780051234744</v>
      </c>
      <c r="AI92">
        <f t="shared" si="112"/>
        <v>1.1252869597227171</v>
      </c>
      <c r="AJ92">
        <f t="shared" si="112"/>
        <v>1.1700658711744811</v>
      </c>
      <c r="AK92">
        <f t="shared" si="112"/>
        <v>1.2175145080029088</v>
      </c>
      <c r="AL92">
        <f t="shared" si="112"/>
        <v>1.2656741743467301</v>
      </c>
      <c r="AM92">
        <f t="shared" si="112"/>
        <v>1.3140338359010637</v>
      </c>
      <c r="AN92">
        <f t="shared" si="112"/>
        <v>1.5736943347831964</v>
      </c>
      <c r="AO92">
        <f t="shared" si="112"/>
        <v>1.8858705925075865</v>
      </c>
      <c r="AP92">
        <f t="shared" si="112"/>
        <v>2.210751553617428</v>
      </c>
      <c r="AQ92">
        <f t="shared" si="112"/>
        <v>2.4755567858835881</v>
      </c>
    </row>
    <row r="93" spans="1:43">
      <c r="A93" s="43" t="str">
        <f>'[4]TS BYDem'!A74</f>
        <v/>
      </c>
      <c r="B93" t="s">
        <v>272</v>
      </c>
      <c r="C93" t="s">
        <v>125</v>
      </c>
      <c r="D93" s="3" t="s">
        <v>294</v>
      </c>
      <c r="E93" t="s">
        <v>125</v>
      </c>
      <c r="F93" t="s">
        <v>125</v>
      </c>
      <c r="G93" t="s">
        <v>125</v>
      </c>
      <c r="I93" t="s">
        <v>125</v>
      </c>
      <c r="J93">
        <v>0</v>
      </c>
      <c r="K93">
        <f>INDEX('[4]TS BYDem'!$J$10:$J$203,MATCH(D93,'[4]TS BYDem'!$D$10:$D$203,0))</f>
        <v>0.2086787369811067</v>
      </c>
      <c r="L93">
        <f t="shared" si="108"/>
        <v>0.21492511919609003</v>
      </c>
      <c r="M93">
        <f t="shared" ref="M93:M102" si="113">M$91/L$91*L93</f>
        <v>0.21936658623983632</v>
      </c>
      <c r="N93" s="165">
        <f t="shared" si="110"/>
        <v>0.3034425</v>
      </c>
      <c r="O93" s="165">
        <f t="shared" si="111"/>
        <v>0.3034425</v>
      </c>
      <c r="P93" s="292">
        <f>IFERROR(INDEX('BY-DMD'!$I$5:$I$138,MATCH(D93,'BY-DMD'!$H$5:$H$138,0)),"")</f>
        <v>0.3034425</v>
      </c>
      <c r="Q93">
        <f t="shared" ref="Q93:AA93" si="114">Q$91/P$91*P93</f>
        <v>0.30687877870399499</v>
      </c>
      <c r="R93">
        <f t="shared" si="114"/>
        <v>0.30623182499737867</v>
      </c>
      <c r="S93">
        <f t="shared" si="114"/>
        <v>0.30176553966133574</v>
      </c>
      <c r="T93">
        <f t="shared" si="114"/>
        <v>0.30603739752586728</v>
      </c>
      <c r="U93">
        <f t="shared" si="114"/>
        <v>0.30985522119974063</v>
      </c>
      <c r="V93">
        <f t="shared" si="114"/>
        <v>0.30775030206346515</v>
      </c>
      <c r="W93">
        <f t="shared" si="114"/>
        <v>0.30821811410415173</v>
      </c>
      <c r="X93">
        <f t="shared" si="114"/>
        <v>0.30883838494071553</v>
      </c>
      <c r="Y93">
        <f t="shared" si="114"/>
        <v>0.31370664827310507</v>
      </c>
      <c r="Z93">
        <f t="shared" si="114"/>
        <v>0.31921032788924125</v>
      </c>
      <c r="AA93">
        <f t="shared" si="114"/>
        <v>0.32523713571748791</v>
      </c>
      <c r="AB93">
        <f t="shared" si="112"/>
        <v>0.33283126117762035</v>
      </c>
      <c r="AC93">
        <f t="shared" si="112"/>
        <v>0.34207255761594141</v>
      </c>
      <c r="AD93">
        <f t="shared" si="112"/>
        <v>0.35301368162039282</v>
      </c>
      <c r="AE93">
        <f t="shared" si="112"/>
        <v>0.36444596506683824</v>
      </c>
      <c r="AF93">
        <f t="shared" si="112"/>
        <v>0.37688372973483808</v>
      </c>
      <c r="AG93">
        <f t="shared" si="112"/>
        <v>0.39082450190969908</v>
      </c>
      <c r="AH93">
        <f t="shared" si="112"/>
        <v>0.40596675192130272</v>
      </c>
      <c r="AI93">
        <f t="shared" si="112"/>
        <v>0.42198260989601871</v>
      </c>
      <c r="AJ93">
        <f t="shared" si="112"/>
        <v>0.43877470169043026</v>
      </c>
      <c r="AK93">
        <f t="shared" si="112"/>
        <v>0.45656794050109067</v>
      </c>
      <c r="AL93">
        <f t="shared" si="112"/>
        <v>0.47462781538002363</v>
      </c>
      <c r="AM93">
        <f t="shared" si="112"/>
        <v>0.49276268846289872</v>
      </c>
      <c r="AN93">
        <f t="shared" si="112"/>
        <v>0.59013537554369844</v>
      </c>
      <c r="AO93">
        <f t="shared" si="112"/>
        <v>0.70720147219034468</v>
      </c>
      <c r="AP93">
        <f t="shared" si="112"/>
        <v>0.82903183260653512</v>
      </c>
      <c r="AQ93">
        <f t="shared" si="112"/>
        <v>0.92833379470634503</v>
      </c>
    </row>
    <row r="94" spans="1:43">
      <c r="A94" s="43" t="str">
        <f>'[4]TS BYDem'!A75</f>
        <v/>
      </c>
      <c r="B94" t="s">
        <v>272</v>
      </c>
      <c r="C94" t="s">
        <v>125</v>
      </c>
      <c r="D94" s="3" t="s">
        <v>300</v>
      </c>
      <c r="E94" t="s">
        <v>125</v>
      </c>
      <c r="F94" t="s">
        <v>125</v>
      </c>
      <c r="G94" t="s">
        <v>125</v>
      </c>
      <c r="I94" t="s">
        <v>125</v>
      </c>
      <c r="J94">
        <v>0</v>
      </c>
      <c r="K94">
        <f>INDEX('[4]TS BYDem'!$J$10:$J$203,MATCH(D94,'[4]TS BYDem'!$D$10:$D$203,0))</f>
        <v>0.3338859791697707</v>
      </c>
      <c r="L94">
        <f t="shared" si="108"/>
        <v>0.34388019071374404</v>
      </c>
      <c r="M94">
        <f t="shared" si="113"/>
        <v>0.35098653798373813</v>
      </c>
      <c r="N94" s="165">
        <f t="shared" si="110"/>
        <v>0.485508</v>
      </c>
      <c r="O94" s="165">
        <f t="shared" si="111"/>
        <v>0.485508</v>
      </c>
      <c r="P94" s="292">
        <f>IFERROR(INDEX('BY-DMD'!$I$5:$I$138,MATCH(D94,'BY-DMD'!$H$5:$H$138,0)),"")</f>
        <v>0.485508</v>
      </c>
      <c r="Q94">
        <f t="shared" ref="Q94:AA94" si="115">Q$91/P$91*P94</f>
        <v>0.49100604592639197</v>
      </c>
      <c r="R94">
        <f t="shared" si="115"/>
        <v>0.48997091999580583</v>
      </c>
      <c r="S94">
        <f t="shared" si="115"/>
        <v>0.48282486345813719</v>
      </c>
      <c r="T94">
        <f t="shared" si="115"/>
        <v>0.48965983604138769</v>
      </c>
      <c r="U94">
        <f t="shared" si="115"/>
        <v>0.49576835391958507</v>
      </c>
      <c r="V94">
        <f t="shared" si="115"/>
        <v>0.49240048330154434</v>
      </c>
      <c r="W94">
        <f t="shared" si="115"/>
        <v>0.49314898256664286</v>
      </c>
      <c r="X94">
        <f t="shared" si="115"/>
        <v>0.49414141590514488</v>
      </c>
      <c r="Y94">
        <f t="shared" si="115"/>
        <v>0.50193063723696807</v>
      </c>
      <c r="Z94">
        <f t="shared" si="115"/>
        <v>0.51073652462278596</v>
      </c>
      <c r="AA94">
        <f t="shared" si="115"/>
        <v>0.52037941714798064</v>
      </c>
      <c r="AB94">
        <f t="shared" si="112"/>
        <v>0.53253001788419252</v>
      </c>
      <c r="AC94">
        <f t="shared" si="112"/>
        <v>0.54731609218550625</v>
      </c>
      <c r="AD94">
        <f t="shared" si="112"/>
        <v>0.56482189059262855</v>
      </c>
      <c r="AE94">
        <f t="shared" si="112"/>
        <v>0.58311354410694127</v>
      </c>
      <c r="AF94">
        <f t="shared" si="112"/>
        <v>0.60301396757574099</v>
      </c>
      <c r="AG94">
        <f t="shared" si="112"/>
        <v>0.62531920305551858</v>
      </c>
      <c r="AH94">
        <f t="shared" si="112"/>
        <v>0.64954680307408441</v>
      </c>
      <c r="AI94">
        <f t="shared" si="112"/>
        <v>0.67517217583363009</v>
      </c>
      <c r="AJ94">
        <f t="shared" si="112"/>
        <v>0.7020395227046885</v>
      </c>
      <c r="AK94">
        <f t="shared" si="112"/>
        <v>0.73050870480174512</v>
      </c>
      <c r="AL94">
        <f t="shared" si="112"/>
        <v>0.75940450460803788</v>
      </c>
      <c r="AM94">
        <f t="shared" si="112"/>
        <v>0.78842030154063802</v>
      </c>
      <c r="AN94">
        <f t="shared" si="112"/>
        <v>0.94421660086991765</v>
      </c>
      <c r="AO94">
        <f t="shared" si="112"/>
        <v>1.1315223555045517</v>
      </c>
      <c r="AP94">
        <f t="shared" si="112"/>
        <v>1.3264509321704565</v>
      </c>
      <c r="AQ94">
        <f t="shared" si="112"/>
        <v>1.4853340715301524</v>
      </c>
    </row>
    <row r="95" spans="1:43">
      <c r="A95" s="43" t="str">
        <f>'[4]TS BYDem'!A76</f>
        <v/>
      </c>
      <c r="B95" t="s">
        <v>272</v>
      </c>
      <c r="C95" t="s">
        <v>125</v>
      </c>
      <c r="D95" s="3" t="s">
        <v>295</v>
      </c>
      <c r="E95" t="s">
        <v>125</v>
      </c>
      <c r="F95" t="s">
        <v>125</v>
      </c>
      <c r="G95" t="s">
        <v>125</v>
      </c>
      <c r="I95" t="s">
        <v>125</v>
      </c>
      <c r="J95">
        <v>0</v>
      </c>
      <c r="K95">
        <f>INDEX('[4]TS BYDem'!$J$10:$J$203,MATCH(D95,'[4]TS BYDem'!$D$10:$D$203,0))</f>
        <v>2.7823831597480893</v>
      </c>
      <c r="L95">
        <f t="shared" si="108"/>
        <v>2.8656682559478672</v>
      </c>
      <c r="M95">
        <f t="shared" si="113"/>
        <v>2.9248878165311512</v>
      </c>
      <c r="N95" s="165">
        <f t="shared" si="110"/>
        <v>4.0458999999999996</v>
      </c>
      <c r="O95" s="165">
        <f t="shared" si="111"/>
        <v>4.0458999999999996</v>
      </c>
      <c r="P95" s="292">
        <f>IFERROR(INDEX('BY-DMD'!$I$5:$I$138,MATCH(D95,'BY-DMD'!$H$5:$H$138,0)),"")</f>
        <v>4.0458999999999996</v>
      </c>
      <c r="Q95">
        <f t="shared" ref="Q95:AA95" si="116">Q$91/P$91*P95</f>
        <v>4.0917170493865989</v>
      </c>
      <c r="R95">
        <f t="shared" si="116"/>
        <v>4.083090999965048</v>
      </c>
      <c r="S95">
        <f t="shared" si="116"/>
        <v>4.0235405288178097</v>
      </c>
      <c r="T95">
        <f t="shared" si="116"/>
        <v>4.0804986336782303</v>
      </c>
      <c r="U95">
        <f t="shared" si="116"/>
        <v>4.1314029493298747</v>
      </c>
      <c r="V95">
        <f t="shared" si="116"/>
        <v>4.1033373608462016</v>
      </c>
      <c r="W95">
        <f t="shared" si="116"/>
        <v>4.1095748547220223</v>
      </c>
      <c r="X95">
        <f t="shared" si="116"/>
        <v>4.1178451325428727</v>
      </c>
      <c r="Y95">
        <f t="shared" si="116"/>
        <v>4.1827553103080666</v>
      </c>
      <c r="Z95">
        <f t="shared" si="116"/>
        <v>4.2561377051898823</v>
      </c>
      <c r="AA95">
        <f t="shared" si="116"/>
        <v>4.336495142899838</v>
      </c>
      <c r="AB95">
        <f t="shared" si="112"/>
        <v>4.4377501490349367</v>
      </c>
      <c r="AC95">
        <f t="shared" si="112"/>
        <v>4.5609674348792177</v>
      </c>
      <c r="AD95">
        <f t="shared" si="112"/>
        <v>4.7068490882719027</v>
      </c>
      <c r="AE95">
        <f t="shared" si="112"/>
        <v>4.859279534224509</v>
      </c>
      <c r="AF95">
        <f t="shared" si="112"/>
        <v>5.0251163964645071</v>
      </c>
      <c r="AG95">
        <f t="shared" si="112"/>
        <v>5.2109933587959869</v>
      </c>
      <c r="AH95">
        <f t="shared" si="112"/>
        <v>5.4128900256173687</v>
      </c>
      <c r="AI95">
        <f t="shared" si="112"/>
        <v>5.6264347986135821</v>
      </c>
      <c r="AJ95">
        <f t="shared" si="112"/>
        <v>5.8503293558724021</v>
      </c>
      <c r="AK95">
        <f t="shared" si="112"/>
        <v>6.0875725400145404</v>
      </c>
      <c r="AL95">
        <f t="shared" si="112"/>
        <v>6.3283708717336467</v>
      </c>
      <c r="AM95">
        <f t="shared" si="112"/>
        <v>6.5701691795053145</v>
      </c>
      <c r="AN95">
        <f t="shared" si="112"/>
        <v>7.8684716739159777</v>
      </c>
      <c r="AO95">
        <f t="shared" si="112"/>
        <v>9.4293529625379264</v>
      </c>
      <c r="AP95">
        <f t="shared" si="112"/>
        <v>11.053757768087133</v>
      </c>
      <c r="AQ95">
        <f t="shared" si="112"/>
        <v>12.377783929417932</v>
      </c>
    </row>
    <row r="96" spans="1:43">
      <c r="A96" s="43" t="str">
        <f>'[4]TS BYDem'!A77</f>
        <v/>
      </c>
      <c r="B96" t="s">
        <v>272</v>
      </c>
      <c r="C96" t="s">
        <v>125</v>
      </c>
      <c r="D96" s="3" t="s">
        <v>298</v>
      </c>
      <c r="E96" t="s">
        <v>125</v>
      </c>
      <c r="F96" t="s">
        <v>125</v>
      </c>
      <c r="G96" t="s">
        <v>125</v>
      </c>
      <c r="I96" t="s">
        <v>125</v>
      </c>
      <c r="J96">
        <v>0</v>
      </c>
      <c r="K96">
        <f>INDEX('[4]TS BYDem'!$J$10:$J$203,MATCH(D96,'[4]TS BYDem'!$D$10:$D$203,0))</f>
        <v>0.5008289687546561</v>
      </c>
      <c r="L96">
        <f t="shared" si="108"/>
        <v>0.51582028607061614</v>
      </c>
      <c r="M96">
        <f t="shared" si="113"/>
        <v>0.52647980697560726</v>
      </c>
      <c r="N96" s="165">
        <f t="shared" si="110"/>
        <v>0.72826199999999996</v>
      </c>
      <c r="O96" s="165">
        <f t="shared" si="111"/>
        <v>0.72826199999999996</v>
      </c>
      <c r="P96" s="292">
        <f>IFERROR(INDEX('BY-DMD'!$I$5:$I$138,MATCH(D96,'BY-DMD'!$H$5:$H$138,0)),"")</f>
        <v>0.72826199999999996</v>
      </c>
      <c r="Q96">
        <f t="shared" ref="Q96:AA96" si="117">Q$91/P$91*P96</f>
        <v>0.73650906888958789</v>
      </c>
      <c r="R96">
        <f t="shared" si="117"/>
        <v>0.73495637999370877</v>
      </c>
      <c r="S96">
        <f t="shared" si="117"/>
        <v>0.72423729518720581</v>
      </c>
      <c r="T96">
        <f t="shared" si="117"/>
        <v>0.73448975406208161</v>
      </c>
      <c r="U96">
        <f t="shared" si="117"/>
        <v>0.74365253087937766</v>
      </c>
      <c r="V96">
        <f t="shared" si="117"/>
        <v>0.73860072495231655</v>
      </c>
      <c r="W96">
        <f t="shared" si="117"/>
        <v>0.73972347384996429</v>
      </c>
      <c r="X96">
        <f t="shared" si="117"/>
        <v>0.7412121238577174</v>
      </c>
      <c r="Y96">
        <f t="shared" si="117"/>
        <v>0.75289595585545221</v>
      </c>
      <c r="Z96">
        <f t="shared" si="117"/>
        <v>0.76610478693417916</v>
      </c>
      <c r="AA96">
        <f t="shared" si="117"/>
        <v>0.78056912572197124</v>
      </c>
      <c r="AB96">
        <f t="shared" si="112"/>
        <v>0.79879502682628911</v>
      </c>
      <c r="AC96">
        <f t="shared" si="112"/>
        <v>0.8209741382782596</v>
      </c>
      <c r="AD96">
        <f t="shared" si="112"/>
        <v>0.84723283588894305</v>
      </c>
      <c r="AE96">
        <f t="shared" si="112"/>
        <v>0.87467031616041213</v>
      </c>
      <c r="AF96">
        <f t="shared" si="112"/>
        <v>0.90452095136361177</v>
      </c>
      <c r="AG96">
        <f t="shared" si="112"/>
        <v>0.9379788045832782</v>
      </c>
      <c r="AH96">
        <f t="shared" si="112"/>
        <v>0.97432020461112701</v>
      </c>
      <c r="AI96">
        <f t="shared" si="112"/>
        <v>1.0127582637504455</v>
      </c>
      <c r="AJ96">
        <f t="shared" si="112"/>
        <v>1.0530592840570332</v>
      </c>
      <c r="AK96">
        <f t="shared" si="112"/>
        <v>1.0957630572026182</v>
      </c>
      <c r="AL96">
        <f t="shared" si="112"/>
        <v>1.1391067569120574</v>
      </c>
      <c r="AM96">
        <f t="shared" si="112"/>
        <v>1.1826304523109576</v>
      </c>
      <c r="AN96">
        <f t="shared" si="112"/>
        <v>1.4163249013048771</v>
      </c>
      <c r="AO96">
        <f t="shared" si="112"/>
        <v>1.6972835332568281</v>
      </c>
      <c r="AP96">
        <f t="shared" si="112"/>
        <v>1.9896763982556855</v>
      </c>
      <c r="AQ96">
        <f t="shared" si="112"/>
        <v>2.2280011072952295</v>
      </c>
    </row>
    <row r="97" spans="1:43">
      <c r="A97" s="43" t="str">
        <f>'[4]TS BYDem'!A78</f>
        <v/>
      </c>
      <c r="B97" t="s">
        <v>272</v>
      </c>
      <c r="C97" t="s">
        <v>125</v>
      </c>
      <c r="D97" s="3" t="s">
        <v>302</v>
      </c>
      <c r="E97" t="s">
        <v>125</v>
      </c>
      <c r="F97" t="s">
        <v>125</v>
      </c>
      <c r="G97" t="s">
        <v>125</v>
      </c>
      <c r="I97" t="s">
        <v>125</v>
      </c>
      <c r="J97">
        <v>0</v>
      </c>
      <c r="K97">
        <f>INDEX('[4]TS BYDem'!$J$10:$J$203,MATCH(D97,'[4]TS BYDem'!$D$10:$D$203,0))</f>
        <v>7.7906728472946494</v>
      </c>
      <c r="L97">
        <f t="shared" si="108"/>
        <v>8.0238711166540284</v>
      </c>
      <c r="M97">
        <f t="shared" si="113"/>
        <v>8.1896858862872239</v>
      </c>
      <c r="N97" s="165">
        <f t="shared" si="110"/>
        <v>11.328519999999999</v>
      </c>
      <c r="O97" s="165">
        <f t="shared" si="111"/>
        <v>11.328519999999999</v>
      </c>
      <c r="P97" s="292">
        <f>IFERROR(INDEX('BY-DMD'!$I$5:$I$138,MATCH(D97,'BY-DMD'!$H$5:$H$138,0)),"")</f>
        <v>11.328519999999999</v>
      </c>
      <c r="Q97">
        <f t="shared" ref="Q97:AA97" si="118">Q$91/P$91*P97</f>
        <v>11.456807738282478</v>
      </c>
      <c r="R97">
        <f t="shared" si="118"/>
        <v>11.432654799902135</v>
      </c>
      <c r="S97">
        <f t="shared" si="118"/>
        <v>11.265913480689866</v>
      </c>
      <c r="T97">
        <f t="shared" si="118"/>
        <v>11.425396174299044</v>
      </c>
      <c r="U97">
        <f t="shared" si="118"/>
        <v>11.567928258123649</v>
      </c>
      <c r="V97">
        <f t="shared" si="118"/>
        <v>11.489344610369365</v>
      </c>
      <c r="W97">
        <f t="shared" si="118"/>
        <v>11.506809593221663</v>
      </c>
      <c r="X97">
        <f t="shared" si="118"/>
        <v>11.529966371120043</v>
      </c>
      <c r="Y97">
        <f t="shared" si="118"/>
        <v>11.711714868862586</v>
      </c>
      <c r="Z97">
        <f t="shared" si="118"/>
        <v>11.917185574531672</v>
      </c>
      <c r="AA97">
        <f t="shared" si="118"/>
        <v>12.142186400119547</v>
      </c>
      <c r="AB97">
        <f t="shared" si="112"/>
        <v>12.425700417297824</v>
      </c>
      <c r="AC97">
        <f t="shared" si="112"/>
        <v>12.770708817661809</v>
      </c>
      <c r="AD97">
        <f t="shared" si="112"/>
        <v>13.179177447161328</v>
      </c>
      <c r="AE97">
        <f t="shared" si="112"/>
        <v>13.605982695828624</v>
      </c>
      <c r="AF97">
        <f t="shared" si="112"/>
        <v>14.070325910100618</v>
      </c>
      <c r="AG97">
        <f t="shared" si="112"/>
        <v>14.590781404628762</v>
      </c>
      <c r="AH97">
        <f t="shared" si="112"/>
        <v>15.156092071728631</v>
      </c>
      <c r="AI97">
        <f t="shared" si="112"/>
        <v>15.75401743611803</v>
      </c>
      <c r="AJ97">
        <f t="shared" si="112"/>
        <v>16.380922196442725</v>
      </c>
      <c r="AK97">
        <f t="shared" si="112"/>
        <v>17.045203112040713</v>
      </c>
      <c r="AL97">
        <f t="shared" si="112"/>
        <v>17.719438440854208</v>
      </c>
      <c r="AM97">
        <f t="shared" si="112"/>
        <v>18.39647370261488</v>
      </c>
      <c r="AN97">
        <f t="shared" si="112"/>
        <v>22.031720686964736</v>
      </c>
      <c r="AO97">
        <f t="shared" si="112"/>
        <v>26.402188295106193</v>
      </c>
      <c r="AP97">
        <f t="shared" si="112"/>
        <v>30.950521750643968</v>
      </c>
      <c r="AQ97">
        <f t="shared" si="112"/>
        <v>34.657795002370207</v>
      </c>
    </row>
    <row r="98" spans="1:43">
      <c r="A98" s="43" t="str">
        <f>'[4]TS BYDem'!A79</f>
        <v/>
      </c>
      <c r="B98" t="s">
        <v>272</v>
      </c>
      <c r="C98" t="s">
        <v>125</v>
      </c>
      <c r="D98" s="3" t="s">
        <v>297</v>
      </c>
      <c r="E98" t="s">
        <v>125</v>
      </c>
      <c r="F98" t="s">
        <v>125</v>
      </c>
      <c r="G98" t="s">
        <v>125</v>
      </c>
      <c r="I98" t="s">
        <v>125</v>
      </c>
      <c r="J98">
        <v>0</v>
      </c>
      <c r="K98">
        <f>INDEX('[4]TS BYDem'!$J$10:$J$203,MATCH(D98,'[4]TS BYDem'!$D$10:$D$203,0))</f>
        <v>1.7807252222387775</v>
      </c>
      <c r="L98">
        <f t="shared" si="108"/>
        <v>1.8340276838066354</v>
      </c>
      <c r="M98">
        <f t="shared" si="113"/>
        <v>1.8719282025799371</v>
      </c>
      <c r="N98" s="165">
        <f t="shared" si="110"/>
        <v>2.5893760000000001</v>
      </c>
      <c r="O98" s="165">
        <f t="shared" si="111"/>
        <v>2.5893760000000001</v>
      </c>
      <c r="P98" s="292">
        <f>IFERROR(INDEX('BY-DMD'!$I$5:$I$138,MATCH(D98,'BY-DMD'!$H$5:$H$138,0)),"")</f>
        <v>2.5893760000000001</v>
      </c>
      <c r="Q98">
        <f t="shared" ref="Q98:AA98" si="119">Q$91/P$91*P98</f>
        <v>2.618698911607424</v>
      </c>
      <c r="R98">
        <f t="shared" si="119"/>
        <v>2.6131782399776315</v>
      </c>
      <c r="S98">
        <f t="shared" si="119"/>
        <v>2.5750659384433989</v>
      </c>
      <c r="T98">
        <f t="shared" si="119"/>
        <v>2.6115191255540684</v>
      </c>
      <c r="U98">
        <f t="shared" si="119"/>
        <v>2.644097887571121</v>
      </c>
      <c r="V98">
        <f t="shared" si="119"/>
        <v>2.6261359109415703</v>
      </c>
      <c r="W98">
        <f t="shared" si="119"/>
        <v>2.6301279070220955</v>
      </c>
      <c r="X98">
        <f t="shared" si="119"/>
        <v>2.6354208848274396</v>
      </c>
      <c r="Y98">
        <f t="shared" si="119"/>
        <v>2.6769633985971635</v>
      </c>
      <c r="Z98">
        <f t="shared" si="119"/>
        <v>2.723928131321526</v>
      </c>
      <c r="AA98">
        <f t="shared" si="119"/>
        <v>2.7753568914558975</v>
      </c>
      <c r="AB98">
        <f t="shared" si="112"/>
        <v>2.8401600953823607</v>
      </c>
      <c r="AC98">
        <f t="shared" si="112"/>
        <v>2.9190191583227003</v>
      </c>
      <c r="AD98">
        <f t="shared" si="112"/>
        <v>3.0123834164940191</v>
      </c>
      <c r="AE98">
        <f t="shared" si="112"/>
        <v>3.1099389019036869</v>
      </c>
      <c r="AF98">
        <f t="shared" si="112"/>
        <v>3.2160744937372856</v>
      </c>
      <c r="AG98">
        <f t="shared" si="112"/>
        <v>3.3350357496294332</v>
      </c>
      <c r="AH98">
        <f t="shared" si="112"/>
        <v>3.4642496163951177</v>
      </c>
      <c r="AI98">
        <f t="shared" si="112"/>
        <v>3.6009182711126946</v>
      </c>
      <c r="AJ98">
        <f t="shared" si="112"/>
        <v>3.7442107877583397</v>
      </c>
      <c r="AK98">
        <f t="shared" si="112"/>
        <v>3.8960464256093088</v>
      </c>
      <c r="AL98">
        <f t="shared" si="112"/>
        <v>4.0501573579095362</v>
      </c>
      <c r="AM98">
        <f t="shared" si="112"/>
        <v>4.2049082748834037</v>
      </c>
      <c r="AN98">
        <f t="shared" si="112"/>
        <v>5.0358218713062284</v>
      </c>
      <c r="AO98">
        <f t="shared" si="112"/>
        <v>6.0347858960242764</v>
      </c>
      <c r="AP98">
        <f t="shared" si="112"/>
        <v>7.0744049715757686</v>
      </c>
      <c r="AQ98">
        <f t="shared" si="112"/>
        <v>7.9217817148274801</v>
      </c>
    </row>
    <row r="99" spans="1:43">
      <c r="A99" s="43" t="str">
        <f>'[4]TS BYDem'!A80</f>
        <v/>
      </c>
      <c r="B99" t="s">
        <v>272</v>
      </c>
      <c r="C99" t="s">
        <v>125</v>
      </c>
      <c r="D99" s="3" t="s">
        <v>301</v>
      </c>
      <c r="E99" t="s">
        <v>125</v>
      </c>
      <c r="F99" t="s">
        <v>125</v>
      </c>
      <c r="G99" t="s">
        <v>125</v>
      </c>
      <c r="I99" t="s">
        <v>125</v>
      </c>
      <c r="J99">
        <v>0</v>
      </c>
      <c r="K99">
        <f>INDEX('[4]TS BYDem'!$J$10:$J$203,MATCH(D99,'[4]TS BYDem'!$D$10:$D$203,0))</f>
        <v>4.4518130555969435</v>
      </c>
      <c r="L99">
        <f t="shared" si="108"/>
        <v>4.5850692095165879</v>
      </c>
      <c r="M99">
        <f t="shared" si="113"/>
        <v>4.6798205064498424</v>
      </c>
      <c r="N99" s="165">
        <f t="shared" si="110"/>
        <v>6.4734400000000001</v>
      </c>
      <c r="O99" s="165">
        <f t="shared" si="111"/>
        <v>6.4734400000000001</v>
      </c>
      <c r="P99" s="292">
        <f>IFERROR(INDEX('BY-DMD'!$I$5:$I$138,MATCH(D99,'BY-DMD'!$H$5:$H$138,0)),"")</f>
        <v>6.4734400000000001</v>
      </c>
      <c r="Q99">
        <f t="shared" ref="Q99:AA99" si="120">Q$91/P$91*P99</f>
        <v>6.5467472790185592</v>
      </c>
      <c r="R99">
        <f t="shared" si="120"/>
        <v>6.5329455999440782</v>
      </c>
      <c r="S99">
        <f t="shared" si="120"/>
        <v>6.437664846108496</v>
      </c>
      <c r="T99">
        <f t="shared" si="120"/>
        <v>6.528797813885169</v>
      </c>
      <c r="U99">
        <f t="shared" si="120"/>
        <v>6.6102447189278006</v>
      </c>
      <c r="V99">
        <f t="shared" si="120"/>
        <v>6.5653397773539242</v>
      </c>
      <c r="W99">
        <f t="shared" si="120"/>
        <v>6.5753197675552375</v>
      </c>
      <c r="X99">
        <f t="shared" si="120"/>
        <v>6.5885522120685982</v>
      </c>
      <c r="Y99">
        <f t="shared" si="120"/>
        <v>6.6924084964929085</v>
      </c>
      <c r="Z99">
        <f t="shared" si="120"/>
        <v>6.8098203283038146</v>
      </c>
      <c r="AA99">
        <f t="shared" si="120"/>
        <v>6.9383922286397439</v>
      </c>
      <c r="AB99">
        <f t="shared" si="112"/>
        <v>7.1004002384559026</v>
      </c>
      <c r="AC99">
        <f t="shared" si="112"/>
        <v>7.2975478958067521</v>
      </c>
      <c r="AD99">
        <f t="shared" si="112"/>
        <v>7.5309585412350488</v>
      </c>
      <c r="AE99">
        <f t="shared" si="112"/>
        <v>7.7748472547592185</v>
      </c>
      <c r="AF99">
        <f t="shared" si="112"/>
        <v>8.0401862343432153</v>
      </c>
      <c r="AG99">
        <f t="shared" si="112"/>
        <v>8.337589374073584</v>
      </c>
      <c r="AH99">
        <f t="shared" si="112"/>
        <v>8.6606240409877948</v>
      </c>
      <c r="AI99">
        <f t="shared" si="112"/>
        <v>9.0022956777817367</v>
      </c>
      <c r="AJ99">
        <f t="shared" si="112"/>
        <v>9.3605269693958491</v>
      </c>
      <c r="AK99">
        <f t="shared" si="112"/>
        <v>9.7401160640232707</v>
      </c>
      <c r="AL99">
        <f t="shared" si="112"/>
        <v>10.125393394773841</v>
      </c>
      <c r="AM99">
        <f t="shared" si="112"/>
        <v>10.51227068720851</v>
      </c>
      <c r="AN99">
        <f t="shared" si="112"/>
        <v>12.589554678265571</v>
      </c>
      <c r="AO99">
        <f t="shared" si="112"/>
        <v>15.086964740060692</v>
      </c>
      <c r="AP99">
        <f t="shared" si="112"/>
        <v>17.686012428939424</v>
      </c>
      <c r="AQ99">
        <f t="shared" si="112"/>
        <v>19.804454287068705</v>
      </c>
    </row>
    <row r="100" spans="1:43">
      <c r="A100" s="43" t="str">
        <f>'[4]TS BYDem'!A81</f>
        <v/>
      </c>
      <c r="B100" t="s">
        <v>272</v>
      </c>
      <c r="C100" t="s">
        <v>125</v>
      </c>
      <c r="D100" s="3" t="s">
        <v>296</v>
      </c>
      <c r="E100" t="s">
        <v>125</v>
      </c>
      <c r="F100" t="s">
        <v>125</v>
      </c>
      <c r="G100" t="s">
        <v>125</v>
      </c>
      <c r="I100" t="s">
        <v>125</v>
      </c>
      <c r="J100">
        <v>0</v>
      </c>
      <c r="K100">
        <f>INDEX('[4]TS BYDem'!$J$10:$J$203,MATCH(D100,'[4]TS BYDem'!$D$10:$D$203,0))</f>
        <v>1.6916889611268384</v>
      </c>
      <c r="L100">
        <f t="shared" si="108"/>
        <v>1.7423262996163034</v>
      </c>
      <c r="M100">
        <f t="shared" si="113"/>
        <v>1.7783317924509401</v>
      </c>
      <c r="N100" s="165">
        <f t="shared" si="110"/>
        <v>2.4599072</v>
      </c>
      <c r="O100" s="165">
        <f t="shared" si="111"/>
        <v>2.4599072</v>
      </c>
      <c r="P100" s="292">
        <f>IFERROR(INDEX('BY-DMD'!$I$5:$I$138,MATCH(D100,'BY-DMD'!$H$5:$H$138,0)),"")</f>
        <v>2.4599072</v>
      </c>
      <c r="Q100">
        <f t="shared" ref="Q100:AA100" si="121">Q$91/P$91*P100</f>
        <v>2.4877639660270527</v>
      </c>
      <c r="R100">
        <f t="shared" si="121"/>
        <v>2.4825193279787499</v>
      </c>
      <c r="S100">
        <f t="shared" si="121"/>
        <v>2.4463126415212288</v>
      </c>
      <c r="T100">
        <f t="shared" si="121"/>
        <v>2.4809431692763648</v>
      </c>
      <c r="U100">
        <f t="shared" si="121"/>
        <v>2.5118929931925651</v>
      </c>
      <c r="V100">
        <f t="shared" si="121"/>
        <v>2.4948291153944919</v>
      </c>
      <c r="W100">
        <f t="shared" si="121"/>
        <v>2.4986215116709909</v>
      </c>
      <c r="X100">
        <f t="shared" si="121"/>
        <v>2.5036498405860681</v>
      </c>
      <c r="Y100">
        <f t="shared" si="121"/>
        <v>2.5431152286673058</v>
      </c>
      <c r="Z100">
        <f t="shared" si="121"/>
        <v>2.5877317247554501</v>
      </c>
      <c r="AA100">
        <f t="shared" si="121"/>
        <v>2.636589046883103</v>
      </c>
      <c r="AB100">
        <f t="shared" si="112"/>
        <v>2.6981520906132435</v>
      </c>
      <c r="AC100">
        <f t="shared" si="112"/>
        <v>2.7730682004065663</v>
      </c>
      <c r="AD100">
        <f t="shared" si="112"/>
        <v>2.8617642456693191</v>
      </c>
      <c r="AE100">
        <f t="shared" si="112"/>
        <v>2.9544419568085036</v>
      </c>
      <c r="AF100">
        <f t="shared" si="112"/>
        <v>3.0552707690504226</v>
      </c>
      <c r="AG100">
        <f t="shared" si="112"/>
        <v>3.1682839621479628</v>
      </c>
      <c r="AH100">
        <f t="shared" si="112"/>
        <v>3.2910371355753631</v>
      </c>
      <c r="AI100">
        <f t="shared" si="112"/>
        <v>3.420872357557061</v>
      </c>
      <c r="AJ100">
        <f t="shared" si="112"/>
        <v>3.5570002483704237</v>
      </c>
      <c r="AK100">
        <f t="shared" si="112"/>
        <v>3.7012441043288442</v>
      </c>
      <c r="AL100">
        <f t="shared" si="112"/>
        <v>3.8476494900140605</v>
      </c>
      <c r="AM100">
        <f t="shared" si="112"/>
        <v>3.994662861139235</v>
      </c>
      <c r="AN100">
        <f t="shared" si="112"/>
        <v>4.7840307777409183</v>
      </c>
      <c r="AO100">
        <f t="shared" si="112"/>
        <v>5.7330466012230641</v>
      </c>
      <c r="AP100">
        <f t="shared" si="112"/>
        <v>6.7206847229969817</v>
      </c>
      <c r="AQ100">
        <f t="shared" si="112"/>
        <v>7.5256926290861079</v>
      </c>
    </row>
    <row r="101" spans="1:43">
      <c r="A101" s="43" t="str">
        <f>'[4]TS BYDem'!A83</f>
        <v/>
      </c>
      <c r="B101" t="s">
        <v>272</v>
      </c>
      <c r="C101" t="s">
        <v>125</v>
      </c>
      <c r="D101" s="3" t="s">
        <v>303</v>
      </c>
      <c r="E101" t="s">
        <v>125</v>
      </c>
      <c r="F101" t="s">
        <v>125</v>
      </c>
      <c r="G101" t="s">
        <v>125</v>
      </c>
      <c r="I101" t="s">
        <v>125</v>
      </c>
      <c r="J101">
        <v>0</v>
      </c>
      <c r="K101">
        <f>INDEX('[4]TS BYDem'!$J$10:$J$203,MATCH(D101,'[4]TS BYDem'!$D$10:$D$203,0))</f>
        <v>27.288197120140854</v>
      </c>
      <c r="L101">
        <f t="shared" si="108"/>
        <v>28.105014931270503</v>
      </c>
      <c r="M101">
        <f t="shared" si="113"/>
        <v>28.68581022429229</v>
      </c>
      <c r="N101" s="165">
        <f t="shared" ref="N101" si="122">P101</f>
        <v>19.307168399999998</v>
      </c>
      <c r="O101" s="165">
        <f t="shared" ref="O101" si="123">P101</f>
        <v>19.307168399999998</v>
      </c>
      <c r="P101" s="292">
        <f>IFERROR(INDEX('BY-DMD'!$I$5:$I$138,MATCH(D101,'BY-DMD'!$H$5:$H$138,0)),"")</f>
        <v>19.307168399999998</v>
      </c>
      <c r="Q101">
        <f t="shared" ref="Q101:AA101" si="124">Q$91/P$91*P101</f>
        <v>19.525808872601445</v>
      </c>
      <c r="R101">
        <f t="shared" si="124"/>
        <v>19.484645079920309</v>
      </c>
      <c r="S101">
        <f t="shared" si="124"/>
        <v>19.200468265184632</v>
      </c>
      <c r="T101">
        <f t="shared" si="124"/>
        <v>19.472274222396873</v>
      </c>
      <c r="U101">
        <f t="shared" si="124"/>
        <v>19.715191297602157</v>
      </c>
      <c r="V101">
        <f t="shared" si="124"/>
        <v>19.581261382601941</v>
      </c>
      <c r="W101">
        <f t="shared" si="124"/>
        <v>19.611026909346162</v>
      </c>
      <c r="X101">
        <f t="shared" si="124"/>
        <v>19.650492948200792</v>
      </c>
      <c r="Y101">
        <f t="shared" si="124"/>
        <v>19.96024645990067</v>
      </c>
      <c r="Z101">
        <f t="shared" si="124"/>
        <v>20.310429671442854</v>
      </c>
      <c r="AA101">
        <f t="shared" si="124"/>
        <v>20.69389801768439</v>
      </c>
      <c r="AB101">
        <f t="shared" si="112"/>
        <v>21.177090250511053</v>
      </c>
      <c r="AC101">
        <f t="shared" si="112"/>
        <v>21.765087207328193</v>
      </c>
      <c r="AD101">
        <f t="shared" si="112"/>
        <v>22.461239274488285</v>
      </c>
      <c r="AE101">
        <f t="shared" si="112"/>
        <v>23.188642395992538</v>
      </c>
      <c r="AF101">
        <f t="shared" si="112"/>
        <v>23.980021378714614</v>
      </c>
      <c r="AG101">
        <f t="shared" si="112"/>
        <v>24.867032380819051</v>
      </c>
      <c r="AH101">
        <f t="shared" si="112"/>
        <v>25.830489941737294</v>
      </c>
      <c r="AI101">
        <f t="shared" si="112"/>
        <v>26.849532649954913</v>
      </c>
      <c r="AJ101">
        <f t="shared" si="112"/>
        <v>27.91796487043478</v>
      </c>
      <c r="AK101">
        <f t="shared" si="112"/>
        <v>29.050097179187958</v>
      </c>
      <c r="AL101">
        <f t="shared" si="112"/>
        <v>30.199194769573246</v>
      </c>
      <c r="AM101">
        <f t="shared" si="112"/>
        <v>31.353064278701655</v>
      </c>
      <c r="AN101">
        <f t="shared" si="112"/>
        <v>37.548606653383864</v>
      </c>
      <c r="AO101">
        <f t="shared" si="112"/>
        <v>44.997183704678505</v>
      </c>
      <c r="AP101">
        <f t="shared" si="112"/>
        <v>52.748897076365346</v>
      </c>
      <c r="AQ101">
        <f t="shared" si="112"/>
        <v>59.067193639013787</v>
      </c>
    </row>
    <row r="102" spans="1:43">
      <c r="A102" s="43" t="str">
        <f>'[4]TS BYDem'!A90</f>
        <v/>
      </c>
      <c r="B102" t="s">
        <v>272</v>
      </c>
      <c r="C102" t="s">
        <v>125</v>
      </c>
      <c r="D102" s="3" t="s">
        <v>304</v>
      </c>
      <c r="E102" t="s">
        <v>125</v>
      </c>
      <c r="F102" t="s">
        <v>125</v>
      </c>
      <c r="G102" t="s">
        <v>125</v>
      </c>
      <c r="I102" t="s">
        <v>125</v>
      </c>
      <c r="J102">
        <v>0</v>
      </c>
      <c r="K102">
        <f>INDEX('[4]TS BYDem'!$J$10:$J$203,MATCH(D102,'[4]TS BYDem'!$D$10:$D$203,0))</f>
        <v>26.6</v>
      </c>
      <c r="L102">
        <f t="shared" si="108"/>
        <v>27.396218001518768</v>
      </c>
      <c r="M102">
        <f t="shared" si="113"/>
        <v>27.962365875867597</v>
      </c>
      <c r="N102" s="165">
        <f t="shared" ref="N102" si="125">P102</f>
        <v>26.6</v>
      </c>
      <c r="O102" s="165">
        <f t="shared" ref="O102" si="126">P102</f>
        <v>26.6</v>
      </c>
      <c r="P102" s="292">
        <f>IFERROR(INDEX('BY-DMD'!$I$5:$I$138,MATCH(D102,'BY-DMD'!$H$5:$H$138,0)),"")</f>
        <v>26.6</v>
      </c>
      <c r="Q102">
        <f t="shared" ref="Q102:AA102" si="127">Q$91/P$91*P102</f>
        <v>26.901226800880782</v>
      </c>
      <c r="R102">
        <f t="shared" si="127"/>
        <v>26.844514347628536</v>
      </c>
      <c r="S102">
        <f t="shared" si="127"/>
        <v>26.452996383141883</v>
      </c>
      <c r="T102">
        <f t="shared" si="127"/>
        <v>26.827470687817527</v>
      </c>
      <c r="U102">
        <f t="shared" si="127"/>
        <v>27.162144010522923</v>
      </c>
      <c r="V102">
        <f t="shared" si="127"/>
        <v>26.977625200452064</v>
      </c>
      <c r="W102">
        <f t="shared" si="127"/>
        <v>27.018633959219418</v>
      </c>
      <c r="X102">
        <f t="shared" si="127"/>
        <v>27.073007371818498</v>
      </c>
      <c r="Y102">
        <f t="shared" si="127"/>
        <v>27.499763032747872</v>
      </c>
      <c r="Z102">
        <f t="shared" si="127"/>
        <v>27.982219767678618</v>
      </c>
      <c r="AA102">
        <f t="shared" si="127"/>
        <v>28.510534318973711</v>
      </c>
      <c r="AB102">
        <f t="shared" ref="AB102:AQ102" si="128">AB$91/AA$91*AA102</f>
        <v>29.176241124182351</v>
      </c>
      <c r="AC102">
        <f t="shared" si="128"/>
        <v>29.986340188286224</v>
      </c>
      <c r="AD102">
        <f t="shared" si="128"/>
        <v>30.945447427774454</v>
      </c>
      <c r="AE102">
        <f t="shared" si="128"/>
        <v>31.947610076959879</v>
      </c>
      <c r="AF102">
        <f t="shared" si="128"/>
        <v>33.037913973641444</v>
      </c>
      <c r="AG102">
        <f t="shared" si="128"/>
        <v>34.259972649836449</v>
      </c>
      <c r="AH102">
        <f t="shared" si="128"/>
        <v>35.587353785665009</v>
      </c>
      <c r="AI102">
        <f t="shared" si="128"/>
        <v>36.991316059003275</v>
      </c>
      <c r="AJ102">
        <f t="shared" si="128"/>
        <v>38.463323578488342</v>
      </c>
      <c r="AK102">
        <f t="shared" si="128"/>
        <v>40.02309240574084</v>
      </c>
      <c r="AL102">
        <f t="shared" si="128"/>
        <v>41.606234753235398</v>
      </c>
      <c r="AM102">
        <f t="shared" si="128"/>
        <v>43.195951500245059</v>
      </c>
      <c r="AN102">
        <f t="shared" si="128"/>
        <v>51.731715199625583</v>
      </c>
      <c r="AO102">
        <f t="shared" si="128"/>
        <v>61.993818137746615</v>
      </c>
      <c r="AP102">
        <f t="shared" si="128"/>
        <v>72.673560056135329</v>
      </c>
      <c r="AQ102">
        <f t="shared" si="128"/>
        <v>81.378445468873977</v>
      </c>
    </row>
    <row r="103" spans="1:43" s="2" customFormat="1">
      <c r="A103" s="43" t="str">
        <f>'[4]TS BYDem'!A89</f>
        <v>*</v>
      </c>
      <c r="C103" s="1" t="s">
        <v>763</v>
      </c>
      <c r="D103" s="1" t="s">
        <v>741</v>
      </c>
      <c r="K103" s="2">
        <f t="shared" ref="K103:AB103" si="129">SUMIF($B$10:$B$25,$D103,K$10:K$25)*SUMIF($B$10:$B$25,$D103,K$47:K$62)</f>
        <v>18.748363502594032</v>
      </c>
      <c r="L103" s="2">
        <f t="shared" si="129"/>
        <v>15.909210489014884</v>
      </c>
      <c r="M103" s="2">
        <f t="shared" si="129"/>
        <v>14.603991495393339</v>
      </c>
      <c r="N103" s="2">
        <f t="shared" si="129"/>
        <v>14.80978596739901</v>
      </c>
      <c r="O103" s="2">
        <f t="shared" si="129"/>
        <v>14.414883061658401</v>
      </c>
      <c r="P103" s="2">
        <f t="shared" si="129"/>
        <v>13.877221828490436</v>
      </c>
      <c r="Q103" s="2">
        <f t="shared" si="129"/>
        <v>13.621369241672575</v>
      </c>
      <c r="R103" s="2">
        <f t="shared" si="129"/>
        <v>13.08</v>
      </c>
      <c r="S103" s="2">
        <f t="shared" si="129"/>
        <v>12.33</v>
      </c>
      <c r="T103" s="2">
        <f t="shared" si="129"/>
        <v>13.07169547016418</v>
      </c>
      <c r="U103" s="2">
        <f t="shared" si="129"/>
        <v>13.234765176112253</v>
      </c>
      <c r="V103" s="2">
        <f t="shared" si="129"/>
        <v>13.14485831452882</v>
      </c>
      <c r="W103" s="2">
        <f t="shared" si="129"/>
        <v>13.164839848101407</v>
      </c>
      <c r="X103" s="2">
        <f t="shared" si="129"/>
        <v>13.191333314423284</v>
      </c>
      <c r="Y103" s="2">
        <f t="shared" si="129"/>
        <v>13.399270175290699</v>
      </c>
      <c r="Z103" s="2">
        <f t="shared" si="129"/>
        <v>13.634347406011829</v>
      </c>
      <c r="AA103" s="2">
        <f t="shared" si="129"/>
        <v>13.891768875495417</v>
      </c>
      <c r="AB103" s="2">
        <f t="shared" si="129"/>
        <v>14.216134773845086</v>
      </c>
      <c r="AC103" s="2">
        <f>SUMIF($B$10:$B$25,$D103,AC$10:AC$25)*SUMIF($B$10:$B$25,$D103,AC$46:AC$62)</f>
        <v>14.610855856195929</v>
      </c>
      <c r="AD103" s="2">
        <f t="shared" ref="AD103:AQ103" si="130">SUMIF($B$10:$B$25,$D103,AD$10:AD$25)*SUMIF($B$10:$B$25,$D103,AD$47:AD$62)</f>
        <v>15.078181229642825</v>
      </c>
      <c r="AE103" s="2">
        <f t="shared" si="130"/>
        <v>15.566485368119571</v>
      </c>
      <c r="AF103" s="2">
        <f t="shared" si="130"/>
        <v>16.097736363534011</v>
      </c>
      <c r="AG103" s="2">
        <f t="shared" si="130"/>
        <v>16.693184926232366</v>
      </c>
      <c r="AH103" s="2">
        <f t="shared" si="130"/>
        <v>17.339951898128483</v>
      </c>
      <c r="AI103" s="2">
        <f t="shared" si="130"/>
        <v>18.024033058899668</v>
      </c>
      <c r="AJ103" s="2">
        <f t="shared" si="130"/>
        <v>18.74126929217746</v>
      </c>
      <c r="AK103" s="2">
        <f t="shared" si="130"/>
        <v>19.501267256613158</v>
      </c>
      <c r="AL103" s="2">
        <f t="shared" si="130"/>
        <v>20.272653977828256</v>
      </c>
      <c r="AM103" s="2">
        <f t="shared" si="130"/>
        <v>21.047244077750229</v>
      </c>
      <c r="AN103" s="2">
        <f t="shared" si="130"/>
        <v>25.206298242116603</v>
      </c>
      <c r="AO103" s="2">
        <f t="shared" si="130"/>
        <v>30.206511868349747</v>
      </c>
      <c r="AP103" s="2">
        <f t="shared" si="130"/>
        <v>35.410220249271333</v>
      </c>
      <c r="AQ103" s="2">
        <f t="shared" si="130"/>
        <v>39.651679033891881</v>
      </c>
    </row>
    <row r="104" spans="1:43">
      <c r="A104" s="43" t="str">
        <f>'[4]TS BYDem'!A94</f>
        <v/>
      </c>
      <c r="B104" t="s">
        <v>272</v>
      </c>
      <c r="C104" t="s">
        <v>125</v>
      </c>
      <c r="D104" s="3" t="s">
        <v>331</v>
      </c>
      <c r="E104" t="s">
        <v>125</v>
      </c>
      <c r="F104" t="s">
        <v>125</v>
      </c>
      <c r="G104" t="s">
        <v>125</v>
      </c>
      <c r="I104" t="s">
        <v>125</v>
      </c>
      <c r="J104">
        <v>0</v>
      </c>
      <c r="K104">
        <f>INDEX('[4]TS BYDem'!$J$10:$J$203,MATCH(D104,'[4]TS BYDem'!$D$10:$D$203,0))</f>
        <v>0.66789588210349726</v>
      </c>
      <c r="L104">
        <f>L$103/K$103*K104</f>
        <v>0.56675326204661181</v>
      </c>
      <c r="M104">
        <f t="shared" ref="M104:AQ112" si="131">M$103/L$103*L104</f>
        <v>0.52025584956778481</v>
      </c>
      <c r="N104" s="165">
        <f t="shared" ref="N104:N112" si="132">P104</f>
        <v>0.100629421670275</v>
      </c>
      <c r="O104" s="165">
        <f t="shared" ref="O104:O112" si="133">P104</f>
        <v>0.100629421670275</v>
      </c>
      <c r="P104" s="292">
        <f>IFERROR(INDEX('BY-DMD'!$I$5:$I$138,MATCH(D104,'BY-DMD'!$H$5:$H$138,0)),"")</f>
        <v>0.100629421670275</v>
      </c>
      <c r="Q104">
        <f t="shared" si="131"/>
        <v>9.8774129727656701E-2</v>
      </c>
      <c r="R104">
        <f t="shared" si="131"/>
        <v>9.4848439530232462E-2</v>
      </c>
      <c r="S104">
        <f t="shared" si="131"/>
        <v>8.940988221771913E-2</v>
      </c>
      <c r="T104">
        <f t="shared" si="131"/>
        <v>9.4788219981611674E-2</v>
      </c>
      <c r="U104">
        <f t="shared" si="131"/>
        <v>9.5970705237256065E-2</v>
      </c>
      <c r="V104">
        <f t="shared" si="131"/>
        <v>9.5318753744576462E-2</v>
      </c>
      <c r="W104">
        <f t="shared" si="131"/>
        <v>9.5463648031945014E-2</v>
      </c>
      <c r="X104">
        <f t="shared" si="131"/>
        <v>9.5655763011943243E-2</v>
      </c>
      <c r="Y104">
        <f t="shared" si="131"/>
        <v>9.7163598392225298E-2</v>
      </c>
      <c r="Z104">
        <f t="shared" si="131"/>
        <v>9.8868239715083683E-2</v>
      </c>
      <c r="AA104">
        <f t="shared" si="131"/>
        <v>0.10073490826876089</v>
      </c>
      <c r="AB104">
        <f t="shared" si="131"/>
        <v>0.10308701830662695</v>
      </c>
      <c r="AC104">
        <f t="shared" si="131"/>
        <v>0.10594930261172342</v>
      </c>
      <c r="AD104">
        <f t="shared" si="131"/>
        <v>0.10933807038116694</v>
      </c>
      <c r="AE104">
        <f t="shared" si="131"/>
        <v>0.11287896377189124</v>
      </c>
      <c r="AF104">
        <f t="shared" si="131"/>
        <v>0.11673128241974616</v>
      </c>
      <c r="AG104">
        <f t="shared" si="131"/>
        <v>0.12104912393293107</v>
      </c>
      <c r="AH104">
        <f t="shared" si="131"/>
        <v>0.12573909625892804</v>
      </c>
      <c r="AI104">
        <f t="shared" si="131"/>
        <v>0.1306996490579477</v>
      </c>
      <c r="AJ104">
        <f t="shared" si="131"/>
        <v>0.13590062287300431</v>
      </c>
      <c r="AK104">
        <f t="shared" si="131"/>
        <v>0.14141167952230699</v>
      </c>
      <c r="AL104">
        <f t="shared" si="131"/>
        <v>0.14700532071356037</v>
      </c>
      <c r="AM104">
        <f t="shared" si="131"/>
        <v>0.15262219091640181</v>
      </c>
      <c r="AN104">
        <f t="shared" si="131"/>
        <v>0.18278119683474015</v>
      </c>
      <c r="AO104">
        <f t="shared" si="131"/>
        <v>0.21903979467617887</v>
      </c>
      <c r="AP104">
        <f t="shared" si="131"/>
        <v>0.25677401636584285</v>
      </c>
      <c r="AQ104">
        <f t="shared" si="131"/>
        <v>0.28753057195093878</v>
      </c>
    </row>
    <row r="105" spans="1:43">
      <c r="A105" s="43" t="str">
        <f>'[4]TS BYDem'!A95</f>
        <v/>
      </c>
      <c r="B105" t="s">
        <v>272</v>
      </c>
      <c r="C105" t="s">
        <v>125</v>
      </c>
      <c r="D105" s="3" t="s">
        <v>326</v>
      </c>
      <c r="E105" t="s">
        <v>125</v>
      </c>
      <c r="F105" t="s">
        <v>125</v>
      </c>
      <c r="G105" t="s">
        <v>125</v>
      </c>
      <c r="I105" t="s">
        <v>125</v>
      </c>
      <c r="J105">
        <v>0</v>
      </c>
      <c r="K105">
        <f>INDEX('[4]TS BYDem'!$J$10:$J$203,MATCH(D105,'[4]TS BYDem'!$D$10:$D$203,0))</f>
        <v>0</v>
      </c>
      <c r="L105">
        <f t="shared" ref="L105:M113" si="134">L$103/K$103*K105</f>
        <v>0</v>
      </c>
      <c r="M105">
        <f t="shared" si="131"/>
        <v>0</v>
      </c>
      <c r="N105" s="165">
        <f t="shared" si="132"/>
        <v>0</v>
      </c>
      <c r="O105" s="165">
        <f t="shared" si="133"/>
        <v>0</v>
      </c>
      <c r="P105" s="292">
        <f>IFERROR(INDEX('BY-DMD'!$I$5:$I$138,MATCH(D105,'BY-DMD'!$H$5:$H$138,0)),"")</f>
        <v>0</v>
      </c>
      <c r="Q105">
        <f t="shared" si="131"/>
        <v>0</v>
      </c>
      <c r="R105">
        <f t="shared" si="131"/>
        <v>0</v>
      </c>
      <c r="S105">
        <f t="shared" si="131"/>
        <v>0</v>
      </c>
      <c r="T105">
        <f t="shared" si="131"/>
        <v>0</v>
      </c>
      <c r="U105">
        <f t="shared" si="131"/>
        <v>0</v>
      </c>
      <c r="V105">
        <f t="shared" si="131"/>
        <v>0</v>
      </c>
      <c r="W105">
        <f t="shared" si="131"/>
        <v>0</v>
      </c>
      <c r="X105">
        <f t="shared" si="131"/>
        <v>0</v>
      </c>
      <c r="Y105">
        <f t="shared" si="131"/>
        <v>0</v>
      </c>
      <c r="Z105">
        <f t="shared" si="131"/>
        <v>0</v>
      </c>
      <c r="AA105">
        <f t="shared" si="131"/>
        <v>0</v>
      </c>
      <c r="AB105">
        <f t="shared" si="131"/>
        <v>0</v>
      </c>
      <c r="AC105">
        <f t="shared" si="131"/>
        <v>0</v>
      </c>
      <c r="AD105">
        <f t="shared" si="131"/>
        <v>0</v>
      </c>
      <c r="AE105">
        <f t="shared" si="131"/>
        <v>0</v>
      </c>
      <c r="AF105">
        <f t="shared" si="131"/>
        <v>0</v>
      </c>
      <c r="AG105">
        <f t="shared" si="131"/>
        <v>0</v>
      </c>
      <c r="AH105">
        <f t="shared" si="131"/>
        <v>0</v>
      </c>
      <c r="AI105">
        <f t="shared" si="131"/>
        <v>0</v>
      </c>
      <c r="AJ105">
        <f t="shared" si="131"/>
        <v>0</v>
      </c>
      <c r="AK105">
        <f t="shared" si="131"/>
        <v>0</v>
      </c>
      <c r="AL105">
        <f t="shared" si="131"/>
        <v>0</v>
      </c>
      <c r="AM105">
        <f t="shared" si="131"/>
        <v>0</v>
      </c>
      <c r="AN105">
        <f t="shared" si="131"/>
        <v>0</v>
      </c>
      <c r="AO105">
        <f t="shared" si="131"/>
        <v>0</v>
      </c>
      <c r="AP105">
        <f t="shared" si="131"/>
        <v>0</v>
      </c>
      <c r="AQ105">
        <f t="shared" si="131"/>
        <v>0</v>
      </c>
    </row>
    <row r="106" spans="1:43">
      <c r="A106" s="43" t="str">
        <f>'[4]TS BYDem'!A96</f>
        <v/>
      </c>
      <c r="B106" t="s">
        <v>272</v>
      </c>
      <c r="C106" t="s">
        <v>125</v>
      </c>
      <c r="D106" s="3" t="s">
        <v>332</v>
      </c>
      <c r="E106" t="s">
        <v>125</v>
      </c>
      <c r="F106" t="s">
        <v>125</v>
      </c>
      <c r="G106" t="s">
        <v>125</v>
      </c>
      <c r="I106" t="s">
        <v>125</v>
      </c>
      <c r="J106">
        <v>0</v>
      </c>
      <c r="K106">
        <f>INDEX('[4]TS BYDem'!$J$10:$J$203,MATCH(D106,'[4]TS BYDem'!$D$10:$D$203,0))</f>
        <v>0.20036876463104916</v>
      </c>
      <c r="L106">
        <f t="shared" si="134"/>
        <v>0.17002597861398352</v>
      </c>
      <c r="M106">
        <f t="shared" si="131"/>
        <v>0.15607675487033543</v>
      </c>
      <c r="N106" s="165">
        <f t="shared" si="132"/>
        <v>3.01888265010824E-2</v>
      </c>
      <c r="O106" s="165">
        <f t="shared" si="133"/>
        <v>3.01888265010824E-2</v>
      </c>
      <c r="P106" s="292">
        <f>IFERROR(INDEX('BY-DMD'!$I$5:$I$138,MATCH(D106,'BY-DMD'!$H$5:$H$138,0)),"")</f>
        <v>3.01888265010824E-2</v>
      </c>
      <c r="Q106">
        <f t="shared" si="131"/>
        <v>2.9632238918296912E-2</v>
      </c>
      <c r="R106">
        <f t="shared" si="131"/>
        <v>2.8454531859069643E-2</v>
      </c>
      <c r="S106">
        <f t="shared" si="131"/>
        <v>2.6822964665315648E-2</v>
      </c>
      <c r="T106">
        <f t="shared" si="131"/>
        <v>2.8436465994483406E-2</v>
      </c>
      <c r="U106">
        <f t="shared" si="131"/>
        <v>2.8791211571176725E-2</v>
      </c>
      <c r="V106">
        <f t="shared" si="131"/>
        <v>2.8595626123372842E-2</v>
      </c>
      <c r="W106">
        <f t="shared" si="131"/>
        <v>2.8639094409583409E-2</v>
      </c>
      <c r="X106">
        <f t="shared" si="131"/>
        <v>2.8696728903582876E-2</v>
      </c>
      <c r="Y106">
        <f t="shared" si="131"/>
        <v>2.914907951766749E-2</v>
      </c>
      <c r="Z106">
        <f t="shared" si="131"/>
        <v>2.9660471914525002E-2</v>
      </c>
      <c r="AA106">
        <f t="shared" si="131"/>
        <v>3.022047248062816E-2</v>
      </c>
      <c r="AB106">
        <f t="shared" si="131"/>
        <v>3.0926105491987977E-2</v>
      </c>
      <c r="AC106">
        <f t="shared" si="131"/>
        <v>3.1784790783516918E-2</v>
      </c>
      <c r="AD106">
        <f t="shared" si="131"/>
        <v>3.2801421114349971E-2</v>
      </c>
      <c r="AE106">
        <f t="shared" si="131"/>
        <v>3.3863689131567259E-2</v>
      </c>
      <c r="AF106">
        <f t="shared" si="131"/>
        <v>3.5019384725923731E-2</v>
      </c>
      <c r="AG106">
        <f t="shared" si="131"/>
        <v>3.6314737179879202E-2</v>
      </c>
      <c r="AH106">
        <f t="shared" si="131"/>
        <v>3.7721728877678287E-2</v>
      </c>
      <c r="AI106">
        <f t="shared" si="131"/>
        <v>3.9209894717384182E-2</v>
      </c>
      <c r="AJ106">
        <f t="shared" si="131"/>
        <v>4.0770186861901161E-2</v>
      </c>
      <c r="AK106">
        <f t="shared" si="131"/>
        <v>4.2423503856691962E-2</v>
      </c>
      <c r="AL106">
        <f t="shared" si="131"/>
        <v>4.4101596214067972E-2</v>
      </c>
      <c r="AM106">
        <f t="shared" si="131"/>
        <v>4.57866572749204E-2</v>
      </c>
      <c r="AN106">
        <f t="shared" si="131"/>
        <v>5.4834359050421874E-2</v>
      </c>
      <c r="AO106">
        <f t="shared" si="131"/>
        <v>6.5711938402853456E-2</v>
      </c>
      <c r="AP106">
        <f t="shared" si="131"/>
        <v>7.7032204909752613E-2</v>
      </c>
      <c r="AQ106">
        <f t="shared" si="131"/>
        <v>8.6259171585281375E-2</v>
      </c>
    </row>
    <row r="107" spans="1:43">
      <c r="A107" s="43" t="str">
        <f>'[4]TS BYDem'!A97</f>
        <v/>
      </c>
      <c r="B107" t="s">
        <v>272</v>
      </c>
      <c r="C107" t="s">
        <v>125</v>
      </c>
      <c r="D107" s="3" t="s">
        <v>327</v>
      </c>
      <c r="E107" t="s">
        <v>125</v>
      </c>
      <c r="F107" t="s">
        <v>125</v>
      </c>
      <c r="G107" t="s">
        <v>125</v>
      </c>
      <c r="I107" t="s">
        <v>125</v>
      </c>
      <c r="J107">
        <v>0</v>
      </c>
      <c r="K107">
        <f>INDEX('[4]TS BYDem'!$J$10:$J$203,MATCH(D107,'[4]TS BYDem'!$D$10:$D$203,0))</f>
        <v>0</v>
      </c>
      <c r="L107">
        <f t="shared" si="134"/>
        <v>0</v>
      </c>
      <c r="M107">
        <f t="shared" si="131"/>
        <v>0</v>
      </c>
      <c r="N107" s="165">
        <f t="shared" si="132"/>
        <v>0</v>
      </c>
      <c r="O107" s="165">
        <f t="shared" si="133"/>
        <v>0</v>
      </c>
      <c r="P107" s="292">
        <f>IFERROR(INDEX('BY-DMD'!$I$5:$I$138,MATCH(D107,'BY-DMD'!$H$5:$H$138,0)),"")</f>
        <v>0</v>
      </c>
      <c r="Q107">
        <f t="shared" si="131"/>
        <v>0</v>
      </c>
      <c r="R107">
        <f t="shared" si="131"/>
        <v>0</v>
      </c>
      <c r="S107">
        <f t="shared" si="131"/>
        <v>0</v>
      </c>
      <c r="T107">
        <f t="shared" si="131"/>
        <v>0</v>
      </c>
      <c r="U107">
        <f t="shared" si="131"/>
        <v>0</v>
      </c>
      <c r="V107">
        <f t="shared" si="131"/>
        <v>0</v>
      </c>
      <c r="W107">
        <f t="shared" si="131"/>
        <v>0</v>
      </c>
      <c r="X107">
        <f t="shared" si="131"/>
        <v>0</v>
      </c>
      <c r="Y107">
        <f t="shared" si="131"/>
        <v>0</v>
      </c>
      <c r="Z107">
        <f t="shared" si="131"/>
        <v>0</v>
      </c>
      <c r="AA107">
        <f t="shared" si="131"/>
        <v>0</v>
      </c>
      <c r="AB107">
        <f t="shared" si="131"/>
        <v>0</v>
      </c>
      <c r="AC107">
        <f t="shared" si="131"/>
        <v>0</v>
      </c>
      <c r="AD107">
        <f t="shared" si="131"/>
        <v>0</v>
      </c>
      <c r="AE107">
        <f t="shared" si="131"/>
        <v>0</v>
      </c>
      <c r="AF107">
        <f t="shared" si="131"/>
        <v>0</v>
      </c>
      <c r="AG107">
        <f t="shared" si="131"/>
        <v>0</v>
      </c>
      <c r="AH107">
        <f t="shared" si="131"/>
        <v>0</v>
      </c>
      <c r="AI107">
        <f t="shared" si="131"/>
        <v>0</v>
      </c>
      <c r="AJ107">
        <f t="shared" si="131"/>
        <v>0</v>
      </c>
      <c r="AK107">
        <f t="shared" si="131"/>
        <v>0</v>
      </c>
      <c r="AL107">
        <f t="shared" si="131"/>
        <v>0</v>
      </c>
      <c r="AM107">
        <f t="shared" si="131"/>
        <v>0</v>
      </c>
      <c r="AN107">
        <f t="shared" si="131"/>
        <v>0</v>
      </c>
      <c r="AO107">
        <f t="shared" si="131"/>
        <v>0</v>
      </c>
      <c r="AP107">
        <f t="shared" si="131"/>
        <v>0</v>
      </c>
      <c r="AQ107">
        <f t="shared" si="131"/>
        <v>0</v>
      </c>
    </row>
    <row r="108" spans="1:43">
      <c r="A108" s="43" t="str">
        <f>'[4]TS BYDem'!A98</f>
        <v/>
      </c>
      <c r="B108" t="s">
        <v>272</v>
      </c>
      <c r="C108" t="s">
        <v>125</v>
      </c>
      <c r="D108" s="3" t="s">
        <v>330</v>
      </c>
      <c r="E108" t="s">
        <v>125</v>
      </c>
      <c r="F108" t="s">
        <v>125</v>
      </c>
      <c r="G108" t="s">
        <v>125</v>
      </c>
      <c r="I108" t="s">
        <v>125</v>
      </c>
      <c r="J108">
        <v>0</v>
      </c>
      <c r="K108">
        <f>INDEX('[4]TS BYDem'!$J$10:$J$203,MATCH(D108,'[4]TS BYDem'!$D$10:$D$203,0))</f>
        <v>0.60110629389314751</v>
      </c>
      <c r="L108">
        <f t="shared" si="134"/>
        <v>0.5100779358419506</v>
      </c>
      <c r="M108">
        <f t="shared" si="131"/>
        <v>0.46823026461100631</v>
      </c>
      <c r="N108" s="165">
        <f t="shared" si="132"/>
        <v>9.0566479503247102E-2</v>
      </c>
      <c r="O108" s="165">
        <f t="shared" si="133"/>
        <v>9.0566479503247102E-2</v>
      </c>
      <c r="P108" s="292">
        <f>IFERROR(INDEX('BY-DMD'!$I$5:$I$138,MATCH(D108,'BY-DMD'!$H$5:$H$138,0)),"")</f>
        <v>9.0566479503247102E-2</v>
      </c>
      <c r="Q108">
        <f t="shared" si="131"/>
        <v>8.8896716754890637E-2</v>
      </c>
      <c r="R108">
        <f t="shared" si="131"/>
        <v>8.5363595577208837E-2</v>
      </c>
      <c r="S108">
        <f t="shared" si="131"/>
        <v>8.0468893995946852E-2</v>
      </c>
      <c r="T108">
        <f t="shared" si="131"/>
        <v>8.5309397983450122E-2</v>
      </c>
      <c r="U108">
        <f t="shared" si="131"/>
        <v>8.6373634713530073E-2</v>
      </c>
      <c r="V108">
        <f t="shared" si="131"/>
        <v>8.5786878370118433E-2</v>
      </c>
      <c r="W108">
        <f t="shared" si="131"/>
        <v>8.5917283228750127E-2</v>
      </c>
      <c r="X108">
        <f t="shared" si="131"/>
        <v>8.6090186710748529E-2</v>
      </c>
      <c r="Y108">
        <f t="shared" si="131"/>
        <v>8.7447238553002377E-2</v>
      </c>
      <c r="Z108">
        <f t="shared" si="131"/>
        <v>8.8981415743574918E-2</v>
      </c>
      <c r="AA108">
        <f t="shared" si="131"/>
        <v>9.0661417441884398E-2</v>
      </c>
      <c r="AB108">
        <f t="shared" si="131"/>
        <v>9.2778316475963837E-2</v>
      </c>
      <c r="AC108">
        <f t="shared" si="131"/>
        <v>9.5354372350550651E-2</v>
      </c>
      <c r="AD108">
        <f t="shared" si="131"/>
        <v>9.8404263343049803E-2</v>
      </c>
      <c r="AE108">
        <f t="shared" si="131"/>
        <v>0.10159106739470165</v>
      </c>
      <c r="AF108">
        <f t="shared" si="131"/>
        <v>0.10505815417777106</v>
      </c>
      <c r="AG108">
        <f t="shared" si="131"/>
        <v>0.10894421153963747</v>
      </c>
      <c r="AH108">
        <f t="shared" si="131"/>
        <v>0.11316518663303472</v>
      </c>
      <c r="AI108">
        <f t="shared" si="131"/>
        <v>0.1176296841521524</v>
      </c>
      <c r="AJ108">
        <f t="shared" si="131"/>
        <v>0.12231056058570333</v>
      </c>
      <c r="AK108">
        <f t="shared" si="131"/>
        <v>0.12727051157007574</v>
      </c>
      <c r="AL108">
        <f t="shared" si="131"/>
        <v>0.13230478864220377</v>
      </c>
      <c r="AM108">
        <f t="shared" si="131"/>
        <v>0.13735997182476103</v>
      </c>
      <c r="AN108">
        <f t="shared" si="131"/>
        <v>0.16450307715126541</v>
      </c>
      <c r="AO108">
        <f t="shared" si="131"/>
        <v>0.19713581520856013</v>
      </c>
      <c r="AP108">
        <f t="shared" si="131"/>
        <v>0.23109661472925758</v>
      </c>
      <c r="AQ108">
        <f t="shared" si="131"/>
        <v>0.25877751475584382</v>
      </c>
    </row>
    <row r="109" spans="1:43">
      <c r="A109" s="43" t="str">
        <f>'[4]TS BYDem'!A99</f>
        <v/>
      </c>
      <c r="B109" t="s">
        <v>272</v>
      </c>
      <c r="C109" t="s">
        <v>125</v>
      </c>
      <c r="D109" s="3" t="s">
        <v>334</v>
      </c>
      <c r="E109" t="s">
        <v>125</v>
      </c>
      <c r="F109" t="s">
        <v>125</v>
      </c>
      <c r="G109" t="s">
        <v>125</v>
      </c>
      <c r="I109" t="s">
        <v>125</v>
      </c>
      <c r="J109">
        <v>0</v>
      </c>
      <c r="K109">
        <f>INDEX('[4]TS BYDem'!$J$10:$J$203,MATCH(D109,'[4]TS BYDem'!$D$10:$D$203,0))</f>
        <v>0</v>
      </c>
      <c r="L109">
        <f t="shared" si="134"/>
        <v>0</v>
      </c>
      <c r="M109">
        <f t="shared" si="131"/>
        <v>0</v>
      </c>
      <c r="N109" s="165">
        <f t="shared" si="132"/>
        <v>0</v>
      </c>
      <c r="O109" s="165">
        <f t="shared" si="133"/>
        <v>0</v>
      </c>
      <c r="P109" s="292">
        <f>IFERROR(INDEX('BY-DMD'!$I$5:$I$138,MATCH(D109,'BY-DMD'!$H$5:$H$138,0)),"")</f>
        <v>0</v>
      </c>
      <c r="Q109">
        <f t="shared" si="131"/>
        <v>0</v>
      </c>
      <c r="R109">
        <f t="shared" si="131"/>
        <v>0</v>
      </c>
      <c r="S109">
        <f t="shared" si="131"/>
        <v>0</v>
      </c>
      <c r="T109">
        <f t="shared" si="131"/>
        <v>0</v>
      </c>
      <c r="U109">
        <f t="shared" si="131"/>
        <v>0</v>
      </c>
      <c r="V109">
        <f t="shared" si="131"/>
        <v>0</v>
      </c>
      <c r="W109">
        <f t="shared" si="131"/>
        <v>0</v>
      </c>
      <c r="X109">
        <f t="shared" si="131"/>
        <v>0</v>
      </c>
      <c r="Y109">
        <f t="shared" si="131"/>
        <v>0</v>
      </c>
      <c r="Z109">
        <f t="shared" si="131"/>
        <v>0</v>
      </c>
      <c r="AA109">
        <f t="shared" si="131"/>
        <v>0</v>
      </c>
      <c r="AB109">
        <f t="shared" si="131"/>
        <v>0</v>
      </c>
      <c r="AC109">
        <f t="shared" si="131"/>
        <v>0</v>
      </c>
      <c r="AD109">
        <f t="shared" si="131"/>
        <v>0</v>
      </c>
      <c r="AE109">
        <f t="shared" si="131"/>
        <v>0</v>
      </c>
      <c r="AF109">
        <f t="shared" si="131"/>
        <v>0</v>
      </c>
      <c r="AG109">
        <f t="shared" si="131"/>
        <v>0</v>
      </c>
      <c r="AH109">
        <f t="shared" si="131"/>
        <v>0</v>
      </c>
      <c r="AI109">
        <f t="shared" si="131"/>
        <v>0</v>
      </c>
      <c r="AJ109">
        <f t="shared" si="131"/>
        <v>0</v>
      </c>
      <c r="AK109">
        <f t="shared" si="131"/>
        <v>0</v>
      </c>
      <c r="AL109">
        <f t="shared" si="131"/>
        <v>0</v>
      </c>
      <c r="AM109">
        <f t="shared" si="131"/>
        <v>0</v>
      </c>
      <c r="AN109">
        <f t="shared" si="131"/>
        <v>0</v>
      </c>
      <c r="AO109">
        <f t="shared" si="131"/>
        <v>0</v>
      </c>
      <c r="AP109">
        <f t="shared" si="131"/>
        <v>0</v>
      </c>
      <c r="AQ109">
        <f t="shared" si="131"/>
        <v>0</v>
      </c>
    </row>
    <row r="110" spans="1:43">
      <c r="A110" s="43" t="str">
        <f>'[4]TS BYDem'!A100</f>
        <v/>
      </c>
      <c r="B110" t="s">
        <v>272</v>
      </c>
      <c r="C110" t="s">
        <v>125</v>
      </c>
      <c r="D110" s="3" t="s">
        <v>329</v>
      </c>
      <c r="E110" t="s">
        <v>125</v>
      </c>
      <c r="F110" t="s">
        <v>125</v>
      </c>
      <c r="G110" t="s">
        <v>125</v>
      </c>
      <c r="I110" t="s">
        <v>125</v>
      </c>
      <c r="J110">
        <v>0</v>
      </c>
      <c r="K110">
        <f>INDEX('[4]TS BYDem'!$J$10:$J$203,MATCH(D110,'[4]TS BYDem'!$D$10:$D$203,0))</f>
        <v>0</v>
      </c>
      <c r="L110">
        <f t="shared" si="134"/>
        <v>0</v>
      </c>
      <c r="M110">
        <f t="shared" si="131"/>
        <v>0</v>
      </c>
      <c r="N110" s="165">
        <f t="shared" si="132"/>
        <v>0</v>
      </c>
      <c r="O110" s="165">
        <f t="shared" si="133"/>
        <v>0</v>
      </c>
      <c r="P110" s="292">
        <f>IFERROR(INDEX('BY-DMD'!$I$5:$I$138,MATCH(D110,'BY-DMD'!$H$5:$H$138,0)),"")</f>
        <v>0</v>
      </c>
      <c r="Q110">
        <f t="shared" si="131"/>
        <v>0</v>
      </c>
      <c r="R110">
        <f t="shared" si="131"/>
        <v>0</v>
      </c>
      <c r="S110">
        <f t="shared" si="131"/>
        <v>0</v>
      </c>
      <c r="T110">
        <f t="shared" si="131"/>
        <v>0</v>
      </c>
      <c r="U110">
        <f t="shared" si="131"/>
        <v>0</v>
      </c>
      <c r="V110">
        <f t="shared" si="131"/>
        <v>0</v>
      </c>
      <c r="W110">
        <f t="shared" si="131"/>
        <v>0</v>
      </c>
      <c r="X110">
        <f t="shared" si="131"/>
        <v>0</v>
      </c>
      <c r="Y110">
        <f t="shared" si="131"/>
        <v>0</v>
      </c>
      <c r="Z110">
        <f t="shared" si="131"/>
        <v>0</v>
      </c>
      <c r="AA110">
        <f t="shared" si="131"/>
        <v>0</v>
      </c>
      <c r="AB110">
        <f t="shared" si="131"/>
        <v>0</v>
      </c>
      <c r="AC110">
        <f t="shared" si="131"/>
        <v>0</v>
      </c>
      <c r="AD110">
        <f t="shared" si="131"/>
        <v>0</v>
      </c>
      <c r="AE110">
        <f t="shared" si="131"/>
        <v>0</v>
      </c>
      <c r="AF110">
        <f t="shared" si="131"/>
        <v>0</v>
      </c>
      <c r="AG110">
        <f t="shared" si="131"/>
        <v>0</v>
      </c>
      <c r="AH110">
        <f t="shared" si="131"/>
        <v>0</v>
      </c>
      <c r="AI110">
        <f t="shared" si="131"/>
        <v>0</v>
      </c>
      <c r="AJ110">
        <f t="shared" si="131"/>
        <v>0</v>
      </c>
      <c r="AK110">
        <f t="shared" si="131"/>
        <v>0</v>
      </c>
      <c r="AL110">
        <f t="shared" si="131"/>
        <v>0</v>
      </c>
      <c r="AM110">
        <f t="shared" si="131"/>
        <v>0</v>
      </c>
      <c r="AN110">
        <f t="shared" si="131"/>
        <v>0</v>
      </c>
      <c r="AO110">
        <f t="shared" si="131"/>
        <v>0</v>
      </c>
      <c r="AP110">
        <f t="shared" si="131"/>
        <v>0</v>
      </c>
      <c r="AQ110">
        <f t="shared" si="131"/>
        <v>0</v>
      </c>
    </row>
    <row r="111" spans="1:43">
      <c r="A111" s="43" t="str">
        <f>'[4]TS BYDem'!A101</f>
        <v/>
      </c>
      <c r="B111" t="s">
        <v>272</v>
      </c>
      <c r="C111" t="s">
        <v>125</v>
      </c>
      <c r="D111" s="3" t="s">
        <v>333</v>
      </c>
      <c r="E111" t="s">
        <v>125</v>
      </c>
      <c r="F111" t="s">
        <v>125</v>
      </c>
      <c r="G111" t="s">
        <v>125</v>
      </c>
      <c r="I111" t="s">
        <v>125</v>
      </c>
      <c r="J111">
        <v>0</v>
      </c>
      <c r="K111">
        <f>INDEX('[4]TS BYDem'!$J$10:$J$203,MATCH(D111,'[4]TS BYDem'!$D$10:$D$203,0))</f>
        <v>3.7402169397795855</v>
      </c>
      <c r="L111">
        <f t="shared" si="134"/>
        <v>3.1738182674610265</v>
      </c>
      <c r="M111">
        <f t="shared" si="131"/>
        <v>2.9134327575795953</v>
      </c>
      <c r="N111" s="165">
        <f t="shared" si="132"/>
        <v>0.56352476135353802</v>
      </c>
      <c r="O111" s="165">
        <f t="shared" si="133"/>
        <v>0.56352476135353802</v>
      </c>
      <c r="P111" s="292">
        <f>IFERROR(INDEX('BY-DMD'!$I$5:$I$138,MATCH(D111,'BY-DMD'!$H$5:$H$138,0)),"")</f>
        <v>0.56352476135353802</v>
      </c>
      <c r="Q111">
        <f t="shared" si="131"/>
        <v>0.55313512647487562</v>
      </c>
      <c r="R111">
        <f t="shared" si="131"/>
        <v>0.53115126136929991</v>
      </c>
      <c r="S111">
        <f t="shared" si="131"/>
        <v>0.50069534041922537</v>
      </c>
      <c r="T111">
        <f t="shared" si="131"/>
        <v>0.53081403189702348</v>
      </c>
      <c r="U111">
        <f t="shared" si="131"/>
        <v>0.53743594932863203</v>
      </c>
      <c r="V111">
        <f t="shared" si="131"/>
        <v>0.53378502096962621</v>
      </c>
      <c r="W111">
        <f t="shared" si="131"/>
        <v>0.53459642897889015</v>
      </c>
      <c r="X111">
        <f t="shared" si="131"/>
        <v>0.53567227286688024</v>
      </c>
      <c r="Y111">
        <f t="shared" si="131"/>
        <v>0.54411615099645971</v>
      </c>
      <c r="Z111">
        <f t="shared" si="131"/>
        <v>0.55366214240446665</v>
      </c>
      <c r="AA111">
        <f t="shared" si="131"/>
        <v>0.56411548630505892</v>
      </c>
      <c r="AB111">
        <f t="shared" si="131"/>
        <v>0.5772873025171088</v>
      </c>
      <c r="AC111">
        <f t="shared" si="131"/>
        <v>0.59331609462564905</v>
      </c>
      <c r="AD111">
        <f t="shared" si="131"/>
        <v>0.61229319413453265</v>
      </c>
      <c r="AE111">
        <f t="shared" si="131"/>
        <v>0.63212219712258866</v>
      </c>
      <c r="AF111">
        <f t="shared" si="131"/>
        <v>0.65369518155057615</v>
      </c>
      <c r="AG111">
        <f t="shared" si="131"/>
        <v>0.6778750940244116</v>
      </c>
      <c r="AH111">
        <f t="shared" si="131"/>
        <v>0.70413893904999447</v>
      </c>
      <c r="AI111">
        <f t="shared" si="131"/>
        <v>0.73191803472450445</v>
      </c>
      <c r="AJ111">
        <f t="shared" si="131"/>
        <v>0.76104348808882138</v>
      </c>
      <c r="AK111">
        <f t="shared" si="131"/>
        <v>0.79190540532491638</v>
      </c>
      <c r="AL111">
        <f t="shared" si="131"/>
        <v>0.82322979599593527</v>
      </c>
      <c r="AM111">
        <f t="shared" si="131"/>
        <v>0.85468426913184725</v>
      </c>
      <c r="AN111">
        <f t="shared" si="131"/>
        <v>1.0235747022745414</v>
      </c>
      <c r="AO111">
        <f t="shared" si="131"/>
        <v>1.2266228501865977</v>
      </c>
      <c r="AP111">
        <f t="shared" si="131"/>
        <v>1.4379344916487153</v>
      </c>
      <c r="AQ111">
        <f t="shared" si="131"/>
        <v>1.6101712029252522</v>
      </c>
    </row>
    <row r="112" spans="1:43">
      <c r="A112" s="43" t="str">
        <f>'[4]TS BYDem'!A102</f>
        <v/>
      </c>
      <c r="B112" t="s">
        <v>272</v>
      </c>
      <c r="C112" t="s">
        <v>125</v>
      </c>
      <c r="D112" s="3" t="s">
        <v>328</v>
      </c>
      <c r="E112" t="s">
        <v>125</v>
      </c>
      <c r="F112" t="s">
        <v>125</v>
      </c>
      <c r="G112" t="s">
        <v>125</v>
      </c>
      <c r="I112" t="s">
        <v>125</v>
      </c>
      <c r="J112">
        <v>0</v>
      </c>
      <c r="K112">
        <f>INDEX('[4]TS BYDem'!$J$10:$J$203,MATCH(D112,'[4]TS BYDem'!$D$10:$D$203,0))</f>
        <v>45.684078335879221</v>
      </c>
      <c r="L112">
        <f t="shared" si="134"/>
        <v>38.765923123988252</v>
      </c>
      <c r="M112">
        <f t="shared" si="131"/>
        <v>35.585500110436485</v>
      </c>
      <c r="N112" s="165">
        <f t="shared" si="132"/>
        <v>6.8830524422467798</v>
      </c>
      <c r="O112" s="165">
        <f t="shared" si="133"/>
        <v>6.8830524422467798</v>
      </c>
      <c r="P112" s="292">
        <f>IFERROR(INDEX('BY-DMD'!$I$5:$I$138,MATCH(D112,'BY-DMD'!$H$5:$H$138,0)),"")</f>
        <v>6.8830524422467798</v>
      </c>
      <c r="Q112">
        <f t="shared" si="131"/>
        <v>6.7561504733716884</v>
      </c>
      <c r="R112">
        <f t="shared" si="131"/>
        <v>6.4876332638678713</v>
      </c>
      <c r="S112">
        <f t="shared" si="131"/>
        <v>6.1156359436919612</v>
      </c>
      <c r="T112">
        <f t="shared" si="131"/>
        <v>6.4835142467422093</v>
      </c>
      <c r="U112">
        <f t="shared" si="131"/>
        <v>6.5643962382282854</v>
      </c>
      <c r="V112">
        <f t="shared" si="131"/>
        <v>6.5198027561290006</v>
      </c>
      <c r="W112">
        <f t="shared" si="131"/>
        <v>6.5297135253850094</v>
      </c>
      <c r="X112">
        <f t="shared" si="131"/>
        <v>6.5428541900168886</v>
      </c>
      <c r="Y112">
        <f t="shared" si="131"/>
        <v>6.6459901300281805</v>
      </c>
      <c r="Z112">
        <f t="shared" si="131"/>
        <v>6.7625875965116933</v>
      </c>
      <c r="AA112">
        <f t="shared" si="131"/>
        <v>6.8902677255832137</v>
      </c>
      <c r="AB112">
        <f t="shared" si="131"/>
        <v>7.0511520521732516</v>
      </c>
      <c r="AC112">
        <f t="shared" si="131"/>
        <v>7.2469322986418501</v>
      </c>
      <c r="AD112">
        <f t="shared" si="131"/>
        <v>7.4787240140717861</v>
      </c>
      <c r="AE112">
        <f t="shared" si="131"/>
        <v>7.7209211219973275</v>
      </c>
      <c r="AF112">
        <f t="shared" si="131"/>
        <v>7.9844197175106029</v>
      </c>
      <c r="AG112">
        <f t="shared" si="131"/>
        <v>8.2797600770124493</v>
      </c>
      <c r="AH112">
        <f t="shared" si="131"/>
        <v>8.6005541841106403</v>
      </c>
      <c r="AI112">
        <f t="shared" si="131"/>
        <v>8.9398559955635832</v>
      </c>
      <c r="AJ112">
        <f t="shared" si="131"/>
        <v>9.2956026045134532</v>
      </c>
      <c r="AK112">
        <f t="shared" si="131"/>
        <v>9.6725588793257558</v>
      </c>
      <c r="AL112">
        <f t="shared" si="131"/>
        <v>10.055163936807485</v>
      </c>
      <c r="AM112">
        <f t="shared" si="131"/>
        <v>10.439357858681838</v>
      </c>
      <c r="AN112">
        <f t="shared" si="131"/>
        <v>12.502233863496171</v>
      </c>
      <c r="AO112">
        <f t="shared" si="131"/>
        <v>14.982321955850569</v>
      </c>
      <c r="AP112">
        <f t="shared" si="131"/>
        <v>17.563342719423574</v>
      </c>
      <c r="AQ112">
        <f t="shared" si="131"/>
        <v>19.667091121444127</v>
      </c>
    </row>
    <row r="113" spans="1:43">
      <c r="A113" s="43" t="str">
        <f>'[4]TS BYDem'!A104</f>
        <v/>
      </c>
      <c r="B113" t="s">
        <v>272</v>
      </c>
      <c r="C113" t="s">
        <v>125</v>
      </c>
      <c r="D113" s="3" t="s">
        <v>335</v>
      </c>
      <c r="E113" t="s">
        <v>125</v>
      </c>
      <c r="F113" t="s">
        <v>125</v>
      </c>
      <c r="G113" t="s">
        <v>125</v>
      </c>
      <c r="I113" t="s">
        <v>125</v>
      </c>
      <c r="J113">
        <v>0</v>
      </c>
      <c r="K113">
        <f>INDEX('[4]TS BYDem'!$J$10:$J$203,MATCH(D113,'[4]TS BYDem'!$D$10:$D$203,0))</f>
        <v>2.487856608</v>
      </c>
      <c r="L113">
        <f t="shared" si="134"/>
        <v>2.1111087609157093</v>
      </c>
      <c r="M113">
        <f t="shared" si="134"/>
        <v>1.9379097668958214</v>
      </c>
      <c r="N113" s="165">
        <f t="shared" ref="N113" si="135">P113</f>
        <v>1.9115200000000001</v>
      </c>
      <c r="O113" s="165">
        <f t="shared" ref="O113" si="136">P113</f>
        <v>1.9115200000000001</v>
      </c>
      <c r="P113" s="292">
        <f>IFERROR(INDEX('BY-DMD'!$I$5:$I$138,MATCH(D113,'BY-DMD'!$H$5:$H$138,0)),"")</f>
        <v>1.9115200000000001</v>
      </c>
      <c r="Q113">
        <f t="shared" ref="Q113:AE113" si="137">Q$103/P$103*P113</f>
        <v>1.8762775470941884</v>
      </c>
      <c r="R113">
        <f t="shared" si="137"/>
        <v>1.8017065597862387</v>
      </c>
      <c r="S113">
        <f t="shared" si="137"/>
        <v>1.6983976974131745</v>
      </c>
      <c r="T113">
        <f t="shared" si="137"/>
        <v>1.8005626510797295</v>
      </c>
      <c r="U113">
        <f t="shared" si="137"/>
        <v>1.8230247121584036</v>
      </c>
      <c r="V113">
        <f t="shared" si="137"/>
        <v>1.8106404780387808</v>
      </c>
      <c r="W113">
        <f t="shared" si="137"/>
        <v>1.8133928373745849</v>
      </c>
      <c r="X113">
        <f t="shared" si="137"/>
        <v>1.8170421838626278</v>
      </c>
      <c r="Y113">
        <f t="shared" si="137"/>
        <v>1.845684477918146</v>
      </c>
      <c r="Z113">
        <f t="shared" si="137"/>
        <v>1.8780652262856266</v>
      </c>
      <c r="AA113">
        <f t="shared" si="137"/>
        <v>1.9135237851692959</v>
      </c>
      <c r="AB113">
        <f t="shared" si="137"/>
        <v>1.9582036144374575</v>
      </c>
      <c r="AC113">
        <f t="shared" si="137"/>
        <v>2.0125745290672312</v>
      </c>
      <c r="AD113">
        <f t="shared" si="137"/>
        <v>2.076946332652386</v>
      </c>
      <c r="AE113">
        <f t="shared" si="137"/>
        <v>2.1442078593698417</v>
      </c>
      <c r="AF113">
        <f t="shared" ref="AF113:AQ113" si="138">AF$103/AE$103*AE113</f>
        <v>2.2173851073309399</v>
      </c>
      <c r="AG113">
        <f t="shared" si="138"/>
        <v>2.2994052588163307</v>
      </c>
      <c r="AH113">
        <f t="shared" si="138"/>
        <v>2.388494272265743</v>
      </c>
      <c r="AI113">
        <f t="shared" si="138"/>
        <v>2.4827231342525651</v>
      </c>
      <c r="AJ113">
        <f t="shared" si="138"/>
        <v>2.5815189466694588</v>
      </c>
      <c r="AK113">
        <f t="shared" si="138"/>
        <v>2.6862049801517207</v>
      </c>
      <c r="AL113">
        <f t="shared" si="138"/>
        <v>2.7924597596429468</v>
      </c>
      <c r="AM113">
        <f t="shared" si="138"/>
        <v>2.8991557890141166</v>
      </c>
      <c r="AN113">
        <f t="shared" si="138"/>
        <v>3.4720453280389765</v>
      </c>
      <c r="AO113">
        <f t="shared" si="138"/>
        <v>4.1608005031702291</v>
      </c>
      <c r="AP113">
        <f t="shared" si="138"/>
        <v>4.8775860937758138</v>
      </c>
      <c r="AQ113">
        <f t="shared" si="138"/>
        <v>5.4618264695643308</v>
      </c>
    </row>
    <row r="114" spans="1:43" s="2" customFormat="1">
      <c r="A114" s="43" t="str">
        <f>'[4]TS BYDem'!A127</f>
        <v>*</v>
      </c>
      <c r="B114" s="287"/>
      <c r="C114" s="1" t="s">
        <v>764</v>
      </c>
      <c r="D114" s="1" t="s">
        <v>742</v>
      </c>
      <c r="K114" s="2">
        <f t="shared" ref="K114:AB114" si="139">SUMIF($B$10:$B$25,$D114,K$10:K$25)*SUMIF($B$10:$B$25,$D114,K$47:K$62)</f>
        <v>138.08343097582718</v>
      </c>
      <c r="L114" s="2">
        <f t="shared" si="139"/>
        <v>143.16360238477418</v>
      </c>
      <c r="M114" s="2">
        <f t="shared" si="139"/>
        <v>146.98438355117329</v>
      </c>
      <c r="N114" s="2">
        <f t="shared" si="139"/>
        <v>148.78204922418408</v>
      </c>
      <c r="O114" s="2">
        <f t="shared" si="139"/>
        <v>151.86270236184362</v>
      </c>
      <c r="P114" s="2">
        <f t="shared" si="139"/>
        <v>153.55950890468549</v>
      </c>
      <c r="Q114" s="2">
        <f t="shared" si="139"/>
        <v>155.74281242834212</v>
      </c>
      <c r="R114" s="2">
        <f t="shared" si="139"/>
        <v>155.24</v>
      </c>
      <c r="S114" s="2">
        <f t="shared" si="139"/>
        <v>152.88999999999999</v>
      </c>
      <c r="T114" s="2">
        <f t="shared" si="139"/>
        <v>155.14143767494548</v>
      </c>
      <c r="U114" s="2">
        <f t="shared" si="139"/>
        <v>157.07683072933227</v>
      </c>
      <c r="V114" s="2">
        <f t="shared" si="139"/>
        <v>156.00977100515698</v>
      </c>
      <c r="W114" s="2">
        <f t="shared" si="139"/>
        <v>156.24692186691607</v>
      </c>
      <c r="X114" s="2">
        <f t="shared" si="139"/>
        <v>156.5613596124671</v>
      </c>
      <c r="Y114" s="2">
        <f t="shared" si="139"/>
        <v>159.02925856361827</v>
      </c>
      <c r="Z114" s="2">
        <f t="shared" si="139"/>
        <v>161.8192730358773</v>
      </c>
      <c r="AA114" s="2">
        <f t="shared" si="139"/>
        <v>164.87448014005409</v>
      </c>
      <c r="AB114" s="2">
        <f t="shared" si="139"/>
        <v>168.7242173005894</v>
      </c>
      <c r="AC114" s="2">
        <f>SUMIF($B$10:$B$25,$D114,AC$10:AC$25)*SUMIF($B$10:$B$25,$D114,AC$46:AC$62)</f>
        <v>173.40896507001949</v>
      </c>
      <c r="AD114" s="2">
        <f t="shared" ref="AD114:AQ114" si="140">SUMIF($B$10:$B$25,$D114,AD$10:AD$25)*SUMIF($B$10:$B$25,$D114,AD$47:AD$62)</f>
        <v>178.95541697933874</v>
      </c>
      <c r="AE114" s="2">
        <f t="shared" si="140"/>
        <v>184.75085539349243</v>
      </c>
      <c r="AF114" s="2">
        <f t="shared" si="140"/>
        <v>191.05600864487911</v>
      </c>
      <c r="AG114" s="2">
        <f t="shared" si="140"/>
        <v>198.12309082173635</v>
      </c>
      <c r="AH114" s="2">
        <f t="shared" si="140"/>
        <v>205.79924561662574</v>
      </c>
      <c r="AI114" s="2">
        <f t="shared" si="140"/>
        <v>213.91826391923422</v>
      </c>
      <c r="AJ114" s="2">
        <f t="shared" si="140"/>
        <v>222.4307832505832</v>
      </c>
      <c r="AK114" s="2">
        <f t="shared" si="140"/>
        <v>231.45082025356476</v>
      </c>
      <c r="AL114" s="2">
        <f t="shared" si="140"/>
        <v>240.60602473379652</v>
      </c>
      <c r="AM114" s="2">
        <f t="shared" si="140"/>
        <v>249.79924851910894</v>
      </c>
      <c r="AN114" s="2">
        <f t="shared" si="140"/>
        <v>299.16098922830128</v>
      </c>
      <c r="AO114" s="2">
        <f t="shared" si="140"/>
        <v>358.50603229683588</v>
      </c>
      <c r="AP114" s="2">
        <f t="shared" si="140"/>
        <v>420.26625317254434</v>
      </c>
      <c r="AQ114" s="2">
        <f t="shared" si="140"/>
        <v>470.60601324322431</v>
      </c>
    </row>
    <row r="115" spans="1:43">
      <c r="A115" s="43" t="str">
        <f>'[4]TS BYDem'!A132</f>
        <v/>
      </c>
      <c r="B115" t="s">
        <v>272</v>
      </c>
      <c r="C115" t="s">
        <v>125</v>
      </c>
      <c r="D115" s="3" t="s">
        <v>310</v>
      </c>
      <c r="E115" t="s">
        <v>125</v>
      </c>
      <c r="F115" t="s">
        <v>125</v>
      </c>
      <c r="G115" t="s">
        <v>125</v>
      </c>
      <c r="I115" t="s">
        <v>125</v>
      </c>
      <c r="J115">
        <v>0</v>
      </c>
      <c r="K115">
        <f>INDEX('[4]TS BYDem'!$J$10:$J$203,MATCH(D115,'[4]TS BYDem'!$D$10:$D$203,0))</f>
        <v>1.1176071642017353</v>
      </c>
      <c r="L115">
        <f t="shared" ref="L115:M124" si="141">L$114/K$114*K115</f>
        <v>1.1587245953220986</v>
      </c>
      <c r="M115">
        <f t="shared" si="141"/>
        <v>1.1896488877896161</v>
      </c>
      <c r="N115" s="165">
        <f t="shared" ref="N115:N123" si="142">P115</f>
        <v>1.04664</v>
      </c>
      <c r="O115" s="165">
        <f t="shared" ref="O115:O123" si="143">P115</f>
        <v>1.04664</v>
      </c>
      <c r="P115" s="292">
        <f>IFERROR(INDEX('BY-DMD'!$I$5:$I$138,MATCH(D115,'BY-DMD'!$H$5:$H$138,0)),"")</f>
        <v>1.04664</v>
      </c>
      <c r="Q115">
        <f t="shared" ref="Q115:AQ115" si="144">Q$114/P$114*P115</f>
        <v>1.0615210895287399</v>
      </c>
      <c r="R115">
        <f t="shared" si="144"/>
        <v>1.0580939907853684</v>
      </c>
      <c r="S115">
        <f t="shared" si="144"/>
        <v>1.0420767215355253</v>
      </c>
      <c r="T115">
        <f t="shared" si="144"/>
        <v>1.0574222038499261</v>
      </c>
      <c r="U115">
        <f t="shared" si="144"/>
        <v>1.0706135705122195</v>
      </c>
      <c r="V115">
        <f t="shared" si="144"/>
        <v>1.0633406416152924</v>
      </c>
      <c r="W115">
        <f t="shared" si="144"/>
        <v>1.0649570285113044</v>
      </c>
      <c r="X115">
        <f t="shared" si="144"/>
        <v>1.0671001919295189</v>
      </c>
      <c r="Y115">
        <f t="shared" si="144"/>
        <v>1.0839210438367501</v>
      </c>
      <c r="Z115">
        <f t="shared" si="144"/>
        <v>1.1029373897997847</v>
      </c>
      <c r="AA115">
        <f t="shared" si="144"/>
        <v>1.1237612514175006</v>
      </c>
      <c r="AB115">
        <f t="shared" si="144"/>
        <v>1.1500005180734241</v>
      </c>
      <c r="AC115">
        <f t="shared" si="144"/>
        <v>1.1819310995162167</v>
      </c>
      <c r="AD115">
        <f t="shared" si="144"/>
        <v>1.2197349350961619</v>
      </c>
      <c r="AE115">
        <f t="shared" si="144"/>
        <v>1.2592358276495161</v>
      </c>
      <c r="AF115">
        <f t="shared" si="144"/>
        <v>1.3022108647937642</v>
      </c>
      <c r="AG115">
        <f t="shared" si="144"/>
        <v>1.3503791022565252</v>
      </c>
      <c r="AH115">
        <f t="shared" si="144"/>
        <v>1.4026986929600214</v>
      </c>
      <c r="AI115">
        <f t="shared" si="144"/>
        <v>1.4580367790014184</v>
      </c>
      <c r="AJ115">
        <f t="shared" si="144"/>
        <v>1.5160569126715076</v>
      </c>
      <c r="AK115">
        <f t="shared" si="144"/>
        <v>1.5775362153609975</v>
      </c>
      <c r="AL115">
        <f t="shared" si="144"/>
        <v>1.6399368005513126</v>
      </c>
      <c r="AM115">
        <f t="shared" si="144"/>
        <v>1.70259651997404</v>
      </c>
      <c r="AN115">
        <f t="shared" si="144"/>
        <v>2.0390391972421531</v>
      </c>
      <c r="AO115">
        <f t="shared" si="144"/>
        <v>2.4435266582941715</v>
      </c>
      <c r="AP115">
        <f t="shared" si="144"/>
        <v>2.8644756313562958</v>
      </c>
      <c r="AQ115">
        <f t="shared" si="144"/>
        <v>3.2075843509412207</v>
      </c>
    </row>
    <row r="116" spans="1:43">
      <c r="A116" s="43" t="str">
        <f>'[4]TS BYDem'!A133</f>
        <v/>
      </c>
      <c r="B116" t="s">
        <v>272</v>
      </c>
      <c r="C116" t="s">
        <v>125</v>
      </c>
      <c r="D116" s="3" t="s">
        <v>305</v>
      </c>
      <c r="E116" t="s">
        <v>125</v>
      </c>
      <c r="F116" t="s">
        <v>125</v>
      </c>
      <c r="G116" t="s">
        <v>125</v>
      </c>
      <c r="I116" t="s">
        <v>125</v>
      </c>
      <c r="J116">
        <v>0</v>
      </c>
      <c r="K116">
        <f>INDEX('[4]TS BYDem'!$J$10:$J$203,MATCH(D116,'[4]TS BYDem'!$D$10:$D$203,0))</f>
        <v>3.1931633262906718E-2</v>
      </c>
      <c r="L116">
        <f t="shared" si="141"/>
        <v>3.3106417009202811E-2</v>
      </c>
      <c r="M116">
        <f t="shared" si="141"/>
        <v>3.3989968222560452E-2</v>
      </c>
      <c r="N116" s="165">
        <f t="shared" si="142"/>
        <v>2.9904E-2</v>
      </c>
      <c r="O116" s="165">
        <f t="shared" si="143"/>
        <v>2.9904E-2</v>
      </c>
      <c r="P116" s="292">
        <f>IFERROR(INDEX('BY-DMD'!$I$5:$I$138,MATCH(D116,'BY-DMD'!$H$5:$H$138,0)),"")</f>
        <v>2.9904E-2</v>
      </c>
      <c r="Q116">
        <f t="shared" ref="Q116:AQ116" si="145">Q$114/P$114*P116</f>
        <v>3.0329173986535427E-2</v>
      </c>
      <c r="R116">
        <f t="shared" si="145"/>
        <v>3.0231256879581957E-2</v>
      </c>
      <c r="S116">
        <f t="shared" si="145"/>
        <v>2.9773620615300724E-2</v>
      </c>
      <c r="T116">
        <f t="shared" si="145"/>
        <v>3.0212062967140751E-2</v>
      </c>
      <c r="U116">
        <f t="shared" si="145"/>
        <v>3.0588959157491991E-2</v>
      </c>
      <c r="V116">
        <f t="shared" si="145"/>
        <v>3.0381161189008358E-2</v>
      </c>
      <c r="W116">
        <f t="shared" si="145"/>
        <v>3.0427343671751553E-2</v>
      </c>
      <c r="X116">
        <f t="shared" si="145"/>
        <v>3.048857691227197E-2</v>
      </c>
      <c r="Y116">
        <f t="shared" si="145"/>
        <v>3.0969172681050004E-2</v>
      </c>
      <c r="Z116">
        <f t="shared" si="145"/>
        <v>3.1512496851422427E-2</v>
      </c>
      <c r="AA116">
        <f t="shared" si="145"/>
        <v>3.2107464326214308E-2</v>
      </c>
      <c r="AB116">
        <f t="shared" si="145"/>
        <v>3.2857157659240695E-2</v>
      </c>
      <c r="AC116">
        <f t="shared" si="145"/>
        <v>3.3769459986177627E-2</v>
      </c>
      <c r="AD116">
        <f t="shared" si="145"/>
        <v>3.4849569574176065E-2</v>
      </c>
      <c r="AE116">
        <f t="shared" si="145"/>
        <v>3.5978166504271901E-2</v>
      </c>
      <c r="AF116">
        <f t="shared" si="145"/>
        <v>3.7206024708393272E-2</v>
      </c>
      <c r="AG116">
        <f t="shared" si="145"/>
        <v>3.8582260064472157E-2</v>
      </c>
      <c r="AH116">
        <f t="shared" si="145"/>
        <v>4.0077105513143474E-2</v>
      </c>
      <c r="AI116">
        <f t="shared" si="145"/>
        <v>4.1658193685754817E-2</v>
      </c>
      <c r="AJ116">
        <f t="shared" si="145"/>
        <v>4.3315911790614503E-2</v>
      </c>
      <c r="AK116">
        <f t="shared" si="145"/>
        <v>4.5072463296028507E-2</v>
      </c>
      <c r="AL116">
        <f t="shared" si="145"/>
        <v>4.6855337158608942E-2</v>
      </c>
      <c r="AM116">
        <f t="shared" si="145"/>
        <v>4.8645614856401155E-2</v>
      </c>
      <c r="AN116">
        <f t="shared" si="145"/>
        <v>5.8258262778347246E-2</v>
      </c>
      <c r="AO116">
        <f t="shared" si="145"/>
        <v>6.9815047379833489E-2</v>
      </c>
      <c r="AP116">
        <f t="shared" si="145"/>
        <v>8.1842160895894189E-2</v>
      </c>
      <c r="AQ116">
        <f t="shared" si="145"/>
        <v>9.1645267169749189E-2</v>
      </c>
    </row>
    <row r="117" spans="1:43">
      <c r="A117" s="43" t="str">
        <f>'[4]TS BYDem'!A134</f>
        <v/>
      </c>
      <c r="B117" t="s">
        <v>272</v>
      </c>
      <c r="C117" t="s">
        <v>125</v>
      </c>
      <c r="D117" s="3" t="s">
        <v>311</v>
      </c>
      <c r="E117" t="s">
        <v>125</v>
      </c>
      <c r="F117" t="s">
        <v>125</v>
      </c>
      <c r="G117" t="s">
        <v>125</v>
      </c>
      <c r="I117" t="s">
        <v>125</v>
      </c>
      <c r="J117">
        <v>0</v>
      </c>
      <c r="K117">
        <f>INDEX('[4]TS BYDem'!$J$10:$J$203,MATCH(D117,'[4]TS BYDem'!$D$10:$D$203,0))</f>
        <v>0.23948724947180039</v>
      </c>
      <c r="L117">
        <f t="shared" si="141"/>
        <v>0.24829812756902106</v>
      </c>
      <c r="M117">
        <f t="shared" si="141"/>
        <v>0.25492476166920336</v>
      </c>
      <c r="N117" s="165">
        <f t="shared" si="142"/>
        <v>0.22428000000000001</v>
      </c>
      <c r="O117" s="165">
        <f t="shared" si="143"/>
        <v>0.22428000000000001</v>
      </c>
      <c r="P117" s="292">
        <f>IFERROR(INDEX('BY-DMD'!$I$5:$I$138,MATCH(D117,'BY-DMD'!$H$5:$H$138,0)),"")</f>
        <v>0.22428000000000001</v>
      </c>
      <c r="Q117">
        <f t="shared" ref="Q117:AQ117" si="146">Q$114/P$114*P117</f>
        <v>0.22746880489901572</v>
      </c>
      <c r="R117">
        <f t="shared" si="146"/>
        <v>0.22673442659686469</v>
      </c>
      <c r="S117">
        <f t="shared" si="146"/>
        <v>0.22330215461475544</v>
      </c>
      <c r="T117">
        <f t="shared" si="146"/>
        <v>0.22659047225355564</v>
      </c>
      <c r="U117">
        <f t="shared" si="146"/>
        <v>0.22941719368118993</v>
      </c>
      <c r="V117">
        <f t="shared" si="146"/>
        <v>0.22785870891756269</v>
      </c>
      <c r="W117">
        <f t="shared" si="146"/>
        <v>0.22820507753813665</v>
      </c>
      <c r="X117">
        <f t="shared" si="146"/>
        <v>0.22866432684203977</v>
      </c>
      <c r="Y117">
        <f t="shared" si="146"/>
        <v>0.23226879510787501</v>
      </c>
      <c r="Z117">
        <f t="shared" si="146"/>
        <v>0.23634372638566817</v>
      </c>
      <c r="AA117">
        <f t="shared" si="146"/>
        <v>0.24080598244660731</v>
      </c>
      <c r="AB117">
        <f t="shared" si="146"/>
        <v>0.24642868244430519</v>
      </c>
      <c r="AC117">
        <f t="shared" si="146"/>
        <v>0.2532709498963322</v>
      </c>
      <c r="AD117">
        <f t="shared" si="146"/>
        <v>0.26137177180632049</v>
      </c>
      <c r="AE117">
        <f t="shared" si="146"/>
        <v>0.26983624878203927</v>
      </c>
      <c r="AF117">
        <f t="shared" si="146"/>
        <v>0.27904518531294958</v>
      </c>
      <c r="AG117">
        <f t="shared" si="146"/>
        <v>0.28936695048354122</v>
      </c>
      <c r="AH117">
        <f t="shared" si="146"/>
        <v>0.30057829134857611</v>
      </c>
      <c r="AI117">
        <f t="shared" si="146"/>
        <v>0.31243645264316117</v>
      </c>
      <c r="AJ117">
        <f t="shared" si="146"/>
        <v>0.32486933842960886</v>
      </c>
      <c r="AK117">
        <f t="shared" si="146"/>
        <v>0.3380434747202139</v>
      </c>
      <c r="AL117">
        <f t="shared" si="146"/>
        <v>0.35141502868956714</v>
      </c>
      <c r="AM117">
        <f t="shared" si="146"/>
        <v>0.36484211142300871</v>
      </c>
      <c r="AN117">
        <f t="shared" si="146"/>
        <v>0.43693697083760441</v>
      </c>
      <c r="AO117">
        <f t="shared" si="146"/>
        <v>0.52361285534875124</v>
      </c>
      <c r="AP117">
        <f t="shared" si="146"/>
        <v>0.61381620671920645</v>
      </c>
      <c r="AQ117">
        <f t="shared" si="146"/>
        <v>0.68733950377311892</v>
      </c>
    </row>
    <row r="118" spans="1:43">
      <c r="A118" s="43" t="str">
        <f>'[4]TS BYDem'!A135</f>
        <v/>
      </c>
      <c r="B118" t="s">
        <v>272</v>
      </c>
      <c r="C118" t="s">
        <v>125</v>
      </c>
      <c r="D118" s="3" t="s">
        <v>306</v>
      </c>
      <c r="E118" t="s">
        <v>125</v>
      </c>
      <c r="F118" t="s">
        <v>125</v>
      </c>
      <c r="G118" t="s">
        <v>125</v>
      </c>
      <c r="I118" t="s">
        <v>125</v>
      </c>
      <c r="J118">
        <v>0</v>
      </c>
      <c r="K118">
        <f>INDEX('[4]TS BYDem'!$J$10:$J$203,MATCH(D118,'[4]TS BYDem'!$D$10:$D$203,0))</f>
        <v>7.3442756504685454</v>
      </c>
      <c r="L118">
        <f t="shared" si="141"/>
        <v>7.6144759121166459</v>
      </c>
      <c r="M118">
        <f t="shared" si="141"/>
        <v>7.8176926911889026</v>
      </c>
      <c r="N118" s="165">
        <f t="shared" si="142"/>
        <v>6.8779199999999996</v>
      </c>
      <c r="O118" s="165">
        <f t="shared" si="143"/>
        <v>6.8779199999999996</v>
      </c>
      <c r="P118" s="292">
        <f>IFERROR(INDEX('BY-DMD'!$I$5:$I$138,MATCH(D118,'BY-DMD'!$H$5:$H$138,0)),"")</f>
        <v>6.8779199999999996</v>
      </c>
      <c r="Q118">
        <f t="shared" ref="Q118:AQ118" si="147">Q$114/P$114*P118</f>
        <v>6.9757100169031485</v>
      </c>
      <c r="R118">
        <f t="shared" si="147"/>
        <v>6.95318908230385</v>
      </c>
      <c r="S118">
        <f t="shared" si="147"/>
        <v>6.8479327415191671</v>
      </c>
      <c r="T118">
        <f t="shared" si="147"/>
        <v>6.9487744824423734</v>
      </c>
      <c r="U118">
        <f t="shared" si="147"/>
        <v>7.0354606062231584</v>
      </c>
      <c r="V118">
        <f t="shared" si="147"/>
        <v>6.9876670734719228</v>
      </c>
      <c r="W118">
        <f t="shared" si="147"/>
        <v>6.998289044502858</v>
      </c>
      <c r="X118">
        <f t="shared" si="147"/>
        <v>7.0123726898225538</v>
      </c>
      <c r="Y118">
        <f t="shared" si="147"/>
        <v>7.1229097166415016</v>
      </c>
      <c r="Z118">
        <f t="shared" si="147"/>
        <v>7.2478742758271579</v>
      </c>
      <c r="AA118">
        <f t="shared" si="147"/>
        <v>7.3847167950292913</v>
      </c>
      <c r="AB118">
        <f t="shared" si="147"/>
        <v>7.55714626162536</v>
      </c>
      <c r="AC118">
        <f t="shared" si="147"/>
        <v>7.7669757968208541</v>
      </c>
      <c r="AD118">
        <f t="shared" si="147"/>
        <v>8.0154010020604947</v>
      </c>
      <c r="AE118">
        <f t="shared" si="147"/>
        <v>8.2749782959825371</v>
      </c>
      <c r="AF118">
        <f t="shared" si="147"/>
        <v>8.5573856829304535</v>
      </c>
      <c r="AG118">
        <f t="shared" si="147"/>
        <v>8.8739198148285965</v>
      </c>
      <c r="AH118">
        <f t="shared" si="147"/>
        <v>9.2177342680229994</v>
      </c>
      <c r="AI118">
        <f t="shared" si="147"/>
        <v>9.5813845477236086</v>
      </c>
      <c r="AJ118">
        <f t="shared" si="147"/>
        <v>9.9626597118413365</v>
      </c>
      <c r="AK118">
        <f t="shared" si="147"/>
        <v>10.366666558086557</v>
      </c>
      <c r="AL118">
        <f t="shared" si="147"/>
        <v>10.776727546480057</v>
      </c>
      <c r="AM118">
        <f t="shared" si="147"/>
        <v>11.188491416972266</v>
      </c>
      <c r="AN118">
        <f t="shared" si="147"/>
        <v>13.399400439019866</v>
      </c>
      <c r="AO118">
        <f t="shared" si="147"/>
        <v>16.057460897361704</v>
      </c>
      <c r="AP118">
        <f t="shared" si="147"/>
        <v>18.823697006055664</v>
      </c>
      <c r="AQ118">
        <f t="shared" si="147"/>
        <v>21.078411449042314</v>
      </c>
    </row>
    <row r="119" spans="1:43">
      <c r="A119" s="43" t="str">
        <f>'[4]TS BYDem'!A136</f>
        <v/>
      </c>
      <c r="B119" t="s">
        <v>272</v>
      </c>
      <c r="C119" t="s">
        <v>125</v>
      </c>
      <c r="D119" s="3" t="s">
        <v>309</v>
      </c>
      <c r="E119" t="s">
        <v>125</v>
      </c>
      <c r="F119" t="s">
        <v>125</v>
      </c>
      <c r="G119" t="s">
        <v>125</v>
      </c>
      <c r="I119" t="s">
        <v>125</v>
      </c>
      <c r="J119">
        <v>0</v>
      </c>
      <c r="K119">
        <f>INDEX('[4]TS BYDem'!$J$10:$J$203,MATCH(D119,'[4]TS BYDem'!$D$10:$D$203,0))</f>
        <v>0.86215409809848131</v>
      </c>
      <c r="L119">
        <f t="shared" si="141"/>
        <v>0.89387325924847572</v>
      </c>
      <c r="M119">
        <f t="shared" si="141"/>
        <v>0.91772914200913203</v>
      </c>
      <c r="N119" s="165">
        <f t="shared" si="142"/>
        <v>0.80740800000000001</v>
      </c>
      <c r="O119" s="165">
        <f t="shared" si="143"/>
        <v>0.80740800000000001</v>
      </c>
      <c r="P119" s="292">
        <f>IFERROR(INDEX('BY-DMD'!$I$5:$I$138,MATCH(D119,'BY-DMD'!$H$5:$H$138,0)),"")</f>
        <v>0.80740800000000001</v>
      </c>
      <c r="Q119">
        <f t="shared" ref="Q119:AQ119" si="148">Q$114/P$114*P119</f>
        <v>0.81888769763645664</v>
      </c>
      <c r="R119">
        <f t="shared" si="148"/>
        <v>0.8162439357487129</v>
      </c>
      <c r="S119">
        <f t="shared" si="148"/>
        <v>0.80388775661311962</v>
      </c>
      <c r="T119">
        <f t="shared" si="148"/>
        <v>0.81572570011280032</v>
      </c>
      <c r="U119">
        <f t="shared" si="148"/>
        <v>0.8259018972522838</v>
      </c>
      <c r="V119">
        <f t="shared" si="148"/>
        <v>0.82029135210322568</v>
      </c>
      <c r="W119">
        <f t="shared" si="148"/>
        <v>0.82153827913729194</v>
      </c>
      <c r="X119">
        <f t="shared" si="148"/>
        <v>0.82319157663134324</v>
      </c>
      <c r="Y119">
        <f t="shared" si="148"/>
        <v>0.83616766238835016</v>
      </c>
      <c r="Z119">
        <f t="shared" si="148"/>
        <v>0.85083741498840548</v>
      </c>
      <c r="AA119">
        <f t="shared" si="148"/>
        <v>0.86690153680778637</v>
      </c>
      <c r="AB119">
        <f t="shared" si="148"/>
        <v>0.88714325679949868</v>
      </c>
      <c r="AC119">
        <f t="shared" si="148"/>
        <v>0.91177541962679587</v>
      </c>
      <c r="AD119">
        <f t="shared" si="148"/>
        <v>0.94093837850275375</v>
      </c>
      <c r="AE119">
        <f t="shared" si="148"/>
        <v>0.97141049561534132</v>
      </c>
      <c r="AF119">
        <f t="shared" si="148"/>
        <v>1.0045626671266183</v>
      </c>
      <c r="AG119">
        <f t="shared" si="148"/>
        <v>1.0417210217407482</v>
      </c>
      <c r="AH119">
        <f t="shared" si="148"/>
        <v>1.0820818488548738</v>
      </c>
      <c r="AI119">
        <f t="shared" si="148"/>
        <v>1.12477122951538</v>
      </c>
      <c r="AJ119">
        <f t="shared" si="148"/>
        <v>1.1695296183465915</v>
      </c>
      <c r="AK119">
        <f t="shared" si="148"/>
        <v>1.2169565089927696</v>
      </c>
      <c r="AL119">
        <f t="shared" si="148"/>
        <v>1.2650941032824412</v>
      </c>
      <c r="AM119">
        <f t="shared" si="148"/>
        <v>1.3134316011228309</v>
      </c>
      <c r="AN119">
        <f t="shared" si="148"/>
        <v>1.5729730950153753</v>
      </c>
      <c r="AO119">
        <f t="shared" si="148"/>
        <v>1.885006279255504</v>
      </c>
      <c r="AP119">
        <f t="shared" si="148"/>
        <v>2.2097383441891427</v>
      </c>
      <c r="AQ119">
        <f t="shared" si="148"/>
        <v>2.4744222135832277</v>
      </c>
    </row>
    <row r="120" spans="1:43">
      <c r="A120" s="43" t="str">
        <f>'[4]TS BYDem'!A137</f>
        <v/>
      </c>
      <c r="B120" t="s">
        <v>272</v>
      </c>
      <c r="C120" t="s">
        <v>125</v>
      </c>
      <c r="D120" s="3" t="s">
        <v>313</v>
      </c>
      <c r="E120" t="s">
        <v>125</v>
      </c>
      <c r="F120" t="s">
        <v>125</v>
      </c>
      <c r="G120" t="s">
        <v>125</v>
      </c>
      <c r="I120" t="s">
        <v>125</v>
      </c>
      <c r="J120">
        <v>0</v>
      </c>
      <c r="K120">
        <f>INDEX('[4]TS BYDem'!$J$10:$J$203,MATCH(D120,'[4]TS BYDem'!$D$10:$D$203,0))</f>
        <v>3.576342925445553</v>
      </c>
      <c r="L120">
        <f t="shared" si="141"/>
        <v>3.707918705030715</v>
      </c>
      <c r="M120">
        <f t="shared" si="141"/>
        <v>3.8068764409267706</v>
      </c>
      <c r="N120" s="165">
        <f t="shared" si="142"/>
        <v>3.3492479999999998</v>
      </c>
      <c r="O120" s="165">
        <f t="shared" si="143"/>
        <v>3.3492479999999998</v>
      </c>
      <c r="P120" s="292">
        <f>IFERROR(INDEX('BY-DMD'!$I$5:$I$138,MATCH(D120,'BY-DMD'!$H$5:$H$138,0)),"")</f>
        <v>3.3492479999999998</v>
      </c>
      <c r="Q120">
        <f t="shared" ref="Q120:AQ120" si="149">Q$114/P$114*P120</f>
        <v>3.3968674864919679</v>
      </c>
      <c r="R120">
        <f t="shared" si="149"/>
        <v>3.3859007705131794</v>
      </c>
      <c r="S120">
        <f t="shared" si="149"/>
        <v>3.3346455089136815</v>
      </c>
      <c r="T120">
        <f t="shared" si="149"/>
        <v>3.3837510523197643</v>
      </c>
      <c r="U120">
        <f t="shared" si="149"/>
        <v>3.4259634256391029</v>
      </c>
      <c r="V120">
        <f t="shared" si="149"/>
        <v>3.4026900531689357</v>
      </c>
      <c r="W120">
        <f t="shared" si="149"/>
        <v>3.4078624912361737</v>
      </c>
      <c r="X120">
        <f t="shared" si="149"/>
        <v>3.4147206141744602</v>
      </c>
      <c r="Y120">
        <f t="shared" si="149"/>
        <v>3.4685473402775999</v>
      </c>
      <c r="Z120">
        <f t="shared" si="149"/>
        <v>3.5293996473593108</v>
      </c>
      <c r="AA120">
        <f t="shared" si="149"/>
        <v>3.596036004536002</v>
      </c>
      <c r="AB120">
        <f t="shared" si="149"/>
        <v>3.680001657834957</v>
      </c>
      <c r="AC120">
        <f t="shared" si="149"/>
        <v>3.7821795184518932</v>
      </c>
      <c r="AD120">
        <f t="shared" si="149"/>
        <v>3.9031517923077184</v>
      </c>
      <c r="AE120">
        <f t="shared" si="149"/>
        <v>4.0295546484784523</v>
      </c>
      <c r="AF120">
        <f t="shared" si="149"/>
        <v>4.1670747673400461</v>
      </c>
      <c r="AG120">
        <f t="shared" si="149"/>
        <v>4.3212131272208811</v>
      </c>
      <c r="AH120">
        <f t="shared" si="149"/>
        <v>4.4886358174720691</v>
      </c>
      <c r="AI120">
        <f t="shared" si="149"/>
        <v>4.665717692804539</v>
      </c>
      <c r="AJ120">
        <f t="shared" si="149"/>
        <v>4.8513821205488243</v>
      </c>
      <c r="AK120">
        <f t="shared" si="149"/>
        <v>5.0481158891551923</v>
      </c>
      <c r="AL120">
        <f t="shared" si="149"/>
        <v>5.2477977617642004</v>
      </c>
      <c r="AM120">
        <f t="shared" si="149"/>
        <v>5.4483088639169281</v>
      </c>
      <c r="AN120">
        <f t="shared" si="149"/>
        <v>6.5249254311748901</v>
      </c>
      <c r="AO120">
        <f t="shared" si="149"/>
        <v>7.8192853065413495</v>
      </c>
      <c r="AP120">
        <f t="shared" si="149"/>
        <v>9.1663220203401465</v>
      </c>
      <c r="AQ120">
        <f t="shared" si="149"/>
        <v>10.264269923011906</v>
      </c>
    </row>
    <row r="121" spans="1:43">
      <c r="A121" s="43" t="str">
        <f>'[4]TS BYDem'!A138</f>
        <v/>
      </c>
      <c r="B121" t="s">
        <v>272</v>
      </c>
      <c r="C121" t="s">
        <v>125</v>
      </c>
      <c r="D121" s="3" t="s">
        <v>308</v>
      </c>
      <c r="E121" t="s">
        <v>125</v>
      </c>
      <c r="F121" t="s">
        <v>125</v>
      </c>
      <c r="G121" t="s">
        <v>125</v>
      </c>
      <c r="I121" t="s">
        <v>125</v>
      </c>
      <c r="J121">
        <v>0</v>
      </c>
      <c r="K121">
        <f>INDEX('[4]TS BYDem'!$J$10:$J$203,MATCH(D121,'[4]TS BYDem'!$D$10:$D$203,0))</f>
        <v>0.51090613220650749</v>
      </c>
      <c r="L121">
        <f t="shared" si="141"/>
        <v>0.52970267214724498</v>
      </c>
      <c r="M121">
        <f t="shared" si="141"/>
        <v>0.54383949156096723</v>
      </c>
      <c r="N121" s="165">
        <f t="shared" si="142"/>
        <v>0.478464</v>
      </c>
      <c r="O121" s="165">
        <f t="shared" si="143"/>
        <v>0.478464</v>
      </c>
      <c r="P121" s="292">
        <f>IFERROR(INDEX('BY-DMD'!$I$5:$I$138,MATCH(D121,'BY-DMD'!$H$5:$H$138,0)),"")</f>
        <v>0.478464</v>
      </c>
      <c r="Q121">
        <f t="shared" ref="Q121:AQ121" si="150">Q$114/P$114*P121</f>
        <v>0.48526678378456684</v>
      </c>
      <c r="R121">
        <f t="shared" si="150"/>
        <v>0.48370011007331132</v>
      </c>
      <c r="S121">
        <f t="shared" si="150"/>
        <v>0.47637792984481159</v>
      </c>
      <c r="T121">
        <f t="shared" si="150"/>
        <v>0.48339300747425201</v>
      </c>
      <c r="U121">
        <f t="shared" si="150"/>
        <v>0.48942334651987185</v>
      </c>
      <c r="V121">
        <f t="shared" si="150"/>
        <v>0.48609857902413373</v>
      </c>
      <c r="W121">
        <f t="shared" si="150"/>
        <v>0.48683749874802484</v>
      </c>
      <c r="X121">
        <f t="shared" si="150"/>
        <v>0.48781723059635151</v>
      </c>
      <c r="Y121">
        <f t="shared" si="150"/>
        <v>0.49550676289680007</v>
      </c>
      <c r="Z121">
        <f t="shared" si="150"/>
        <v>0.50419994962275883</v>
      </c>
      <c r="AA121">
        <f t="shared" si="150"/>
        <v>0.51371942921942892</v>
      </c>
      <c r="AB121">
        <f t="shared" si="150"/>
        <v>0.52571452254785112</v>
      </c>
      <c r="AC121">
        <f t="shared" si="150"/>
        <v>0.54031135977884204</v>
      </c>
      <c r="AD121">
        <f t="shared" si="150"/>
        <v>0.55759311318681704</v>
      </c>
      <c r="AE121">
        <f t="shared" si="150"/>
        <v>0.57565066406835042</v>
      </c>
      <c r="AF121">
        <f t="shared" si="150"/>
        <v>0.59529639533429235</v>
      </c>
      <c r="AG121">
        <f t="shared" si="150"/>
        <v>0.61731616103155451</v>
      </c>
      <c r="AH121">
        <f t="shared" si="150"/>
        <v>0.64123368821029558</v>
      </c>
      <c r="AI121">
        <f t="shared" si="150"/>
        <v>0.66653109897207707</v>
      </c>
      <c r="AJ121">
        <f t="shared" si="150"/>
        <v>0.69305458864983205</v>
      </c>
      <c r="AK121">
        <f t="shared" si="150"/>
        <v>0.72115941273645612</v>
      </c>
      <c r="AL121">
        <f t="shared" si="150"/>
        <v>0.74968539453774308</v>
      </c>
      <c r="AM121">
        <f t="shared" si="150"/>
        <v>0.77832983770241848</v>
      </c>
      <c r="AN121">
        <f t="shared" si="150"/>
        <v>0.93213220445355593</v>
      </c>
      <c r="AO121">
        <f t="shared" si="150"/>
        <v>1.1170407580773358</v>
      </c>
      <c r="AP121">
        <f t="shared" si="150"/>
        <v>1.309474574334307</v>
      </c>
      <c r="AQ121">
        <f t="shared" si="150"/>
        <v>1.466324274715987</v>
      </c>
    </row>
    <row r="122" spans="1:43">
      <c r="A122" s="43" t="str">
        <f>'[4]TS BYDem'!A139</f>
        <v/>
      </c>
      <c r="B122" t="s">
        <v>272</v>
      </c>
      <c r="C122" t="s">
        <v>125</v>
      </c>
      <c r="D122" s="3" t="s">
        <v>312</v>
      </c>
      <c r="E122" t="s">
        <v>125</v>
      </c>
      <c r="F122" t="s">
        <v>125</v>
      </c>
      <c r="G122" t="s">
        <v>125</v>
      </c>
      <c r="I122" t="s">
        <v>125</v>
      </c>
      <c r="J122">
        <v>0</v>
      </c>
      <c r="K122">
        <f>INDEX('[4]TS BYDem'!$J$10:$J$203,MATCH(D122,'[4]TS BYDem'!$D$10:$D$203,0))</f>
        <v>2.6822571940841642</v>
      </c>
      <c r="L122">
        <f t="shared" si="141"/>
        <v>2.7809390287730356</v>
      </c>
      <c r="M122">
        <f t="shared" si="141"/>
        <v>2.8551573306950773</v>
      </c>
      <c r="N122" s="165">
        <f t="shared" si="142"/>
        <v>2.5119359999999999</v>
      </c>
      <c r="O122" s="165">
        <f t="shared" si="143"/>
        <v>2.5119359999999999</v>
      </c>
      <c r="P122" s="292">
        <f>IFERROR(INDEX('BY-DMD'!$I$5:$I$138,MATCH(D122,'BY-DMD'!$H$5:$H$138,0)),"")</f>
        <v>2.5119359999999999</v>
      </c>
      <c r="Q122">
        <f t="shared" ref="Q122:AQ122" si="151">Q$114/P$114*P122</f>
        <v>2.5476506148689761</v>
      </c>
      <c r="R122">
        <f t="shared" si="151"/>
        <v>2.5394255778848849</v>
      </c>
      <c r="S122">
        <f t="shared" si="151"/>
        <v>2.5009841316852612</v>
      </c>
      <c r="T122">
        <f t="shared" si="151"/>
        <v>2.5378132892398235</v>
      </c>
      <c r="U122">
        <f t="shared" si="151"/>
        <v>2.5694725692293274</v>
      </c>
      <c r="V122">
        <f t="shared" si="151"/>
        <v>2.5520175398767022</v>
      </c>
      <c r="W122">
        <f t="shared" si="151"/>
        <v>2.5558968684271308</v>
      </c>
      <c r="X122">
        <f t="shared" si="151"/>
        <v>2.5610404606308457</v>
      </c>
      <c r="Y122">
        <f t="shared" si="151"/>
        <v>2.6014105052082006</v>
      </c>
      <c r="Z122">
        <f t="shared" si="151"/>
        <v>2.647049735519484</v>
      </c>
      <c r="AA122">
        <f t="shared" si="151"/>
        <v>2.6970270034020021</v>
      </c>
      <c r="AB122">
        <f t="shared" si="151"/>
        <v>2.7600012433762182</v>
      </c>
      <c r="AC122">
        <f t="shared" si="151"/>
        <v>2.8366346388389205</v>
      </c>
      <c r="AD122">
        <f t="shared" si="151"/>
        <v>2.9273638442307894</v>
      </c>
      <c r="AE122">
        <f t="shared" si="151"/>
        <v>3.0221659863588397</v>
      </c>
      <c r="AF122">
        <f t="shared" si="151"/>
        <v>3.1253060755050353</v>
      </c>
      <c r="AG122">
        <f t="shared" si="151"/>
        <v>3.2409098454156617</v>
      </c>
      <c r="AH122">
        <f t="shared" si="151"/>
        <v>3.3664768631040523</v>
      </c>
      <c r="AI122">
        <f t="shared" si="151"/>
        <v>3.4992882696034049</v>
      </c>
      <c r="AJ122">
        <f t="shared" si="151"/>
        <v>3.6385365904116189</v>
      </c>
      <c r="AK122">
        <f t="shared" si="151"/>
        <v>3.7860869168663953</v>
      </c>
      <c r="AL122">
        <f t="shared" si="151"/>
        <v>3.9358483213231517</v>
      </c>
      <c r="AM122">
        <f t="shared" si="151"/>
        <v>4.0862316479376979</v>
      </c>
      <c r="AN122">
        <f t="shared" si="151"/>
        <v>4.8936940733811696</v>
      </c>
      <c r="AO122">
        <f t="shared" si="151"/>
        <v>5.8644639799060148</v>
      </c>
      <c r="AP122">
        <f t="shared" si="151"/>
        <v>6.8747415152551135</v>
      </c>
      <c r="AQ122">
        <f t="shared" si="151"/>
        <v>7.6982024422589337</v>
      </c>
    </row>
    <row r="123" spans="1:43">
      <c r="A123" s="43" t="str">
        <f>'[4]TS BYDem'!A140</f>
        <v/>
      </c>
      <c r="B123" t="s">
        <v>272</v>
      </c>
      <c r="C123" t="s">
        <v>125</v>
      </c>
      <c r="D123" s="3" t="s">
        <v>307</v>
      </c>
      <c r="E123" t="s">
        <v>125</v>
      </c>
      <c r="F123" t="s">
        <v>125</v>
      </c>
      <c r="G123" t="s">
        <v>125</v>
      </c>
      <c r="I123" t="s">
        <v>125</v>
      </c>
      <c r="J123">
        <v>0</v>
      </c>
      <c r="K123">
        <f>INDEX('[4]TS BYDem'!$J$10:$J$203,MATCH(D123,'[4]TS BYDem'!$D$10:$D$203,0))</f>
        <v>0</v>
      </c>
      <c r="L123">
        <f t="shared" si="141"/>
        <v>0</v>
      </c>
      <c r="M123">
        <f t="shared" si="141"/>
        <v>0</v>
      </c>
      <c r="N123" s="165">
        <f t="shared" si="142"/>
        <v>0</v>
      </c>
      <c r="O123" s="165">
        <f t="shared" si="143"/>
        <v>0</v>
      </c>
      <c r="P123" s="292">
        <f>IFERROR(INDEX('BY-DMD'!$I$5:$I$138,MATCH(D123,'BY-DMD'!$H$5:$H$138,0)),"")</f>
        <v>0</v>
      </c>
      <c r="Q123">
        <f t="shared" ref="Q123:AQ123" si="152">Q$114/P$114*P123</f>
        <v>0</v>
      </c>
      <c r="R123">
        <f t="shared" si="152"/>
        <v>0</v>
      </c>
      <c r="S123">
        <f t="shared" si="152"/>
        <v>0</v>
      </c>
      <c r="T123">
        <f t="shared" si="152"/>
        <v>0</v>
      </c>
      <c r="U123">
        <f t="shared" si="152"/>
        <v>0</v>
      </c>
      <c r="V123">
        <f t="shared" si="152"/>
        <v>0</v>
      </c>
      <c r="W123">
        <f t="shared" si="152"/>
        <v>0</v>
      </c>
      <c r="X123">
        <f t="shared" si="152"/>
        <v>0</v>
      </c>
      <c r="Y123">
        <f t="shared" si="152"/>
        <v>0</v>
      </c>
      <c r="Z123">
        <f t="shared" si="152"/>
        <v>0</v>
      </c>
      <c r="AA123">
        <f t="shared" si="152"/>
        <v>0</v>
      </c>
      <c r="AB123">
        <f t="shared" si="152"/>
        <v>0</v>
      </c>
      <c r="AC123">
        <f t="shared" si="152"/>
        <v>0</v>
      </c>
      <c r="AD123">
        <f t="shared" si="152"/>
        <v>0</v>
      </c>
      <c r="AE123">
        <f t="shared" si="152"/>
        <v>0</v>
      </c>
      <c r="AF123">
        <f t="shared" si="152"/>
        <v>0</v>
      </c>
      <c r="AG123">
        <f t="shared" si="152"/>
        <v>0</v>
      </c>
      <c r="AH123">
        <f t="shared" si="152"/>
        <v>0</v>
      </c>
      <c r="AI123">
        <f t="shared" si="152"/>
        <v>0</v>
      </c>
      <c r="AJ123">
        <f t="shared" si="152"/>
        <v>0</v>
      </c>
      <c r="AK123">
        <f t="shared" si="152"/>
        <v>0</v>
      </c>
      <c r="AL123">
        <f t="shared" si="152"/>
        <v>0</v>
      </c>
      <c r="AM123">
        <f t="shared" si="152"/>
        <v>0</v>
      </c>
      <c r="AN123">
        <f t="shared" si="152"/>
        <v>0</v>
      </c>
      <c r="AO123">
        <f t="shared" si="152"/>
        <v>0</v>
      </c>
      <c r="AP123">
        <f t="shared" si="152"/>
        <v>0</v>
      </c>
      <c r="AQ123">
        <f t="shared" si="152"/>
        <v>0</v>
      </c>
    </row>
    <row r="124" spans="1:43">
      <c r="A124" s="43" t="str">
        <f>'[4]TS BYDem'!A142</f>
        <v/>
      </c>
      <c r="B124" t="s">
        <v>272</v>
      </c>
      <c r="C124" t="s">
        <v>125</v>
      </c>
      <c r="D124" s="3" t="s">
        <v>314</v>
      </c>
      <c r="E124" t="s">
        <v>125</v>
      </c>
      <c r="F124" t="s">
        <v>125</v>
      </c>
      <c r="G124" t="s">
        <v>125</v>
      </c>
      <c r="I124" t="s">
        <v>125</v>
      </c>
      <c r="J124">
        <v>0</v>
      </c>
      <c r="K124">
        <f>INDEX('[4]TS BYDem'!$J$10:$J$203,MATCH(D124,'[4]TS BYDem'!$D$10:$D$203,0))</f>
        <v>20.421862032418336</v>
      </c>
      <c r="L124">
        <f t="shared" si="141"/>
        <v>21.173194461525735</v>
      </c>
      <c r="M124">
        <f t="shared" si="141"/>
        <v>21.738269252069756</v>
      </c>
      <c r="N124" s="165">
        <f t="shared" ref="N124" si="153">P124</f>
        <v>40.544747177343801</v>
      </c>
      <c r="O124" s="165">
        <f t="shared" ref="O124" si="154">P124</f>
        <v>40.544747177343801</v>
      </c>
      <c r="P124" s="292">
        <f>IFERROR(INDEX('BY-DMD'!$I$5:$I$138,MATCH(D124,'BY-DMD'!$H$5:$H$138,0)),"")</f>
        <v>40.544747177343801</v>
      </c>
      <c r="Q124">
        <f t="shared" ref="Q124:AQ124" si="155">Q$114/P$114*P124</f>
        <v>41.121210921005598</v>
      </c>
      <c r="R124">
        <f t="shared" si="155"/>
        <v>40.988451947431315</v>
      </c>
      <c r="S124">
        <f t="shared" si="155"/>
        <v>40.367974866289437</v>
      </c>
      <c r="T124">
        <f t="shared" si="155"/>
        <v>40.962428260724757</v>
      </c>
      <c r="U124">
        <f t="shared" si="155"/>
        <v>41.473435508915465</v>
      </c>
      <c r="V124">
        <f t="shared" si="155"/>
        <v>41.191696741655747</v>
      </c>
      <c r="W124">
        <f t="shared" si="155"/>
        <v>41.25431234782365</v>
      </c>
      <c r="X124">
        <f t="shared" si="155"/>
        <v>41.337334226359957</v>
      </c>
      <c r="Y124">
        <f t="shared" si="155"/>
        <v>41.988940497748622</v>
      </c>
      <c r="Z124">
        <f t="shared" si="155"/>
        <v>42.725595832255372</v>
      </c>
      <c r="AA124">
        <f t="shared" si="155"/>
        <v>43.532270720035591</v>
      </c>
      <c r="AB124">
        <f t="shared" si="155"/>
        <v>44.548727603666372</v>
      </c>
      <c r="AC124">
        <f t="shared" si="155"/>
        <v>45.785654676799076</v>
      </c>
      <c r="AD124">
        <f t="shared" si="155"/>
        <v>47.25009990717701</v>
      </c>
      <c r="AE124">
        <f t="shared" si="155"/>
        <v>48.780285741709584</v>
      </c>
      <c r="AF124">
        <f t="shared" si="155"/>
        <v>50.445053012165992</v>
      </c>
      <c r="AG124">
        <f t="shared" si="155"/>
        <v>52.310994510585608</v>
      </c>
      <c r="AH124">
        <f t="shared" si="155"/>
        <v>54.337751158043531</v>
      </c>
      <c r="AI124">
        <f t="shared" si="155"/>
        <v>56.481438297677535</v>
      </c>
      <c r="AJ124">
        <f t="shared" si="155"/>
        <v>58.729022615923974</v>
      </c>
      <c r="AK124">
        <f t="shared" si="155"/>
        <v>61.110608246307649</v>
      </c>
      <c r="AL124">
        <f t="shared" si="155"/>
        <v>63.527882524244312</v>
      </c>
      <c r="AM124">
        <f t="shared" si="155"/>
        <v>65.955195145773956</v>
      </c>
      <c r="AN124">
        <f t="shared" si="155"/>
        <v>78.988313782080922</v>
      </c>
      <c r="AO124">
        <f t="shared" si="155"/>
        <v>94.657351698422545</v>
      </c>
      <c r="AP124">
        <f t="shared" si="155"/>
        <v>110.96407577486367</v>
      </c>
      <c r="AQ124">
        <f t="shared" si="155"/>
        <v>124.25542360211367</v>
      </c>
    </row>
    <row r="125" spans="1:43" s="2" customFormat="1">
      <c r="A125" s="43" t="str">
        <f>'[4]TS BYDem'!A165</f>
        <v>*</v>
      </c>
      <c r="C125" s="1" t="s">
        <v>0</v>
      </c>
      <c r="D125" s="1" t="s">
        <v>743</v>
      </c>
      <c r="K125" s="2">
        <f t="shared" ref="K125:AB125" si="156">SUMIF($B$10:$B$25,$D125,K$10:K$25)*SUMIF($B$10:$B$25,$D125,K$47:K$62)</f>
        <v>335.77331305186084</v>
      </c>
      <c r="L125" s="2">
        <f t="shared" si="156"/>
        <v>345.12368336779264</v>
      </c>
      <c r="M125" s="2">
        <f t="shared" si="156"/>
        <v>351.73654833895557</v>
      </c>
      <c r="N125" s="2">
        <f t="shared" si="156"/>
        <v>356.62847152051233</v>
      </c>
      <c r="O125" s="2">
        <f t="shared" si="156"/>
        <v>360.31274126727499</v>
      </c>
      <c r="P125" s="2">
        <f t="shared" si="156"/>
        <v>363.08022098030375</v>
      </c>
      <c r="Q125" s="2">
        <f t="shared" si="156"/>
        <v>367.26352107202263</v>
      </c>
      <c r="R125" s="2">
        <f t="shared" si="156"/>
        <v>366.87</v>
      </c>
      <c r="S125" s="2">
        <f t="shared" si="156"/>
        <v>340.31</v>
      </c>
      <c r="T125" s="2">
        <f t="shared" si="156"/>
        <v>366.63707317577473</v>
      </c>
      <c r="U125" s="2">
        <f t="shared" si="156"/>
        <v>371.21087921714849</v>
      </c>
      <c r="V125" s="2">
        <f t="shared" si="156"/>
        <v>368.68915671645158</v>
      </c>
      <c r="W125" s="2">
        <f t="shared" si="156"/>
        <v>369.24960206979841</v>
      </c>
      <c r="X125" s="2">
        <f t="shared" si="156"/>
        <v>369.9926951882623</v>
      </c>
      <c r="Y125" s="2">
        <f t="shared" si="156"/>
        <v>375.82494260006882</v>
      </c>
      <c r="Z125" s="2">
        <f t="shared" si="156"/>
        <v>382.41842758742825</v>
      </c>
      <c r="AA125" s="2">
        <f t="shared" si="156"/>
        <v>389.63862747347139</v>
      </c>
      <c r="AB125" s="2">
        <f t="shared" si="156"/>
        <v>398.73649575539355</v>
      </c>
      <c r="AC125" s="2">
        <f>SUMIF($B$10:$B$25,$D125,AC$10:AC$25)*SUMIF($B$10:$B$25,$D125,AC$46:AC$62)</f>
        <v>409.80769785646811</v>
      </c>
      <c r="AD125" s="2">
        <f t="shared" ref="AD125:AQ125" si="157">SUMIF($B$10:$B$25,$D125,AD$10:AD$25)*SUMIF($B$10:$B$25,$D125,AD$47:AD$62)</f>
        <v>422.91531710390404</v>
      </c>
      <c r="AE125" s="2">
        <f t="shared" si="157"/>
        <v>436.61135221728046</v>
      </c>
      <c r="AF125" s="2">
        <f t="shared" si="157"/>
        <v>451.51196786618686</v>
      </c>
      <c r="AG125" s="2">
        <f t="shared" si="157"/>
        <v>468.21320748370556</v>
      </c>
      <c r="AH125" s="2">
        <f t="shared" si="157"/>
        <v>486.35383431700279</v>
      </c>
      <c r="AI125" s="2">
        <f t="shared" si="157"/>
        <v>505.54105568184406</v>
      </c>
      <c r="AJ125" s="2">
        <f t="shared" si="157"/>
        <v>525.65821599550031</v>
      </c>
      <c r="AK125" s="2">
        <f t="shared" si="157"/>
        <v>546.97476440624382</v>
      </c>
      <c r="AL125" s="2">
        <f t="shared" si="157"/>
        <v>568.61074654784807</v>
      </c>
      <c r="AM125" s="2">
        <f t="shared" si="157"/>
        <v>590.33657758442098</v>
      </c>
      <c r="AN125" s="2">
        <f t="shared" si="157"/>
        <v>706.99041560285298</v>
      </c>
      <c r="AO125" s="2">
        <f t="shared" si="157"/>
        <v>847.23723311479125</v>
      </c>
      <c r="AP125" s="2">
        <f t="shared" si="157"/>
        <v>993.19170511086941</v>
      </c>
      <c r="AQ125" s="2">
        <f t="shared" si="157"/>
        <v>1112.156841526293</v>
      </c>
    </row>
    <row r="126" spans="1:43">
      <c r="A126" s="43" t="str">
        <f>'[4]TS BYDem'!A172</f>
        <v/>
      </c>
      <c r="B126" t="s">
        <v>272</v>
      </c>
      <c r="C126" t="s">
        <v>125</v>
      </c>
      <c r="D126" s="3" t="s">
        <v>341</v>
      </c>
      <c r="E126" t="s">
        <v>125</v>
      </c>
      <c r="F126" t="s">
        <v>125</v>
      </c>
      <c r="G126" t="s">
        <v>125</v>
      </c>
      <c r="I126" t="s">
        <v>125</v>
      </c>
      <c r="J126">
        <v>0</v>
      </c>
      <c r="K126">
        <f>INDEX('[4]TS BYDem'!$J$10:$J$203,MATCH(D126,'[4]TS BYDem'!$D$10:$D$203,0))</f>
        <v>4.0241553496851505</v>
      </c>
      <c r="L126">
        <f t="shared" ref="L126:M136" si="158">L$125/K$125*K126</f>
        <v>4.1362170927295789</v>
      </c>
      <c r="M126">
        <f t="shared" si="158"/>
        <v>4.2154705500951453</v>
      </c>
      <c r="N126" s="165">
        <f t="shared" ref="N126:N134" si="159">P126</f>
        <v>2.1816719999999998</v>
      </c>
      <c r="O126" s="165">
        <f t="shared" ref="O126:O134" si="160">P126</f>
        <v>2.1816719999999998</v>
      </c>
      <c r="P126" s="292">
        <f>IFERROR(INDEX('BY-DMD'!$I$5:$I$138,MATCH(D126,'BY-DMD'!$H$5:$H$138,0)),"")</f>
        <v>2.1816719999999998</v>
      </c>
      <c r="Q126">
        <f t="shared" ref="Q126:AQ126" si="161">Q$125/P$125*P126</f>
        <v>2.2068085625289613</v>
      </c>
      <c r="R126">
        <f t="shared" si="161"/>
        <v>2.2044439779147851</v>
      </c>
      <c r="S126">
        <f t="shared" si="161"/>
        <v>2.0448505741112126</v>
      </c>
      <c r="T126">
        <f t="shared" si="161"/>
        <v>2.2030443700565296</v>
      </c>
      <c r="U126">
        <f t="shared" si="161"/>
        <v>2.230527399969187</v>
      </c>
      <c r="V126">
        <f t="shared" si="161"/>
        <v>2.2153749045876254</v>
      </c>
      <c r="W126">
        <f t="shared" si="161"/>
        <v>2.218742501785913</v>
      </c>
      <c r="X126">
        <f t="shared" si="161"/>
        <v>2.2232075906458024</v>
      </c>
      <c r="Y126">
        <f t="shared" si="161"/>
        <v>2.2582523277043407</v>
      </c>
      <c r="Z126">
        <f t="shared" si="161"/>
        <v>2.2978711798150502</v>
      </c>
      <c r="AA126">
        <f t="shared" si="161"/>
        <v>2.3412558287591687</v>
      </c>
      <c r="AB126">
        <f t="shared" si="161"/>
        <v>2.3959229886412663</v>
      </c>
      <c r="AC126">
        <f t="shared" si="161"/>
        <v>2.4624474926889981</v>
      </c>
      <c r="AD126">
        <f t="shared" si="161"/>
        <v>2.5412083952288897</v>
      </c>
      <c r="AE126">
        <f t="shared" si="161"/>
        <v>2.6235049638417283</v>
      </c>
      <c r="AF126">
        <f t="shared" si="161"/>
        <v>2.7130396012731195</v>
      </c>
      <c r="AG126">
        <f t="shared" si="161"/>
        <v>2.8133938060283485</v>
      </c>
      <c r="AH126">
        <f t="shared" si="161"/>
        <v>2.9223969831163128</v>
      </c>
      <c r="AI126">
        <f t="shared" si="161"/>
        <v>3.0376889246504861</v>
      </c>
      <c r="AJ126">
        <f t="shared" si="161"/>
        <v>3.1585686719892867</v>
      </c>
      <c r="AK126">
        <f t="shared" si="161"/>
        <v>3.2866552878859054</v>
      </c>
      <c r="AL126">
        <f t="shared" si="161"/>
        <v>3.4166613132854513</v>
      </c>
      <c r="AM126">
        <f t="shared" si="161"/>
        <v>3.5472072216283714</v>
      </c>
      <c r="AN126">
        <f t="shared" si="161"/>
        <v>4.2481553796145226</v>
      </c>
      <c r="AO126">
        <f t="shared" si="161"/>
        <v>5.0908687448008454</v>
      </c>
      <c r="AP126">
        <f t="shared" si="161"/>
        <v>5.9678781945827479</v>
      </c>
      <c r="AQ126">
        <f t="shared" si="161"/>
        <v>6.682714454164592</v>
      </c>
    </row>
    <row r="127" spans="1:43">
      <c r="A127" s="43" t="str">
        <f>'[4]TS BYDem'!A173</f>
        <v/>
      </c>
      <c r="B127" t="s">
        <v>272</v>
      </c>
      <c r="C127" t="s">
        <v>125</v>
      </c>
      <c r="D127" s="3" t="s">
        <v>336</v>
      </c>
      <c r="E127" t="s">
        <v>125</v>
      </c>
      <c r="F127" t="s">
        <v>125</v>
      </c>
      <c r="G127" t="s">
        <v>125</v>
      </c>
      <c r="I127" t="s">
        <v>125</v>
      </c>
      <c r="J127">
        <v>0</v>
      </c>
      <c r="K127">
        <f>INDEX('[4]TS BYDem'!$J$10:$J$203,MATCH(D127,'[4]TS BYDem'!$D$10:$D$203,0))</f>
        <v>0.22789646617646991</v>
      </c>
      <c r="L127">
        <f t="shared" si="158"/>
        <v>0.23424276074370104</v>
      </c>
      <c r="M127">
        <f t="shared" si="158"/>
        <v>0.23873105239658002</v>
      </c>
      <c r="N127" s="165">
        <f t="shared" si="159"/>
        <v>0.12355272</v>
      </c>
      <c r="O127" s="165">
        <f t="shared" si="160"/>
        <v>0.12355272</v>
      </c>
      <c r="P127" s="292">
        <f>IFERROR(INDEX('BY-DMD'!$I$5:$I$138,MATCH(D127,'BY-DMD'!$H$5:$H$138,0)),"")</f>
        <v>0.12355272</v>
      </c>
      <c r="Q127">
        <f t="shared" ref="Q127:AQ127" si="162">Q$125/P$125*P127</f>
        <v>0.12497625693493029</v>
      </c>
      <c r="R127">
        <f t="shared" si="162"/>
        <v>0.12484234548501866</v>
      </c>
      <c r="S127">
        <f t="shared" si="162"/>
        <v>0.11580423199500285</v>
      </c>
      <c r="T127">
        <f t="shared" si="162"/>
        <v>0.12476308271874542</v>
      </c>
      <c r="U127">
        <f t="shared" si="162"/>
        <v>0.12631950508633788</v>
      </c>
      <c r="V127">
        <f t="shared" si="162"/>
        <v>0.12546138708364116</v>
      </c>
      <c r="W127">
        <f t="shared" si="162"/>
        <v>0.12565210126694315</v>
      </c>
      <c r="X127">
        <f t="shared" si="162"/>
        <v>0.12590496873450061</v>
      </c>
      <c r="Y127">
        <f t="shared" si="162"/>
        <v>0.1278896266414945</v>
      </c>
      <c r="Z127">
        <f t="shared" si="162"/>
        <v>0.13013332640092484</v>
      </c>
      <c r="AA127">
        <f t="shared" si="162"/>
        <v>0.13259029123491042</v>
      </c>
      <c r="AB127">
        <f t="shared" si="162"/>
        <v>0.13568620863134218</v>
      </c>
      <c r="AC127">
        <f t="shared" si="162"/>
        <v>0.13945363261705052</v>
      </c>
      <c r="AD127">
        <f t="shared" si="162"/>
        <v>0.14391402984379154</v>
      </c>
      <c r="AE127">
        <f t="shared" si="162"/>
        <v>0.148574659351244</v>
      </c>
      <c r="AF127">
        <f t="shared" si="162"/>
        <v>0.15364519607209948</v>
      </c>
      <c r="AG127">
        <f t="shared" si="162"/>
        <v>0.15932846787507696</v>
      </c>
      <c r="AH127">
        <f t="shared" si="162"/>
        <v>0.16550154935472178</v>
      </c>
      <c r="AI127">
        <f t="shared" si="162"/>
        <v>0.17203077692450683</v>
      </c>
      <c r="AJ127">
        <f t="shared" si="162"/>
        <v>0.17887645380747622</v>
      </c>
      <c r="AK127">
        <f t="shared" si="162"/>
        <v>0.18613027096680285</v>
      </c>
      <c r="AL127">
        <f t="shared" si="162"/>
        <v>0.19349278836378231</v>
      </c>
      <c r="AM127">
        <f t="shared" si="162"/>
        <v>0.20088588047874667</v>
      </c>
      <c r="AN127">
        <f t="shared" si="162"/>
        <v>0.24058206372635615</v>
      </c>
      <c r="AO127">
        <f t="shared" si="162"/>
        <v>0.28830671181695983</v>
      </c>
      <c r="AP127">
        <f t="shared" si="162"/>
        <v>0.33797362003517845</v>
      </c>
      <c r="AQ127">
        <f t="shared" si="162"/>
        <v>0.37845631597937301</v>
      </c>
    </row>
    <row r="128" spans="1:43">
      <c r="A128" s="43" t="str">
        <f>'[4]TS BYDem'!A174</f>
        <v/>
      </c>
      <c r="B128" t="s">
        <v>272</v>
      </c>
      <c r="C128" t="s">
        <v>125</v>
      </c>
      <c r="D128" s="3" t="s">
        <v>342</v>
      </c>
      <c r="E128" t="s">
        <v>125</v>
      </c>
      <c r="F128" t="s">
        <v>125</v>
      </c>
      <c r="G128" t="s">
        <v>125</v>
      </c>
      <c r="I128" t="s">
        <v>125</v>
      </c>
      <c r="J128">
        <v>0</v>
      </c>
      <c r="K128">
        <f>INDEX('[4]TS BYDem'!$J$10:$J$203,MATCH(D128,'[4]TS BYDem'!$D$10:$D$203,0))</f>
        <v>1.0095834302163471</v>
      </c>
      <c r="L128">
        <f t="shared" si="158"/>
        <v>1.0376975732122602</v>
      </c>
      <c r="M128">
        <f t="shared" si="158"/>
        <v>1.0575807462984816</v>
      </c>
      <c r="N128" s="165">
        <f t="shared" si="159"/>
        <v>0.54733968</v>
      </c>
      <c r="O128" s="165">
        <f t="shared" si="160"/>
        <v>0.54733968</v>
      </c>
      <c r="P128" s="292">
        <f>IFERROR(INDEX('BY-DMD'!$I$5:$I$138,MATCH(D128,'BY-DMD'!$H$5:$H$138,0)),"")</f>
        <v>0.54733968</v>
      </c>
      <c r="Q128">
        <f t="shared" ref="Q128:AQ128" si="163">Q$125/P$125*P128</f>
        <v>0.55364596164586688</v>
      </c>
      <c r="R128">
        <f t="shared" si="163"/>
        <v>0.55305273269758493</v>
      </c>
      <c r="S128">
        <f t="shared" si="163"/>
        <v>0.51301380724593215</v>
      </c>
      <c r="T128">
        <f t="shared" si="163"/>
        <v>0.55270159791780915</v>
      </c>
      <c r="U128">
        <f t="shared" si="163"/>
        <v>0.5595965632461557</v>
      </c>
      <c r="V128">
        <f t="shared" si="163"/>
        <v>0.55579509264317528</v>
      </c>
      <c r="W128">
        <f t="shared" si="163"/>
        <v>0.55663995822007206</v>
      </c>
      <c r="X128">
        <f t="shared" si="163"/>
        <v>0.55776016341486911</v>
      </c>
      <c r="Y128">
        <f t="shared" si="163"/>
        <v>0.56655221610074702</v>
      </c>
      <c r="Z128">
        <f t="shared" si="163"/>
        <v>0.57649182656292608</v>
      </c>
      <c r="AA128">
        <f t="shared" si="163"/>
        <v>0.58737620325657491</v>
      </c>
      <c r="AB128">
        <f t="shared" si="163"/>
        <v>0.60109114564772093</v>
      </c>
      <c r="AC128">
        <f t="shared" si="163"/>
        <v>0.61778086837306379</v>
      </c>
      <c r="AD128">
        <f t="shared" si="163"/>
        <v>0.63754046889628424</v>
      </c>
      <c r="AE128">
        <f t="shared" si="163"/>
        <v>0.65818710025500782</v>
      </c>
      <c r="AF128">
        <f t="shared" si="163"/>
        <v>0.68064962431940146</v>
      </c>
      <c r="AG128">
        <f t="shared" si="163"/>
        <v>0.70582657040358898</v>
      </c>
      <c r="AH128">
        <f t="shared" si="163"/>
        <v>0.73317337783674563</v>
      </c>
      <c r="AI128">
        <f t="shared" si="163"/>
        <v>0.76209791570765073</v>
      </c>
      <c r="AJ128">
        <f t="shared" si="163"/>
        <v>0.79242432693119857</v>
      </c>
      <c r="AK128">
        <f t="shared" si="163"/>
        <v>0.8245588033131378</v>
      </c>
      <c r="AL128">
        <f t="shared" si="163"/>
        <v>0.85717482274239176</v>
      </c>
      <c r="AM128">
        <f t="shared" si="163"/>
        <v>0.88992628845205091</v>
      </c>
      <c r="AN128">
        <f t="shared" si="163"/>
        <v>1.0657807434245352</v>
      </c>
      <c r="AO128">
        <f t="shared" si="163"/>
        <v>1.2772013711049588</v>
      </c>
      <c r="AP128">
        <f t="shared" si="163"/>
        <v>1.4972262289207088</v>
      </c>
      <c r="AQ128">
        <f t="shared" si="163"/>
        <v>1.6765649423349724</v>
      </c>
    </row>
    <row r="129" spans="1:43">
      <c r="A129" s="43" t="str">
        <f>'[4]TS BYDem'!A175</f>
        <v/>
      </c>
      <c r="B129" t="s">
        <v>272</v>
      </c>
      <c r="C129" t="s">
        <v>125</v>
      </c>
      <c r="D129" s="3" t="s">
        <v>337</v>
      </c>
      <c r="E129" t="s">
        <v>125</v>
      </c>
      <c r="F129" t="s">
        <v>125</v>
      </c>
      <c r="G129" t="s">
        <v>125</v>
      </c>
      <c r="I129" t="s">
        <v>125</v>
      </c>
      <c r="J129">
        <v>0</v>
      </c>
      <c r="K129">
        <f>INDEX('[4]TS BYDem'!$J$10:$J$203,MATCH(D129,'[4]TS BYDem'!$D$10:$D$203,0))</f>
        <v>4.2868722274366169</v>
      </c>
      <c r="L129">
        <f t="shared" si="158"/>
        <v>4.4062499184725477</v>
      </c>
      <c r="M129">
        <f t="shared" si="158"/>
        <v>4.4906774357490269</v>
      </c>
      <c r="N129" s="165">
        <f t="shared" si="159"/>
        <v>2.3241024000000001</v>
      </c>
      <c r="O129" s="165">
        <f t="shared" si="160"/>
        <v>2.3241024000000001</v>
      </c>
      <c r="P129" s="292">
        <f>IFERROR(INDEX('BY-DMD'!$I$5:$I$138,MATCH(D129,'BY-DMD'!$H$5:$H$138,0)),"")</f>
        <v>2.3241024000000001</v>
      </c>
      <c r="Q129">
        <f t="shared" ref="Q129:AQ129" si="164">Q$125/P$125*P129</f>
        <v>2.3508800023624583</v>
      </c>
      <c r="R129">
        <f t="shared" si="164"/>
        <v>2.3483610459030042</v>
      </c>
      <c r="S129">
        <f t="shared" si="164"/>
        <v>2.1783485908666593</v>
      </c>
      <c r="T129">
        <f t="shared" si="164"/>
        <v>2.3468700646819816</v>
      </c>
      <c r="U129">
        <f t="shared" si="164"/>
        <v>2.3761473234904913</v>
      </c>
      <c r="V129">
        <f t="shared" si="164"/>
        <v>2.3600055978404963</v>
      </c>
      <c r="W129">
        <f t="shared" si="164"/>
        <v>2.3635930485346308</v>
      </c>
      <c r="X129">
        <f t="shared" si="164"/>
        <v>2.3683496406050621</v>
      </c>
      <c r="Y129">
        <f t="shared" si="164"/>
        <v>2.4056822724145723</v>
      </c>
      <c r="Z129">
        <f t="shared" si="164"/>
        <v>2.4478876402589345</v>
      </c>
      <c r="AA129">
        <f t="shared" si="164"/>
        <v>2.4941046548854153</v>
      </c>
      <c r="AB129">
        <f t="shared" si="164"/>
        <v>2.5523407588841684</v>
      </c>
      <c r="AC129">
        <f t="shared" si="164"/>
        <v>2.6232083134552235</v>
      </c>
      <c r="AD129">
        <f t="shared" si="164"/>
        <v>2.7071111194769939</v>
      </c>
      <c r="AE129">
        <f t="shared" si="164"/>
        <v>2.7947804174396862</v>
      </c>
      <c r="AF129">
        <f t="shared" si="164"/>
        <v>2.8901603213562357</v>
      </c>
      <c r="AG129">
        <f t="shared" si="164"/>
        <v>2.9970661477690599</v>
      </c>
      <c r="AH129">
        <f t="shared" si="164"/>
        <v>3.1131855944492957</v>
      </c>
      <c r="AI129">
        <f t="shared" si="164"/>
        <v>3.2360043673996897</v>
      </c>
      <c r="AJ129">
        <f t="shared" si="164"/>
        <v>3.3647757459119045</v>
      </c>
      <c r="AK129">
        <f t="shared" si="164"/>
        <v>3.501224493209028</v>
      </c>
      <c r="AL129">
        <f t="shared" si="164"/>
        <v>3.6397179586087516</v>
      </c>
      <c r="AM129">
        <f t="shared" si="164"/>
        <v>3.7787865531958214</v>
      </c>
      <c r="AN129">
        <f t="shared" si="164"/>
        <v>4.5254960935168196</v>
      </c>
      <c r="AO129">
        <f t="shared" si="164"/>
        <v>5.4232259789173787</v>
      </c>
      <c r="AP129">
        <f t="shared" si="164"/>
        <v>6.3574909679078404</v>
      </c>
      <c r="AQ129">
        <f t="shared" si="164"/>
        <v>7.1189952941774113</v>
      </c>
    </row>
    <row r="130" spans="1:43">
      <c r="A130" s="43" t="str">
        <f>'[4]TS BYDem'!A176</f>
        <v/>
      </c>
      <c r="B130" t="s">
        <v>272</v>
      </c>
      <c r="C130" t="s">
        <v>125</v>
      </c>
      <c r="D130" s="3" t="s">
        <v>340</v>
      </c>
      <c r="E130" t="s">
        <v>125</v>
      </c>
      <c r="F130" t="s">
        <v>125</v>
      </c>
      <c r="G130" t="s">
        <v>125</v>
      </c>
      <c r="I130" t="s">
        <v>125</v>
      </c>
      <c r="J130">
        <v>0</v>
      </c>
      <c r="K130">
        <f>INDEX('[4]TS BYDem'!$J$10:$J$203,MATCH(D130,'[4]TS BYDem'!$D$10:$D$203,0))</f>
        <v>3.1863804172999206</v>
      </c>
      <c r="L130">
        <f t="shared" si="158"/>
        <v>3.2751124150825612</v>
      </c>
      <c r="M130">
        <f t="shared" si="158"/>
        <v>3.3378663702877733</v>
      </c>
      <c r="N130" s="165">
        <f t="shared" si="159"/>
        <v>1.72747728</v>
      </c>
      <c r="O130" s="165">
        <f t="shared" si="160"/>
        <v>1.72747728</v>
      </c>
      <c r="P130" s="292">
        <f>IFERROR(INDEX('BY-DMD'!$I$5:$I$138,MATCH(D130,'BY-DMD'!$H$5:$H$138,0)),"")</f>
        <v>1.72747728</v>
      </c>
      <c r="Q130">
        <f t="shared" ref="Q130:AQ130" si="165">Q$125/P$125*P130</f>
        <v>1.7473807488376987</v>
      </c>
      <c r="R130">
        <f t="shared" si="165"/>
        <v>1.7455084388856863</v>
      </c>
      <c r="S130">
        <f t="shared" si="165"/>
        <v>1.6191402317910646</v>
      </c>
      <c r="T130">
        <f t="shared" si="165"/>
        <v>1.7444002105286986</v>
      </c>
      <c r="U130">
        <f t="shared" si="165"/>
        <v>1.7661616438512495</v>
      </c>
      <c r="V130">
        <f t="shared" si="165"/>
        <v>1.7541636938812484</v>
      </c>
      <c r="W130">
        <f t="shared" si="165"/>
        <v>1.7568302027094469</v>
      </c>
      <c r="X130">
        <f t="shared" si="165"/>
        <v>1.7603657202201632</v>
      </c>
      <c r="Y130">
        <f t="shared" si="165"/>
        <v>1.78811461512838</v>
      </c>
      <c r="Z130">
        <f t="shared" si="165"/>
        <v>1.8194853559551087</v>
      </c>
      <c r="AA130">
        <f t="shared" si="165"/>
        <v>1.8538379054454726</v>
      </c>
      <c r="AB130">
        <f t="shared" si="165"/>
        <v>1.8971240990889036</v>
      </c>
      <c r="AC130">
        <f t="shared" si="165"/>
        <v>1.9497990975789261</v>
      </c>
      <c r="AD130">
        <f t="shared" si="165"/>
        <v>2.0121630412377147</v>
      </c>
      <c r="AE130">
        <f t="shared" si="165"/>
        <v>2.0773265729237975</v>
      </c>
      <c r="AF130">
        <f t="shared" si="165"/>
        <v>2.1482213050080734</v>
      </c>
      <c r="AG130">
        <f t="shared" si="165"/>
        <v>2.2276831162551929</v>
      </c>
      <c r="AH130">
        <f t="shared" si="165"/>
        <v>2.3139933003100257</v>
      </c>
      <c r="AI130">
        <f t="shared" si="165"/>
        <v>2.4052830127724736</v>
      </c>
      <c r="AJ130">
        <f t="shared" si="165"/>
        <v>2.5009972251471657</v>
      </c>
      <c r="AK130">
        <f t="shared" si="165"/>
        <v>2.6024179331332862</v>
      </c>
      <c r="AL130">
        <f t="shared" si="165"/>
        <v>2.7053584554211545</v>
      </c>
      <c r="AM130">
        <f t="shared" si="165"/>
        <v>2.8087264642966212</v>
      </c>
      <c r="AN130">
        <f t="shared" si="165"/>
        <v>3.363746658614982</v>
      </c>
      <c r="AO130">
        <f t="shared" si="165"/>
        <v>4.0310184537847951</v>
      </c>
      <c r="AP130">
        <f t="shared" si="165"/>
        <v>4.7254463507571804</v>
      </c>
      <c r="AQ130">
        <f t="shared" si="165"/>
        <v>5.2914633310126078</v>
      </c>
    </row>
    <row r="131" spans="1:43">
      <c r="A131" s="43" t="str">
        <f>'[4]TS BYDem'!A177</f>
        <v/>
      </c>
      <c r="B131" t="s">
        <v>272</v>
      </c>
      <c r="C131" t="s">
        <v>125</v>
      </c>
      <c r="D131" s="3" t="s">
        <v>344</v>
      </c>
      <c r="E131" t="s">
        <v>125</v>
      </c>
      <c r="F131" t="s">
        <v>125</v>
      </c>
      <c r="G131" t="s">
        <v>125</v>
      </c>
      <c r="I131" t="s">
        <v>125</v>
      </c>
      <c r="J131">
        <v>0</v>
      </c>
      <c r="K131">
        <f>INDEX('[4]TS BYDem'!$J$10:$J$203,MATCH(D131,'[4]TS BYDem'!$D$10:$D$203,0))</f>
        <v>4.3369135374845138</v>
      </c>
      <c r="L131">
        <f t="shared" si="158"/>
        <v>4.457684742423587</v>
      </c>
      <c r="M131">
        <f t="shared" si="158"/>
        <v>4.5430977949211924</v>
      </c>
      <c r="N131" s="165">
        <f t="shared" si="159"/>
        <v>2.351232</v>
      </c>
      <c r="O131" s="165">
        <f t="shared" si="160"/>
        <v>2.351232</v>
      </c>
      <c r="P131" s="292">
        <f>IFERROR(INDEX('BY-DMD'!$I$5:$I$138,MATCH(D131,'BY-DMD'!$H$5:$H$138,0)),"")</f>
        <v>2.351232</v>
      </c>
      <c r="Q131">
        <f t="shared" ref="Q131:AQ131" si="166">Q$125/P$125*P131</f>
        <v>2.3783221813783624</v>
      </c>
      <c r="R131">
        <f t="shared" si="166"/>
        <v>2.3757738207579031</v>
      </c>
      <c r="S131">
        <f t="shared" si="166"/>
        <v>2.2037767845343637</v>
      </c>
      <c r="T131">
        <f t="shared" si="166"/>
        <v>2.37426543508683</v>
      </c>
      <c r="U131">
        <f t="shared" si="166"/>
        <v>2.403884451780264</v>
      </c>
      <c r="V131">
        <f t="shared" si="166"/>
        <v>2.387554301317234</v>
      </c>
      <c r="W131">
        <f t="shared" si="166"/>
        <v>2.39118362886772</v>
      </c>
      <c r="X131">
        <f t="shared" si="166"/>
        <v>2.3959957453592069</v>
      </c>
      <c r="Y131">
        <f t="shared" si="166"/>
        <v>2.4337641666450929</v>
      </c>
      <c r="Z131">
        <f t="shared" si="166"/>
        <v>2.476462204153008</v>
      </c>
      <c r="AA131">
        <f t="shared" si="166"/>
        <v>2.5232187170047009</v>
      </c>
      <c r="AB131">
        <f t="shared" si="166"/>
        <v>2.5821346198828166</v>
      </c>
      <c r="AC131">
        <f t="shared" si="166"/>
        <v>2.6538294221726</v>
      </c>
      <c r="AD131">
        <f t="shared" si="166"/>
        <v>2.7387116383813952</v>
      </c>
      <c r="AE131">
        <f t="shared" si="166"/>
        <v>2.8274043133631075</v>
      </c>
      <c r="AF131">
        <f t="shared" si="166"/>
        <v>2.9238976013720683</v>
      </c>
      <c r="AG131">
        <f t="shared" si="166"/>
        <v>3.0320513557196729</v>
      </c>
      <c r="AH131">
        <f t="shared" si="166"/>
        <v>3.1495262823222459</v>
      </c>
      <c r="AI131">
        <f t="shared" si="166"/>
        <v>3.2737787374471585</v>
      </c>
      <c r="AJ131">
        <f t="shared" si="166"/>
        <v>3.4040532838019284</v>
      </c>
      <c r="AK131">
        <f t="shared" si="166"/>
        <v>3.5420948180324814</v>
      </c>
      <c r="AL131">
        <f t="shared" si="166"/>
        <v>3.6822049386703339</v>
      </c>
      <c r="AM131">
        <f t="shared" si="166"/>
        <v>3.8228969020658128</v>
      </c>
      <c r="AN131">
        <f t="shared" si="166"/>
        <v>4.5783228961648774</v>
      </c>
      <c r="AO131">
        <f t="shared" si="166"/>
        <v>5.4865321187491016</v>
      </c>
      <c r="AP131">
        <f t="shared" si="166"/>
        <v>6.4317029247316704</v>
      </c>
      <c r="AQ131">
        <f t="shared" si="166"/>
        <v>7.2020964065608082</v>
      </c>
    </row>
    <row r="132" spans="1:43">
      <c r="A132" s="43" t="str">
        <f>'[4]TS BYDem'!A178</f>
        <v/>
      </c>
      <c r="B132" t="s">
        <v>272</v>
      </c>
      <c r="C132" t="s">
        <v>125</v>
      </c>
      <c r="D132" s="3" t="s">
        <v>339</v>
      </c>
      <c r="E132" t="s">
        <v>125</v>
      </c>
      <c r="F132" t="s">
        <v>125</v>
      </c>
      <c r="G132" t="s">
        <v>125</v>
      </c>
      <c r="I132" t="s">
        <v>125</v>
      </c>
      <c r="J132">
        <v>0</v>
      </c>
      <c r="K132">
        <f>INDEX('[4]TS BYDem'!$J$10:$J$203,MATCH(D132,'[4]TS BYDem'!$D$10:$D$203,0))</f>
        <v>1.8465243407674456</v>
      </c>
      <c r="L132">
        <f t="shared" si="158"/>
        <v>1.8979450037934282</v>
      </c>
      <c r="M132">
        <f t="shared" si="158"/>
        <v>1.9343112534529856</v>
      </c>
      <c r="N132" s="165">
        <f t="shared" si="159"/>
        <v>1.0010822399999999</v>
      </c>
      <c r="O132" s="165">
        <f t="shared" si="160"/>
        <v>1.0010822399999999</v>
      </c>
      <c r="P132" s="292">
        <f>IFERROR(INDEX('BY-DMD'!$I$5:$I$138,MATCH(D132,'BY-DMD'!$H$5:$H$138,0)),"")</f>
        <v>1.0010822399999999</v>
      </c>
      <c r="Q132">
        <f t="shared" ref="Q132:AQ132" si="167">Q$125/P$125*P132</f>
        <v>1.0126164056868643</v>
      </c>
      <c r="R132">
        <f t="shared" si="167"/>
        <v>1.0115313921457687</v>
      </c>
      <c r="S132">
        <f t="shared" si="167"/>
        <v>0.93830034633828474</v>
      </c>
      <c r="T132">
        <f t="shared" si="167"/>
        <v>1.0108891679388925</v>
      </c>
      <c r="U132">
        <f t="shared" si="167"/>
        <v>1.0235000338925968</v>
      </c>
      <c r="V132">
        <f t="shared" si="167"/>
        <v>1.0165471582916068</v>
      </c>
      <c r="W132">
        <f t="shared" si="167"/>
        <v>1.0180924142909868</v>
      </c>
      <c r="X132">
        <f t="shared" si="167"/>
        <v>1.0201412654279391</v>
      </c>
      <c r="Y132">
        <f t="shared" si="167"/>
        <v>1.0362218971061989</v>
      </c>
      <c r="Z132">
        <f t="shared" si="167"/>
        <v>1.0544014076912998</v>
      </c>
      <c r="AA132">
        <f t="shared" si="167"/>
        <v>1.0743088922016166</v>
      </c>
      <c r="AB132">
        <f t="shared" si="167"/>
        <v>1.0993934708501067</v>
      </c>
      <c r="AC132">
        <f t="shared" si="167"/>
        <v>1.1299189116711799</v>
      </c>
      <c r="AD132">
        <f t="shared" si="167"/>
        <v>1.166059147572386</v>
      </c>
      <c r="AE132">
        <f t="shared" si="167"/>
        <v>1.2038217595742151</v>
      </c>
      <c r="AF132">
        <f t="shared" si="167"/>
        <v>1.2449056325841841</v>
      </c>
      <c r="AG132">
        <f t="shared" si="167"/>
        <v>1.290954173377568</v>
      </c>
      <c r="AH132">
        <f t="shared" si="167"/>
        <v>1.3409713825118175</v>
      </c>
      <c r="AI132">
        <f t="shared" si="167"/>
        <v>1.3938742547515399</v>
      </c>
      <c r="AJ132">
        <f t="shared" si="167"/>
        <v>1.4493411481418208</v>
      </c>
      <c r="AK132">
        <f t="shared" si="167"/>
        <v>1.5081149859853678</v>
      </c>
      <c r="AL132">
        <f t="shared" si="167"/>
        <v>1.5677695642723304</v>
      </c>
      <c r="AM132">
        <f t="shared" si="167"/>
        <v>1.6276718733026363</v>
      </c>
      <c r="AN132">
        <f t="shared" si="167"/>
        <v>1.9493090177132766</v>
      </c>
      <c r="AO132">
        <f t="shared" si="167"/>
        <v>2.3359965597904826</v>
      </c>
      <c r="AP132">
        <f t="shared" si="167"/>
        <v>2.7384212067992149</v>
      </c>
      <c r="AQ132">
        <f t="shared" si="167"/>
        <v>3.0664310469472364</v>
      </c>
    </row>
    <row r="133" spans="1:43">
      <c r="A133" s="43" t="str">
        <f>'[4]TS BYDem'!A179</f>
        <v/>
      </c>
      <c r="B133" t="s">
        <v>272</v>
      </c>
      <c r="C133" t="s">
        <v>125</v>
      </c>
      <c r="D133" s="3" t="s">
        <v>343</v>
      </c>
      <c r="E133" t="s">
        <v>125</v>
      </c>
      <c r="F133" t="s">
        <v>125</v>
      </c>
      <c r="G133" t="s">
        <v>125</v>
      </c>
      <c r="I133" t="s">
        <v>125</v>
      </c>
      <c r="J133">
        <v>0</v>
      </c>
      <c r="K133">
        <f>INDEX('[4]TS BYDem'!$J$10:$J$203,MATCH(D133,'[4]TS BYDem'!$D$10:$D$203,0))</f>
        <v>12.304490923310874</v>
      </c>
      <c r="L133">
        <f t="shared" si="158"/>
        <v>12.647137411908401</v>
      </c>
      <c r="M133">
        <f t="shared" si="158"/>
        <v>12.889467382313724</v>
      </c>
      <c r="N133" s="165">
        <f t="shared" si="159"/>
        <v>6.6708069119999998</v>
      </c>
      <c r="O133" s="165">
        <f t="shared" si="160"/>
        <v>6.6708069119999998</v>
      </c>
      <c r="P133" s="292">
        <f>IFERROR(INDEX('BY-DMD'!$I$5:$I$138,MATCH(D133,'BY-DMD'!$H$5:$H$138,0)),"")</f>
        <v>6.6708069119999998</v>
      </c>
      <c r="Q133">
        <f t="shared" ref="Q133:AQ133" si="168">Q$125/P$125*P133</f>
        <v>6.7476659242906258</v>
      </c>
      <c r="R133">
        <f t="shared" si="168"/>
        <v>6.740435833154903</v>
      </c>
      <c r="S133">
        <f t="shared" si="168"/>
        <v>6.2524537803062259</v>
      </c>
      <c r="T133">
        <f t="shared" si="168"/>
        <v>6.7361563109467344</v>
      </c>
      <c r="U133">
        <f t="shared" si="168"/>
        <v>6.8201900180778052</v>
      </c>
      <c r="V133">
        <f t="shared" si="168"/>
        <v>6.7738588688833481</v>
      </c>
      <c r="W133">
        <f t="shared" si="168"/>
        <v>6.7841558295021622</v>
      </c>
      <c r="X133">
        <f t="shared" si="168"/>
        <v>6.7978085443141243</v>
      </c>
      <c r="Y133">
        <f t="shared" si="168"/>
        <v>6.9049633660285341</v>
      </c>
      <c r="Z133">
        <f t="shared" si="168"/>
        <v>7.0261042673673364</v>
      </c>
      <c r="AA133">
        <f t="shared" si="168"/>
        <v>7.1587596876372581</v>
      </c>
      <c r="AB133">
        <f t="shared" si="168"/>
        <v>7.3259131680875305</v>
      </c>
      <c r="AC133">
        <f t="shared" si="168"/>
        <v>7.5293223521532289</v>
      </c>
      <c r="AD133">
        <f t="shared" si="168"/>
        <v>7.7701462583400742</v>
      </c>
      <c r="AE133">
        <f t="shared" si="168"/>
        <v>8.0217810222901118</v>
      </c>
      <c r="AF133">
        <f t="shared" si="168"/>
        <v>8.2955473254927661</v>
      </c>
      <c r="AG133">
        <f t="shared" si="168"/>
        <v>8.6023961656160495</v>
      </c>
      <c r="AH133">
        <f t="shared" si="168"/>
        <v>8.9356906054531802</v>
      </c>
      <c r="AI133">
        <f t="shared" si="168"/>
        <v>9.2882139364048832</v>
      </c>
      <c r="AJ133">
        <f t="shared" si="168"/>
        <v>9.6578228666512658</v>
      </c>
      <c r="AK133">
        <f t="shared" si="168"/>
        <v>10.049467936422456</v>
      </c>
      <c r="AL133">
        <f t="shared" si="168"/>
        <v>10.446981904075219</v>
      </c>
      <c r="AM133">
        <f t="shared" si="168"/>
        <v>10.846146649145638</v>
      </c>
      <c r="AN133">
        <f t="shared" si="168"/>
        <v>12.989406413788391</v>
      </c>
      <c r="AO133">
        <f t="shared" si="168"/>
        <v>15.566135702755615</v>
      </c>
      <c r="AP133">
        <f t="shared" si="168"/>
        <v>18.247730690221388</v>
      </c>
      <c r="AQ133">
        <f t="shared" si="168"/>
        <v>20.433455520244781</v>
      </c>
    </row>
    <row r="134" spans="1:43">
      <c r="A134" s="43" t="str">
        <f>'[4]TS BYDem'!A180</f>
        <v/>
      </c>
      <c r="B134" t="s">
        <v>272</v>
      </c>
      <c r="C134" t="s">
        <v>125</v>
      </c>
      <c r="D134" s="3" t="s">
        <v>338</v>
      </c>
      <c r="E134" t="s">
        <v>125</v>
      </c>
      <c r="F134" t="s">
        <v>125</v>
      </c>
      <c r="G134" t="s">
        <v>125</v>
      </c>
      <c r="I134" t="s">
        <v>125</v>
      </c>
      <c r="J134">
        <v>0</v>
      </c>
      <c r="K134">
        <f>INDEX('[4]TS BYDem'!$J$10:$J$203,MATCH(D134,'[4]TS BYDem'!$D$10:$D$203,0))</f>
        <v>0.41264064265496897</v>
      </c>
      <c r="L134">
        <f t="shared" si="158"/>
        <v>0.42413155830028743</v>
      </c>
      <c r="M134">
        <f t="shared" si="158"/>
        <v>0.43225828173369424</v>
      </c>
      <c r="N134" s="165">
        <f t="shared" si="159"/>
        <v>0.22371068159999999</v>
      </c>
      <c r="O134" s="165">
        <f t="shared" si="160"/>
        <v>0.22371068159999999</v>
      </c>
      <c r="P134" s="292">
        <f>IFERROR(INDEX('BY-DMD'!$I$5:$I$138,MATCH(D134,'BY-DMD'!$H$5:$H$138,0)),"")</f>
        <v>0.22371068159999999</v>
      </c>
      <c r="Q134">
        <f t="shared" ref="Q134:AQ134" si="169">Q$125/P$125*P134</f>
        <v>0.22628820816514586</v>
      </c>
      <c r="R134">
        <f t="shared" si="169"/>
        <v>0.22604574145349615</v>
      </c>
      <c r="S134">
        <f t="shared" si="169"/>
        <v>0.20968088498388876</v>
      </c>
      <c r="T134">
        <f t="shared" si="169"/>
        <v>0.22590222435837687</v>
      </c>
      <c r="U134">
        <f t="shared" si="169"/>
        <v>0.22872035987746214</v>
      </c>
      <c r="V134">
        <f t="shared" si="169"/>
        <v>0.22716660886917583</v>
      </c>
      <c r="W134">
        <f t="shared" si="169"/>
        <v>0.22751192542665247</v>
      </c>
      <c r="X134">
        <f t="shared" si="169"/>
        <v>0.22796977980267707</v>
      </c>
      <c r="Y134">
        <f t="shared" si="169"/>
        <v>0.23156329982487034</v>
      </c>
      <c r="Z134">
        <f t="shared" si="169"/>
        <v>0.23562585387052726</v>
      </c>
      <c r="AA134">
        <f t="shared" si="169"/>
        <v>0.24007455623562407</v>
      </c>
      <c r="AB134">
        <f t="shared" si="169"/>
        <v>0.24568017779485032</v>
      </c>
      <c r="AC134">
        <f t="shared" si="169"/>
        <v>0.25250166248348366</v>
      </c>
      <c r="AD134">
        <f t="shared" si="169"/>
        <v>0.26057787888568817</v>
      </c>
      <c r="AE134">
        <f t="shared" si="169"/>
        <v>0.26901664578452505</v>
      </c>
      <c r="AF134">
        <f t="shared" si="169"/>
        <v>0.27819761101054685</v>
      </c>
      <c r="AG134">
        <f t="shared" si="169"/>
        <v>0.28848802476074314</v>
      </c>
      <c r="AH134">
        <f t="shared" si="169"/>
        <v>0.29966531220033721</v>
      </c>
      <c r="AI134">
        <f t="shared" si="169"/>
        <v>0.31148745541141443</v>
      </c>
      <c r="AJ134">
        <f t="shared" si="169"/>
        <v>0.32388257744112325</v>
      </c>
      <c r="AK134">
        <f t="shared" si="169"/>
        <v>0.33701669849418253</v>
      </c>
      <c r="AL134">
        <f t="shared" si="169"/>
        <v>0.3503476375877948</v>
      </c>
      <c r="AM134">
        <f t="shared" si="169"/>
        <v>0.36373393678193849</v>
      </c>
      <c r="AN134">
        <f t="shared" si="169"/>
        <v>0.43560981463587178</v>
      </c>
      <c r="AO134">
        <f t="shared" si="169"/>
        <v>0.52202242905236607</v>
      </c>
      <c r="AP134">
        <f t="shared" si="169"/>
        <v>0.61195179596927674</v>
      </c>
      <c r="AQ134">
        <f t="shared" si="169"/>
        <v>0.68525177271346605</v>
      </c>
    </row>
    <row r="135" spans="1:43">
      <c r="A135" s="43" t="str">
        <f>'[4]TS BYDem'!A182</f>
        <v/>
      </c>
      <c r="B135" t="s">
        <v>272</v>
      </c>
      <c r="C135" t="s">
        <v>125</v>
      </c>
      <c r="D135" s="3" t="s">
        <v>345</v>
      </c>
      <c r="E135" t="s">
        <v>125</v>
      </c>
      <c r="F135" t="s">
        <v>125</v>
      </c>
      <c r="G135" t="s">
        <v>125</v>
      </c>
      <c r="I135" t="s">
        <v>125</v>
      </c>
      <c r="J135">
        <v>0</v>
      </c>
      <c r="K135">
        <f>INDEX('[4]TS BYDem'!$J$10:$J$203,MATCH(D135,'[4]TS BYDem'!$D$10:$D$203,0))</f>
        <v>73.690487252999532</v>
      </c>
      <c r="L135">
        <f t="shared" si="158"/>
        <v>75.742566193741837</v>
      </c>
      <c r="M135">
        <f t="shared" si="158"/>
        <v>77.193858547604464</v>
      </c>
      <c r="N135" s="165">
        <f t="shared" ref="N135" si="170">P135</f>
        <v>68.533420800000002</v>
      </c>
      <c r="O135" s="165">
        <f t="shared" ref="O135" si="171">P135</f>
        <v>68.533420800000002</v>
      </c>
      <c r="P135" s="292">
        <f>IFERROR(INDEX('BY-DMD'!$I$5:$I$138,MATCH(D135,'BY-DMD'!$H$5:$H$138,0)),"")</f>
        <v>68.533420800000002</v>
      </c>
      <c r="Q135">
        <f t="shared" ref="Q135:AQ135" si="172">Q$125/P$125*P135</f>
        <v>69.323042070870599</v>
      </c>
      <c r="R135">
        <f t="shared" si="172"/>
        <v>69.248762769316315</v>
      </c>
      <c r="S135">
        <f t="shared" si="172"/>
        <v>64.23541433757471</v>
      </c>
      <c r="T135">
        <f t="shared" si="172"/>
        <v>69.204796529521872</v>
      </c>
      <c r="U135">
        <f t="shared" si="172"/>
        <v>70.068127980749708</v>
      </c>
      <c r="V135">
        <f t="shared" si="172"/>
        <v>69.592138765984785</v>
      </c>
      <c r="W135">
        <f t="shared" si="172"/>
        <v>69.697925958502793</v>
      </c>
      <c r="X135">
        <f t="shared" si="172"/>
        <v>69.838188937421791</v>
      </c>
      <c r="Y135">
        <f t="shared" si="172"/>
        <v>70.939058230174396</v>
      </c>
      <c r="Z135">
        <f t="shared" si="172"/>
        <v>72.18361536952267</v>
      </c>
      <c r="AA135">
        <f t="shared" si="172"/>
        <v>73.546468448421592</v>
      </c>
      <c r="AB135">
        <f t="shared" si="172"/>
        <v>75.263741930476044</v>
      </c>
      <c r="AC135">
        <f t="shared" si="172"/>
        <v>77.353493198959342</v>
      </c>
      <c r="AD135">
        <f t="shared" si="172"/>
        <v>79.827629584426163</v>
      </c>
      <c r="AE135">
        <f t="shared" si="172"/>
        <v>82.412832752977508</v>
      </c>
      <c r="AF135">
        <f t="shared" si="172"/>
        <v>85.22540722946205</v>
      </c>
      <c r="AG135">
        <f t="shared" si="172"/>
        <v>88.377859542889311</v>
      </c>
      <c r="AH135">
        <f t="shared" si="172"/>
        <v>91.802004237374263</v>
      </c>
      <c r="AI135">
        <f t="shared" si="172"/>
        <v>95.423699498628253</v>
      </c>
      <c r="AJ135">
        <f t="shared" si="172"/>
        <v>99.220925933476252</v>
      </c>
      <c r="AK135">
        <f t="shared" si="172"/>
        <v>103.24454357448322</v>
      </c>
      <c r="AL135">
        <f t="shared" si="172"/>
        <v>107.32845611735976</v>
      </c>
      <c r="AM135">
        <f t="shared" si="172"/>
        <v>111.42932814128618</v>
      </c>
      <c r="AN135">
        <f t="shared" si="172"/>
        <v>133.4483919924287</v>
      </c>
      <c r="AO135">
        <f t="shared" si="172"/>
        <v>159.92076257338601</v>
      </c>
      <c r="AP135">
        <f t="shared" si="172"/>
        <v>187.47048483570575</v>
      </c>
      <c r="AQ135">
        <f t="shared" si="172"/>
        <v>209.9258191760743</v>
      </c>
    </row>
    <row r="136" spans="1:43">
      <c r="A136" s="43" t="str">
        <f>'[4]TS BYDem'!A188</f>
        <v/>
      </c>
      <c r="B136" t="s">
        <v>272</v>
      </c>
      <c r="C136" t="s">
        <v>125</v>
      </c>
      <c r="D136" s="3" t="s">
        <v>369</v>
      </c>
      <c r="E136" t="s">
        <v>125</v>
      </c>
      <c r="F136" t="s">
        <v>125</v>
      </c>
      <c r="G136" t="s">
        <v>125</v>
      </c>
      <c r="I136" t="s">
        <v>125</v>
      </c>
      <c r="J136">
        <v>0</v>
      </c>
      <c r="K136">
        <f>INDEX('[4]TS BYDem'!$J$10:$J$203,MATCH(D136,'[4]TS BYDem'!$D$10:$D$203,0))</f>
        <v>9.4685659246785185</v>
      </c>
      <c r="L136">
        <f t="shared" si="158"/>
        <v>9.7322396423777064</v>
      </c>
      <c r="M136">
        <f t="shared" si="158"/>
        <v>9.9187176782923192</v>
      </c>
      <c r="N136" s="165">
        <f t="shared" ref="N136" si="173">P136</f>
        <v>4.2</v>
      </c>
      <c r="O136" s="165">
        <f t="shared" ref="O136" si="174">P136</f>
        <v>4.2</v>
      </c>
      <c r="P136" s="292">
        <f>IFERROR(INDEX('BY-DMD'!$I$5:$I$138,MATCH(D136,'BY-DMD'!$H$5:$H$138,0)),"")</f>
        <v>4.2</v>
      </c>
      <c r="Q136">
        <f t="shared" ref="Q136:AQ136" si="175">Q$125/P$125*P136</f>
        <v>4.2483911250736304</v>
      </c>
      <c r="R136">
        <f t="shared" si="175"/>
        <v>4.2438389946986064</v>
      </c>
      <c r="S136">
        <f t="shared" si="175"/>
        <v>3.9366011074382827</v>
      </c>
      <c r="T136">
        <f t="shared" si="175"/>
        <v>4.2411445690449456</v>
      </c>
      <c r="U136">
        <f t="shared" si="175"/>
        <v>4.2940529464881001</v>
      </c>
      <c r="V136">
        <f t="shared" si="175"/>
        <v>4.2648824384545563</v>
      </c>
      <c r="W136">
        <f t="shared" si="175"/>
        <v>4.2713654974262107</v>
      </c>
      <c r="X136">
        <f t="shared" si="175"/>
        <v>4.2799613694049201</v>
      </c>
      <c r="Y136">
        <f t="shared" si="175"/>
        <v>4.3474270084404214</v>
      </c>
      <c r="Z136">
        <f t="shared" si="175"/>
        <v>4.423698408937371</v>
      </c>
      <c r="AA136">
        <f t="shared" si="175"/>
        <v>4.5072194540648232</v>
      </c>
      <c r="AB136">
        <f t="shared" si="175"/>
        <v>4.6124607880072359</v>
      </c>
      <c r="AC136">
        <f t="shared" si="175"/>
        <v>4.7405290388719274</v>
      </c>
      <c r="AD136">
        <f t="shared" si="175"/>
        <v>4.8921539351292678</v>
      </c>
      <c r="AE136">
        <f t="shared" si="175"/>
        <v>5.0505854446201184</v>
      </c>
      <c r="AF136">
        <f t="shared" si="175"/>
        <v>5.2229511701791589</v>
      </c>
      <c r="AG136">
        <f t="shared" si="175"/>
        <v>5.4161459583837841</v>
      </c>
      <c r="AH136">
        <f t="shared" si="175"/>
        <v>5.6259911339048756</v>
      </c>
      <c r="AI136">
        <f t="shared" si="175"/>
        <v>5.8479429921326611</v>
      </c>
      <c r="AJ136">
        <f t="shared" si="175"/>
        <v>6.0806520972698967</v>
      </c>
      <c r="AK136">
        <f t="shared" si="175"/>
        <v>6.3272353539490851</v>
      </c>
      <c r="AL136">
        <f t="shared" si="175"/>
        <v>6.577513721493836</v>
      </c>
      <c r="AM136">
        <f t="shared" si="175"/>
        <v>6.8288314333406515</v>
      </c>
      <c r="AN136">
        <f t="shared" si="175"/>
        <v>8.1782470483101957</v>
      </c>
      <c r="AO136">
        <f t="shared" si="175"/>
        <v>9.8005789725327901</v>
      </c>
      <c r="AP136">
        <f t="shared" si="175"/>
        <v>11.488935283235769</v>
      </c>
      <c r="AQ136">
        <f t="shared" si="175"/>
        <v>12.865087285114944</v>
      </c>
    </row>
  </sheetData>
  <mergeCells count="1">
    <mergeCell ref="B2:C2"/>
  </mergeCells>
  <conditionalFormatting sqref="B79:AQ90 P92:P102 P126:P136 P115:P124 P104:P113 Q91:AQ136">
    <cfRule type="expression" dxfId="7" priority="23">
      <formula>INDIRECT(ADDRESS(ROW(),1))="*"</formula>
    </cfRule>
  </conditionalFormatting>
  <conditionalFormatting sqref="B92:M102 B91:P91">
    <cfRule type="expression" dxfId="6" priority="19">
      <formula>INDIRECT(ADDRESS(ROW(),1))="*"</formula>
    </cfRule>
  </conditionalFormatting>
  <conditionalFormatting sqref="B104:M113 B103:P103">
    <cfRule type="expression" dxfId="5" priority="18">
      <formula>INDIRECT(ADDRESS(ROW(),1))="*"</formula>
    </cfRule>
  </conditionalFormatting>
  <conditionalFormatting sqref="B115:M124 B114:P114">
    <cfRule type="expression" dxfId="4" priority="16">
      <formula>INDIRECT(ADDRESS(ROW(),1))="*"</formula>
    </cfRule>
  </conditionalFormatting>
  <conditionalFormatting sqref="B131:E131 G131:M131 B126:M130 B132:M136 B125:P125">
    <cfRule type="expression" dxfId="3" priority="14">
      <formula>INDIRECT(ADDRESS(ROW(),1))="*"</formula>
    </cfRule>
  </conditionalFormatting>
  <conditionalFormatting sqref="F131">
    <cfRule type="expression" dxfId="2" priority="13">
      <formula>INDIRECT(ADDRESS(ROW(),1))="*"</formula>
    </cfRule>
  </conditionalFormatting>
  <conditionalFormatting sqref="N92:O100">
    <cfRule type="expression" dxfId="1" priority="2">
      <formula>INDIRECT(ADDRESS(ROW(),1))="*"</formula>
    </cfRule>
  </conditionalFormatting>
  <conditionalFormatting sqref="N126:O136 N115:O124 N104:O113 N101:O10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AY130"/>
  <sheetViews>
    <sheetView topLeftCell="A30" zoomScale="90" zoomScaleNormal="90" workbookViewId="0">
      <selection activeCell="AP45" sqref="AP45:AR45"/>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1" width="17.140625" customWidth="1"/>
    <col min="12" max="12" width="13.140625" customWidth="1"/>
    <col min="13" max="13" width="12.140625" customWidth="1"/>
    <col min="14" max="14" width="13.140625" customWidth="1"/>
    <col min="15" max="15" width="13.140625" bestFit="1" customWidth="1"/>
    <col min="16" max="17" width="13.140625" customWidth="1"/>
    <col min="18" max="19" width="13" customWidth="1"/>
    <col min="20" max="20" width="13" bestFit="1" customWidth="1"/>
    <col min="21" max="24" width="13" customWidth="1"/>
    <col min="25" max="25" width="8.42578125" bestFit="1" customWidth="1"/>
    <col min="26" max="29" width="8.42578125" hidden="1" customWidth="1"/>
    <col min="30" max="30" width="8.42578125" bestFit="1" customWidth="1"/>
    <col min="31" max="34" width="8.42578125" hidden="1" customWidth="1"/>
    <col min="35" max="37" width="8.42578125" bestFit="1" customWidth="1"/>
    <col min="38" max="39" width="8.42578125" customWidth="1"/>
    <col min="40" max="45" width="6.42578125" customWidth="1"/>
    <col min="51" max="51" width="10.42578125" bestFit="1" customWidth="1"/>
  </cols>
  <sheetData>
    <row r="1" spans="1:51">
      <c r="A1" t="str">
        <f>IF(RES,"TS DATA","")</f>
        <v>TS DATA</v>
      </c>
      <c r="B1" t="s">
        <v>17</v>
      </c>
    </row>
    <row r="2" spans="1:51" ht="15.75" thickBot="1">
      <c r="A2" t="s">
        <v>16</v>
      </c>
      <c r="B2" s="369" t="s">
        <v>185</v>
      </c>
      <c r="C2" s="369"/>
      <c r="I2" s="104"/>
      <c r="AY2" t="s">
        <v>279</v>
      </c>
    </row>
    <row r="3" spans="1:51" ht="15.75" thickBot="1">
      <c r="A3" t="s">
        <v>16</v>
      </c>
      <c r="C3" s="13"/>
      <c r="D3" s="13"/>
      <c r="E3" s="9"/>
      <c r="F3" s="9"/>
      <c r="G3" s="9"/>
      <c r="H3" s="9"/>
      <c r="I3" s="128"/>
      <c r="J3" s="40"/>
      <c r="K3" s="40"/>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376</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377</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375</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378</v>
      </c>
      <c r="I7" s="104"/>
      <c r="L7" s="2">
        <f t="shared" ref="L7:AM7" si="4">IF(ISNA(L4),-1,IF(ISNA(L6),99,IF(ISNA(L5),L4,0)))</f>
        <v>0</v>
      </c>
      <c r="M7" s="2">
        <f t="shared" si="4"/>
        <v>1</v>
      </c>
      <c r="N7" s="2">
        <f t="shared" si="4"/>
        <v>1</v>
      </c>
      <c r="O7" s="2">
        <f t="shared" si="4"/>
        <v>0</v>
      </c>
      <c r="P7" s="2">
        <f t="shared" si="4"/>
        <v>2</v>
      </c>
      <c r="Q7" s="2">
        <f t="shared" si="4"/>
        <v>2</v>
      </c>
      <c r="R7" s="2">
        <f t="shared" si="4"/>
        <v>2</v>
      </c>
      <c r="S7" s="2">
        <f t="shared" si="4"/>
        <v>2</v>
      </c>
      <c r="T7" s="2">
        <f t="shared" si="4"/>
        <v>2</v>
      </c>
      <c r="U7" s="2">
        <f t="shared" si="4"/>
        <v>2</v>
      </c>
      <c r="V7" s="2">
        <f t="shared" si="4"/>
        <v>2</v>
      </c>
      <c r="W7" s="2">
        <f t="shared" si="4"/>
        <v>2</v>
      </c>
      <c r="X7" s="2">
        <f t="shared" si="4"/>
        <v>2</v>
      </c>
      <c r="Y7" s="2">
        <f t="shared" si="4"/>
        <v>0</v>
      </c>
      <c r="Z7" s="2">
        <f t="shared" si="4"/>
        <v>3</v>
      </c>
      <c r="AA7" s="2">
        <f t="shared" si="4"/>
        <v>3</v>
      </c>
      <c r="AB7" s="2">
        <f t="shared" si="4"/>
        <v>3</v>
      </c>
      <c r="AC7" s="2">
        <f t="shared" si="4"/>
        <v>3</v>
      </c>
      <c r="AD7" s="2">
        <f t="shared" si="4"/>
        <v>3</v>
      </c>
      <c r="AE7" s="2">
        <f t="shared" si="4"/>
        <v>3</v>
      </c>
      <c r="AF7" s="2">
        <f t="shared" si="4"/>
        <v>3</v>
      </c>
      <c r="AG7" s="2">
        <f t="shared" si="4"/>
        <v>3</v>
      </c>
      <c r="AH7" s="2">
        <f t="shared" si="4"/>
        <v>3</v>
      </c>
      <c r="AI7" s="2">
        <f t="shared" si="4"/>
        <v>0</v>
      </c>
      <c r="AJ7" s="2">
        <f t="shared" si="4"/>
        <v>4</v>
      </c>
      <c r="AK7" s="2">
        <f t="shared" si="4"/>
        <v>0</v>
      </c>
      <c r="AL7" s="2">
        <f t="shared" si="4"/>
        <v>0</v>
      </c>
      <c r="AM7" s="2">
        <f t="shared" si="4"/>
        <v>0</v>
      </c>
      <c r="AN7" s="2"/>
      <c r="AO7" s="2"/>
      <c r="AP7" s="2"/>
      <c r="AQ7" s="2"/>
      <c r="AR7" s="2"/>
      <c r="AS7" s="2"/>
    </row>
    <row r="8" spans="1:51" ht="15.75" thickBot="1">
      <c r="A8" t="s">
        <v>16</v>
      </c>
      <c r="B8" s="13"/>
      <c r="C8" s="13" t="s">
        <v>35</v>
      </c>
      <c r="D8" s="13"/>
      <c r="I8" s="104"/>
    </row>
    <row r="9" spans="1:51">
      <c r="A9" t="s">
        <v>16</v>
      </c>
      <c r="C9" t="s">
        <v>32</v>
      </c>
      <c r="D9" t="s">
        <v>38</v>
      </c>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51">
      <c r="A10" t="s">
        <v>16</v>
      </c>
      <c r="C10" t="s">
        <v>33</v>
      </c>
      <c r="D10" t="s">
        <v>38</v>
      </c>
    </row>
    <row r="11" spans="1:51">
      <c r="A11" t="s">
        <v>16</v>
      </c>
      <c r="C11" t="s">
        <v>34</v>
      </c>
      <c r="D11" t="s">
        <v>38</v>
      </c>
    </row>
    <row r="12" spans="1:51">
      <c r="A12" t="s">
        <v>16</v>
      </c>
    </row>
    <row r="13" spans="1:51" ht="18" thickBot="1">
      <c r="A13" t="s">
        <v>16</v>
      </c>
      <c r="B13" s="18"/>
      <c r="C13" s="28" t="s">
        <v>31</v>
      </c>
    </row>
    <row r="14" spans="1:51" ht="16.5" thickTop="1" thickBot="1">
      <c r="A14" t="s">
        <v>16</v>
      </c>
      <c r="C14" s="13" t="s">
        <v>37</v>
      </c>
      <c r="D14" t="s">
        <v>38</v>
      </c>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row>
    <row r="15" spans="1:51">
      <c r="A15" t="s">
        <v>16</v>
      </c>
    </row>
    <row r="16" spans="1:51" ht="15.75" thickBot="1">
      <c r="A16" t="s">
        <v>16</v>
      </c>
      <c r="C16" s="13" t="s">
        <v>48</v>
      </c>
      <c r="D16" s="13"/>
    </row>
    <row r="17" spans="1:45">
      <c r="A17" t="s">
        <v>16</v>
      </c>
      <c r="C17" t="s">
        <v>40</v>
      </c>
      <c r="D17" t="s">
        <v>39</v>
      </c>
      <c r="E17">
        <f>E22/$E$25</f>
        <v>0.4556701030927835</v>
      </c>
      <c r="F17">
        <f>F22/$F$25</f>
        <v>0.46414111634904792</v>
      </c>
      <c r="L17" s="164">
        <f t="shared" ref="L17:AM17" si="5">L22/L$25</f>
        <v>0.4556701030927835</v>
      </c>
      <c r="M17" s="164">
        <f t="shared" si="5"/>
        <v>0.44755970924195232</v>
      </c>
      <c r="N17" s="164">
        <f t="shared" si="5"/>
        <v>0.44456066945606693</v>
      </c>
      <c r="O17" s="164">
        <f t="shared" si="5"/>
        <v>0.46414111634904792</v>
      </c>
      <c r="P17" s="164">
        <f t="shared" si="5"/>
        <v>0.46227119237511016</v>
      </c>
      <c r="Q17" s="164">
        <f t="shared" si="5"/>
        <v>0.45384023967034143</v>
      </c>
      <c r="R17" s="164">
        <f t="shared" si="5"/>
        <v>0.4530506193635141</v>
      </c>
      <c r="S17" s="164">
        <f t="shared" si="5"/>
        <v>0.4492123756297739</v>
      </c>
      <c r="T17" s="164">
        <f t="shared" si="5"/>
        <v>0.44506077484649087</v>
      </c>
      <c r="U17" s="164">
        <f t="shared" si="5"/>
        <v>0.44048019500661473</v>
      </c>
      <c r="V17" s="164">
        <f t="shared" si="5"/>
        <v>0.43534996792463587</v>
      </c>
      <c r="W17" s="164">
        <f t="shared" si="5"/>
        <v>0.42993618539113665</v>
      </c>
      <c r="X17" s="164">
        <f t="shared" si="5"/>
        <v>0.42371952259311868</v>
      </c>
      <c r="Y17" s="164">
        <f t="shared" si="5"/>
        <v>0.41657241965867214</v>
      </c>
      <c r="Z17" s="164">
        <f t="shared" si="5"/>
        <v>0.40909885956028302</v>
      </c>
      <c r="AA17" s="164">
        <f t="shared" si="5"/>
        <v>0.40185565007277846</v>
      </c>
      <c r="AB17" s="164">
        <f t="shared" si="5"/>
        <v>0.39482416004663062</v>
      </c>
      <c r="AC17" s="164">
        <f t="shared" si="5"/>
        <v>0.38744915622957621</v>
      </c>
      <c r="AD17" s="164">
        <f t="shared" si="5"/>
        <v>0.3800592435396562</v>
      </c>
      <c r="AE17" s="164">
        <f t="shared" si="5"/>
        <v>0.37316446554873905</v>
      </c>
      <c r="AF17" s="164">
        <f t="shared" si="5"/>
        <v>0.36622575390923512</v>
      </c>
      <c r="AG17" s="164">
        <f t="shared" si="5"/>
        <v>0.35954615135165829</v>
      </c>
      <c r="AH17" s="164">
        <f t="shared" si="5"/>
        <v>0.35352413753940543</v>
      </c>
      <c r="AI17" s="164">
        <f t="shared" si="5"/>
        <v>0.34790997115201444</v>
      </c>
      <c r="AJ17" s="164">
        <f t="shared" si="5"/>
        <v>0.31298090329354977</v>
      </c>
      <c r="AK17" s="164">
        <f t="shared" si="5"/>
        <v>0.27905600345837911</v>
      </c>
      <c r="AL17" s="164">
        <f t="shared" si="5"/>
        <v>0.24552291570350168</v>
      </c>
      <c r="AM17" s="164">
        <f t="shared" si="5"/>
        <v>0.21188609489452762</v>
      </c>
      <c r="AN17" s="164"/>
      <c r="AO17" s="164"/>
      <c r="AP17" s="164"/>
      <c r="AQ17" s="164"/>
      <c r="AR17" s="164"/>
      <c r="AS17" s="164"/>
    </row>
    <row r="18" spans="1:45">
      <c r="A18" t="s">
        <v>16</v>
      </c>
      <c r="C18" t="s">
        <v>42</v>
      </c>
      <c r="D18" t="s">
        <v>39</v>
      </c>
      <c r="E18">
        <f>E23/$E$25</f>
        <v>0.30824742268041239</v>
      </c>
      <c r="F18">
        <f>F23/$F$25</f>
        <v>0.33198982627744406</v>
      </c>
      <c r="L18" s="164">
        <f t="shared" ref="L18:AM18" si="6">L23/L$25</f>
        <v>0.30824742268041239</v>
      </c>
      <c r="M18" s="164">
        <f t="shared" si="6"/>
        <v>0.31152647975077885</v>
      </c>
      <c r="N18" s="164">
        <f t="shared" si="6"/>
        <v>0.31485355648535562</v>
      </c>
      <c r="O18" s="164">
        <f t="shared" si="6"/>
        <v>0.33198982627744406</v>
      </c>
      <c r="P18" s="164">
        <f t="shared" si="6"/>
        <v>0.30936026689417667</v>
      </c>
      <c r="Q18" s="164">
        <f t="shared" si="6"/>
        <v>0.31355024567841444</v>
      </c>
      <c r="R18" s="164">
        <f t="shared" si="6"/>
        <v>0.31388781690524703</v>
      </c>
      <c r="S18" s="164">
        <f t="shared" si="6"/>
        <v>0.31543894410094331</v>
      </c>
      <c r="T18" s="164">
        <f t="shared" si="6"/>
        <v>0.31721983743486931</v>
      </c>
      <c r="U18" s="164">
        <f t="shared" si="6"/>
        <v>0.31883263902169873</v>
      </c>
      <c r="V18" s="164">
        <f t="shared" si="6"/>
        <v>0.32078866718521404</v>
      </c>
      <c r="W18" s="164">
        <f t="shared" si="6"/>
        <v>0.32280939346620441</v>
      </c>
      <c r="X18" s="164">
        <f t="shared" si="6"/>
        <v>0.32497598023764895</v>
      </c>
      <c r="Y18" s="164">
        <f t="shared" si="6"/>
        <v>0.32775482993460558</v>
      </c>
      <c r="Z18" s="164">
        <f t="shared" si="6"/>
        <v>0.33022222974356419</v>
      </c>
      <c r="AA18" s="164">
        <f t="shared" si="6"/>
        <v>0.332708026046104</v>
      </c>
      <c r="AB18" s="164">
        <f t="shared" si="6"/>
        <v>0.33507942725265366</v>
      </c>
      <c r="AC18" s="164">
        <f t="shared" si="6"/>
        <v>0.33755833542625679</v>
      </c>
      <c r="AD18" s="164">
        <f t="shared" si="6"/>
        <v>0.34023069208670387</v>
      </c>
      <c r="AE18" s="164">
        <f t="shared" si="6"/>
        <v>0.34209365651908852</v>
      </c>
      <c r="AF18" s="164">
        <f t="shared" si="6"/>
        <v>0.34372879918296723</v>
      </c>
      <c r="AG18" s="164">
        <f t="shared" si="6"/>
        <v>0.34562071119418153</v>
      </c>
      <c r="AH18" s="164">
        <f t="shared" si="6"/>
        <v>0.34714667279971567</v>
      </c>
      <c r="AI18" s="164">
        <f t="shared" si="6"/>
        <v>0.34858040550949743</v>
      </c>
      <c r="AJ18" s="164">
        <f t="shared" si="6"/>
        <v>0.36410706909886797</v>
      </c>
      <c r="AK18" s="164">
        <f t="shared" si="6"/>
        <v>0.38027781250126996</v>
      </c>
      <c r="AL18" s="164">
        <f t="shared" si="6"/>
        <v>0.39561454073212232</v>
      </c>
      <c r="AM18" s="164">
        <f t="shared" si="6"/>
        <v>0.41121086368233956</v>
      </c>
      <c r="AN18" s="164"/>
      <c r="AO18" s="164"/>
      <c r="AP18" s="164"/>
      <c r="AQ18" s="164"/>
      <c r="AR18" s="164"/>
      <c r="AS18" s="164"/>
    </row>
    <row r="19" spans="1:45">
      <c r="A19" t="s">
        <v>16</v>
      </c>
      <c r="C19" t="s">
        <v>41</v>
      </c>
      <c r="D19" t="s">
        <v>39</v>
      </c>
      <c r="E19">
        <f>E24/$E$25</f>
        <v>0.23608247422680412</v>
      </c>
      <c r="F19">
        <f>F24/$F$25</f>
        <v>0.20386905737350788</v>
      </c>
      <c r="L19" s="164">
        <f t="shared" ref="L19:AM19" si="7">L24/L$25</f>
        <v>0.23608247422680412</v>
      </c>
      <c r="M19" s="164">
        <f t="shared" si="7"/>
        <v>0.24091381100726891</v>
      </c>
      <c r="N19" s="164">
        <f t="shared" si="7"/>
        <v>0.24058577405857745</v>
      </c>
      <c r="O19" s="164">
        <f t="shared" si="7"/>
        <v>0.20386905737350788</v>
      </c>
      <c r="P19" s="164">
        <f t="shared" si="7"/>
        <v>0.22836854073071303</v>
      </c>
      <c r="Q19" s="164">
        <f t="shared" si="7"/>
        <v>0.23260951465124416</v>
      </c>
      <c r="R19" s="164">
        <f t="shared" si="7"/>
        <v>0.23306156373123887</v>
      </c>
      <c r="S19" s="164">
        <f t="shared" si="7"/>
        <v>0.23534868026928282</v>
      </c>
      <c r="T19" s="164">
        <f t="shared" si="7"/>
        <v>0.23771938771863979</v>
      </c>
      <c r="U19" s="164">
        <f t="shared" si="7"/>
        <v>0.2406871659716866</v>
      </c>
      <c r="V19" s="164">
        <f t="shared" si="7"/>
        <v>0.24386136489015012</v>
      </c>
      <c r="W19" s="164">
        <f t="shared" si="7"/>
        <v>0.24725442114265897</v>
      </c>
      <c r="X19" s="164">
        <f t="shared" si="7"/>
        <v>0.25130449716923237</v>
      </c>
      <c r="Y19" s="164">
        <f t="shared" si="7"/>
        <v>0.25567275040672227</v>
      </c>
      <c r="Z19" s="164">
        <f t="shared" si="7"/>
        <v>0.26067891069615279</v>
      </c>
      <c r="AA19" s="164">
        <f t="shared" si="7"/>
        <v>0.2654363238811176</v>
      </c>
      <c r="AB19" s="164">
        <f t="shared" si="7"/>
        <v>0.27009641270071577</v>
      </c>
      <c r="AC19" s="164">
        <f t="shared" si="7"/>
        <v>0.274992508344167</v>
      </c>
      <c r="AD19" s="164">
        <f t="shared" si="7"/>
        <v>0.27971006437363993</v>
      </c>
      <c r="AE19" s="164">
        <f t="shared" si="7"/>
        <v>0.28474187793217243</v>
      </c>
      <c r="AF19" s="164">
        <f t="shared" si="7"/>
        <v>0.29004544690779771</v>
      </c>
      <c r="AG19" s="164">
        <f t="shared" si="7"/>
        <v>0.29483313745416012</v>
      </c>
      <c r="AH19" s="164">
        <f t="shared" si="7"/>
        <v>0.29932918966087901</v>
      </c>
      <c r="AI19" s="164">
        <f t="shared" si="7"/>
        <v>0.30350962333848813</v>
      </c>
      <c r="AJ19" s="164">
        <f t="shared" si="7"/>
        <v>0.32291202760758225</v>
      </c>
      <c r="AK19" s="164">
        <f t="shared" si="7"/>
        <v>0.34066618404035093</v>
      </c>
      <c r="AL19" s="164">
        <f t="shared" si="7"/>
        <v>0.35886254356437591</v>
      </c>
      <c r="AM19" s="164">
        <f t="shared" si="7"/>
        <v>0.37690304142313291</v>
      </c>
      <c r="AN19" s="164"/>
      <c r="AO19" s="164"/>
      <c r="AP19" s="164"/>
      <c r="AQ19" s="164"/>
      <c r="AR19" s="164"/>
      <c r="AS19" s="164"/>
    </row>
    <row r="20" spans="1:45">
      <c r="A20" t="s">
        <v>16</v>
      </c>
      <c r="N20" s="2"/>
    </row>
    <row r="21" spans="1:45" ht="15.75" thickBot="1">
      <c r="A21" t="s">
        <v>16</v>
      </c>
      <c r="B21" s="13" t="s">
        <v>47</v>
      </c>
      <c r="D21" s="13"/>
      <c r="E21">
        <v>2017</v>
      </c>
      <c r="F21">
        <v>2020</v>
      </c>
      <c r="G21">
        <v>2030</v>
      </c>
      <c r="H21">
        <v>2040</v>
      </c>
      <c r="I21">
        <v>2050</v>
      </c>
      <c r="J21">
        <v>2060</v>
      </c>
      <c r="K21">
        <v>2070</v>
      </c>
      <c r="L21" s="31">
        <f>MATCH(L3,Drivers!$C$5:$AG$5,0)</f>
        <v>6</v>
      </c>
      <c r="M21" s="31">
        <f>MATCH(M3,Drivers!$C$5:$AG$5,0)</f>
        <v>7</v>
      </c>
      <c r="N21" s="31">
        <f>MATCH(N3,Drivers!$C$5:$AG$5,0)</f>
        <v>8</v>
      </c>
      <c r="O21" s="31">
        <f>MATCH(O3,Drivers!$C$5:$AG$5,0)</f>
        <v>9</v>
      </c>
      <c r="P21" s="31">
        <f>MATCH(P3,Drivers!$C$5:$AG$5,0)</f>
        <v>10</v>
      </c>
      <c r="Q21" s="31">
        <f>MATCH(Q3,Drivers!$C$5:$AG$5,0)</f>
        <v>11</v>
      </c>
      <c r="R21" s="31">
        <f>MATCH(R3,Drivers!$C$5:$AG$5,0)</f>
        <v>12</v>
      </c>
      <c r="S21" s="31">
        <f>MATCH(S3,Drivers!$C$5:$AG$5,0)</f>
        <v>13</v>
      </c>
      <c r="T21" s="31">
        <f>MATCH(T3,Drivers!$C$5:$AG$5,0)</f>
        <v>14</v>
      </c>
      <c r="U21" s="31">
        <f>MATCH(U3,Drivers!$C$5:$AG$5,0)</f>
        <v>15</v>
      </c>
      <c r="V21" s="31">
        <f>MATCH(V3,Drivers!$C$5:$AG$5,0)</f>
        <v>16</v>
      </c>
      <c r="W21" s="31">
        <f>MATCH(W3,Drivers!$C$5:$AG$5,0)</f>
        <v>17</v>
      </c>
      <c r="X21" s="31">
        <f>MATCH(X3,Drivers!$C$5:$AG$5,0)</f>
        <v>18</v>
      </c>
      <c r="Y21" s="31">
        <f>MATCH(Y3,Drivers!$C$5:$AG$5,0)</f>
        <v>19</v>
      </c>
      <c r="Z21" s="31">
        <f>MATCH(Z3,Drivers!$C$5:$AG$5,0)</f>
        <v>20</v>
      </c>
      <c r="AA21" s="31">
        <f>MATCH(AA3,Drivers!$C$5:$AG$5,0)</f>
        <v>21</v>
      </c>
      <c r="AB21" s="31">
        <f>MATCH(AB3,Drivers!$C$5:$AG$5,0)</f>
        <v>22</v>
      </c>
      <c r="AC21" s="31">
        <f>MATCH(AC3,Drivers!$C$5:$AG$5,0)</f>
        <v>23</v>
      </c>
      <c r="AD21" s="31">
        <f>MATCH(AD3,Drivers!$C$5:$AG$5,0)</f>
        <v>24</v>
      </c>
      <c r="AE21" s="31">
        <f>MATCH(AE3,Drivers!$C$5:$AG$5,0)</f>
        <v>25</v>
      </c>
      <c r="AF21" s="31">
        <f>MATCH(AF3,Drivers!$C$5:$AG$5,0)</f>
        <v>26</v>
      </c>
      <c r="AG21" s="31">
        <f>MATCH(AG3,Drivers!$C$5:$AG$5,0)</f>
        <v>27</v>
      </c>
      <c r="AH21" s="31">
        <f>MATCH(AH3,Drivers!$C$5:$AG$5,0)</f>
        <v>28</v>
      </c>
      <c r="AI21" s="31">
        <f>MATCH(AI3,Drivers!$C$5:$AG$5,0)</f>
        <v>29</v>
      </c>
      <c r="AJ21" s="31">
        <f>MATCH(AJ3,Drivers!$C$5:$AG$5,0)</f>
        <v>30</v>
      </c>
      <c r="AK21" s="31">
        <f>MATCH(AK3,Drivers!$C$5:$AG$5,0)</f>
        <v>31</v>
      </c>
      <c r="AL21" s="4">
        <f>AK21+1</f>
        <v>32</v>
      </c>
      <c r="AM21" s="4">
        <f>AL21+1</f>
        <v>33</v>
      </c>
      <c r="AN21" s="4"/>
      <c r="AO21" s="4"/>
      <c r="AP21" s="4"/>
      <c r="AQ21" s="4"/>
      <c r="AR21" s="4"/>
      <c r="AS21" s="4"/>
    </row>
    <row r="22" spans="1:45">
      <c r="A22" t="s">
        <v>16</v>
      </c>
      <c r="B22">
        <v>1</v>
      </c>
      <c r="C22" t="s">
        <v>7</v>
      </c>
      <c r="D22" t="s">
        <v>38</v>
      </c>
      <c r="E22" s="6">
        <f t="shared" ref="E22:K24" si="8">SUMIF($L$3:$AS$3,E$21,$L22:$AS22)</f>
        <v>25.755361891142741</v>
      </c>
      <c r="F22" s="6">
        <f t="shared" si="8"/>
        <v>26.998265626975765</v>
      </c>
      <c r="G22" s="6">
        <f t="shared" si="8"/>
        <v>26.935271889842749</v>
      </c>
      <c r="H22" s="6">
        <f t="shared" si="8"/>
        <v>24.254173810563351</v>
      </c>
      <c r="I22" s="17">
        <f t="shared" si="8"/>
        <v>20.518919007461761</v>
      </c>
      <c r="J22" s="17">
        <f t="shared" si="8"/>
        <v>18.36488084785201</v>
      </c>
      <c r="K22" s="17">
        <f t="shared" si="8"/>
        <v>16.031979551451432</v>
      </c>
      <c r="L22" s="6" cm="1">
        <f t="array" ref="L22">INDEX(Drivers!$C$34:$AG$36,$B22,L$21)</f>
        <v>25.755361891142741</v>
      </c>
      <c r="M22" s="6" cm="1">
        <f t="array" ref="M22">INDEX(Drivers!$C$34:$AG$36,$B22,M$21)</f>
        <v>25.706039736299225</v>
      </c>
      <c r="N22" s="6" cm="1">
        <f t="array" ref="N22">INDEX(Drivers!$C$34:$AG$36,$B22,N$21)</f>
        <v>25.946710085536886</v>
      </c>
      <c r="O22" s="6" cm="1">
        <f t="array" ref="O22">INDEX(Drivers!$C$34:$AG$36,$B22,O$21)</f>
        <v>26.998265626975765</v>
      </c>
      <c r="P22" s="6" cm="1">
        <f t="array" ref="P22">INDEX(Drivers!$C$34:$AG$36,$B22,P$21)</f>
        <v>27.455328536696602</v>
      </c>
      <c r="Q22" s="6" cm="1">
        <f t="array" ref="Q22">INDEX(Drivers!$C$34:$AG$36,$B22,Q$21)</f>
        <v>27.182255123187865</v>
      </c>
      <c r="R22" s="6" cm="1">
        <f t="array" ref="R22">INDEX(Drivers!$C$34:$AG$36,$B22,R$21)</f>
        <v>27.370824378283928</v>
      </c>
      <c r="S22" s="6" cm="1">
        <f t="array" ref="S22">INDEX(Drivers!$C$34:$AG$36,$B22,S$21)</f>
        <v>27.411038436863816</v>
      </c>
      <c r="T22" s="6" cm="1">
        <f t="array" ref="T22">INDEX(Drivers!$C$34:$AG$36,$B22,T$21)</f>
        <v>27.448269217030397</v>
      </c>
      <c r="U22" s="6" cm="1">
        <f t="array" ref="U22">INDEX(Drivers!$C$34:$AG$36,$B22,U$21)</f>
        <v>27.444135728614732</v>
      </c>
      <c r="V22" s="6" cm="1">
        <f t="array" ref="V22">INDEX(Drivers!$C$34:$AG$36,$B22,V$21)</f>
        <v>27.391748062452859</v>
      </c>
      <c r="W22" s="6" cm="1">
        <f t="array" ref="W22">INDEX(Drivers!$C$34:$AG$36,$B22,W$21)</f>
        <v>27.30718270689772</v>
      </c>
      <c r="X22" s="6" cm="1">
        <f t="array" ref="X22">INDEX(Drivers!$C$34:$AG$36,$B22,X$21)</f>
        <v>27.157765524251296</v>
      </c>
      <c r="Y22" s="6" cm="1">
        <f t="array" ref="Y22">INDEX(Drivers!$C$34:$AG$36,$B22,Y$21)</f>
        <v>26.935271889842749</v>
      </c>
      <c r="Z22" s="6" cm="1">
        <f t="array" ref="Z22">INDEX(Drivers!$C$34:$AG$36,$B22,Z$21)</f>
        <v>26.677960916785743</v>
      </c>
      <c r="AA22" s="6" cm="1">
        <f t="array" ref="AA22">INDEX(Drivers!$C$34:$AG$36,$B22,AA$21)</f>
        <v>26.423184018205994</v>
      </c>
      <c r="AB22" s="6" cm="1">
        <f t="array" ref="AB22">INDEX(Drivers!$C$34:$AG$36,$B22,AB$21)</f>
        <v>26.170599246297112</v>
      </c>
      <c r="AC22" s="6" cm="1">
        <f t="array" ref="AC22">INDEX(Drivers!$C$34:$AG$36,$B22,AC$21)</f>
        <v>25.883218136769703</v>
      </c>
      <c r="AD22" s="6" cm="1">
        <f t="array" ref="AD22">INDEX(Drivers!$C$34:$AG$36,$B22,AD$21)</f>
        <v>25.583358467507807</v>
      </c>
      <c r="AE22" s="6" cm="1">
        <f t="array" ref="AE22">INDEX(Drivers!$C$34:$AG$36,$B22,AE$21)</f>
        <v>25.306496393634095</v>
      </c>
      <c r="AF22" s="6" cm="1">
        <f t="array" ref="AF22">INDEX(Drivers!$C$34:$AG$36,$B22,AF$21)</f>
        <v>25.016238889567493</v>
      </c>
      <c r="AG22" s="6" cm="1">
        <f t="array" ref="AG22">INDEX(Drivers!$C$34:$AG$36,$B22,AG$21)</f>
        <v>24.73263863452279</v>
      </c>
      <c r="AH22" s="6" cm="1">
        <f t="array" ref="AH22">INDEX(Drivers!$C$34:$AG$36,$B22,AH$21)</f>
        <v>24.483958619794251</v>
      </c>
      <c r="AI22" s="6" cm="1">
        <f t="array" ref="AI22">INDEX(Drivers!$C$34:$AG$36,$B22,AI$21)</f>
        <v>24.254173810563351</v>
      </c>
      <c r="AJ22" s="6" cm="1">
        <f t="array" ref="AJ22">INDEX(Drivers!$C$34:$AG$36,$B22,AJ$21)</f>
        <v>22.477099460091136</v>
      </c>
      <c r="AK22" s="6" cm="1">
        <f t="array" ref="AK22">INDEX(Drivers!$C$34:$AK$36,$B22,AK$21)</f>
        <v>20.518919007461761</v>
      </c>
      <c r="AL22" s="6" cm="1">
        <f t="array" ref="AL22">INDEX(Drivers!$C$34:$AK$36,$B22,AL$21)</f>
        <v>18.36488084785201</v>
      </c>
      <c r="AM22" s="6" cm="1">
        <f t="array" ref="AM22">INDEX(Drivers!$C$34:$AK$36,$B22,AM$21)</f>
        <v>16.031979551451432</v>
      </c>
      <c r="AN22" s="6"/>
      <c r="AO22" s="6"/>
      <c r="AP22" s="6"/>
      <c r="AQ22" s="6"/>
      <c r="AR22" s="6"/>
      <c r="AS22" s="6"/>
    </row>
    <row r="23" spans="1:45">
      <c r="A23" t="s">
        <v>16</v>
      </c>
      <c r="B23">
        <v>2</v>
      </c>
      <c r="C23" t="s">
        <v>8</v>
      </c>
      <c r="D23" t="s">
        <v>38</v>
      </c>
      <c r="E23" s="6">
        <f t="shared" si="8"/>
        <v>17.422744808714206</v>
      </c>
      <c r="F23" s="6">
        <f t="shared" si="8"/>
        <v>19.311259441517389</v>
      </c>
      <c r="G23" s="6">
        <f t="shared" si="8"/>
        <v>21.192390664584384</v>
      </c>
      <c r="H23" s="6">
        <f t="shared" si="8"/>
        <v>24.300912429123557</v>
      </c>
      <c r="I23" s="17">
        <f t="shared" si="8"/>
        <v>27.961733624598693</v>
      </c>
      <c r="J23" s="17">
        <f t="shared" si="8"/>
        <v>29.591591812949058</v>
      </c>
      <c r="K23" s="17">
        <f t="shared" si="8"/>
        <v>31.113528998547864</v>
      </c>
      <c r="L23" s="6" cm="1">
        <f t="array" ref="L23">INDEX(Drivers!$C$34:$AG$36,$B23,L$21)</f>
        <v>17.422744808714206</v>
      </c>
      <c r="M23" s="6" cm="1">
        <f t="array" ref="M23">INDEX(Drivers!$C$34:$AG$36,$B23,M$21)</f>
        <v>17.892835083270921</v>
      </c>
      <c r="N23" s="6" cm="1">
        <f t="array" ref="N23">INDEX(Drivers!$C$34:$AG$36,$B23,N$21)</f>
        <v>18.376375848815535</v>
      </c>
      <c r="O23" s="6" cm="1">
        <f t="array" ref="O23">INDEX(Drivers!$C$34:$AG$36,$B23,O$21)</f>
        <v>19.311259441517389</v>
      </c>
      <c r="P23" s="6" cm="1">
        <f t="array" ref="P23">INDEX(Drivers!$C$34:$AG$36,$B23,P$21)</f>
        <v>18.373603858247002</v>
      </c>
      <c r="Q23" s="6" cm="1">
        <f t="array" ref="Q23">INDEX(Drivers!$C$34:$AG$36,$B23,Q$21)</f>
        <v>18.779742356384702</v>
      </c>
      <c r="R23" s="6" cm="1">
        <f t="array" ref="R23">INDEX(Drivers!$C$34:$AG$36,$B23,R$21)</f>
        <v>18.963373944982962</v>
      </c>
      <c r="S23" s="6" cm="1">
        <f t="array" ref="S23">INDEX(Drivers!$C$34:$AG$36,$B23,S$21)</f>
        <v>19.248154081046206</v>
      </c>
      <c r="T23" s="6" cm="1">
        <f t="array" ref="T23">INDEX(Drivers!$C$34:$AG$36,$B23,T$21)</f>
        <v>19.563924728927528</v>
      </c>
      <c r="U23" s="6" cm="1">
        <f t="array" ref="U23">INDEX(Drivers!$C$34:$AG$36,$B23,U$21)</f>
        <v>19.864880008719858</v>
      </c>
      <c r="V23" s="6" cm="1">
        <f t="array" ref="V23">INDEX(Drivers!$C$34:$AG$36,$B23,V$21)</f>
        <v>20.183675204378439</v>
      </c>
      <c r="W23" s="6" cm="1">
        <f t="array" ref="W23">INDEX(Drivers!$C$34:$AG$36,$B23,W$21)</f>
        <v>20.503077866928027</v>
      </c>
      <c r="X23" s="6" cm="1">
        <f t="array" ref="X23">INDEX(Drivers!$C$34:$AG$36,$B23,X$21)</f>
        <v>20.828923383789171</v>
      </c>
      <c r="Y23" s="6" cm="1">
        <f t="array" ref="Y23">INDEX(Drivers!$C$34:$AG$36,$B23,Y$21)</f>
        <v>21.192390664584384</v>
      </c>
      <c r="Z23" s="6" cm="1">
        <f t="array" ref="Z23">INDEX(Drivers!$C$34:$AG$36,$B23,Z$21)</f>
        <v>21.534295520700407</v>
      </c>
      <c r="AA23" s="6" cm="1">
        <f t="array" ref="AA23">INDEX(Drivers!$C$34:$AG$36,$B23,AA$21)</f>
        <v>21.876525550799496</v>
      </c>
      <c r="AB23" s="6" cm="1">
        <f t="array" ref="AB23">INDEX(Drivers!$C$34:$AG$36,$B23,AB$21)</f>
        <v>22.210468086026644</v>
      </c>
      <c r="AC23" s="6" cm="1">
        <f t="array" ref="AC23">INDEX(Drivers!$C$34:$AG$36,$B23,AC$21)</f>
        <v>22.550303412057676</v>
      </c>
      <c r="AD23" s="6" cm="1">
        <f t="array" ref="AD23">INDEX(Drivers!$C$34:$AG$36,$B23,AD$21)</f>
        <v>22.902334057806431</v>
      </c>
      <c r="AE23" s="6" cm="1">
        <f t="array" ref="AE23">INDEX(Drivers!$C$34:$AG$36,$B23,AE$21)</f>
        <v>23.199400490223521</v>
      </c>
      <c r="AF23" s="6" cm="1">
        <f t="array" ref="AF23">INDEX(Drivers!$C$34:$AG$36,$B23,AF$21)</f>
        <v>23.479511371874722</v>
      </c>
      <c r="AG23" s="6" cm="1">
        <f t="array" ref="AG23">INDEX(Drivers!$C$34:$AG$36,$B23,AG$21)</f>
        <v>23.7747285638774</v>
      </c>
      <c r="AH23" s="6" cm="1">
        <f t="array" ref="AH23">INDEX(Drivers!$C$34:$AG$36,$B23,AH$21)</f>
        <v>24.042275673128817</v>
      </c>
      <c r="AI23" s="6" cm="1">
        <f t="array" ref="AI23">INDEX(Drivers!$C$34:$AG$36,$B23,AI$21)</f>
        <v>24.300912429123557</v>
      </c>
      <c r="AJ23" s="6" cm="1">
        <f t="array" ref="AJ23">INDEX(Drivers!$C$34:$AG$36,$B23,AJ$21)</f>
        <v>26.148786459925194</v>
      </c>
      <c r="AK23" s="6" cm="1">
        <f t="array" ref="AK23">INDEX(Drivers!$C$34:$AK$36,$B23,AK$21)</f>
        <v>27.961733624598693</v>
      </c>
      <c r="AL23" s="6" cm="1">
        <f t="array" ref="AL23">INDEX(Drivers!$C$34:$AK$36,$B23,AL$21)</f>
        <v>29.591591812949058</v>
      </c>
      <c r="AM23" s="6" cm="1">
        <f t="array" ref="AM23">INDEX(Drivers!$C$34:$AK$36,$B23,AM$21)</f>
        <v>31.113528998547864</v>
      </c>
      <c r="AN23" s="6"/>
      <c r="AO23" s="6"/>
      <c r="AP23" s="6"/>
      <c r="AQ23" s="6"/>
      <c r="AR23" s="6"/>
      <c r="AS23" s="6"/>
    </row>
    <row r="24" spans="1:45">
      <c r="A24" t="s">
        <v>16</v>
      </c>
      <c r="B24">
        <v>3</v>
      </c>
      <c r="C24" t="s">
        <v>390</v>
      </c>
      <c r="D24" t="s">
        <v>38</v>
      </c>
      <c r="E24" s="6">
        <f t="shared" si="8"/>
        <v>13.343841341791148</v>
      </c>
      <c r="F24" s="6">
        <f t="shared" si="8"/>
        <v>11.858701524628284</v>
      </c>
      <c r="G24" s="6">
        <f t="shared" si="8"/>
        <v>16.531615445572868</v>
      </c>
      <c r="H24" s="6">
        <f t="shared" si="8"/>
        <v>21.158850760313094</v>
      </c>
      <c r="I24" s="17">
        <f t="shared" si="8"/>
        <v>25.049100367939545</v>
      </c>
      <c r="J24" s="17">
        <f t="shared" si="8"/>
        <v>26.842577339198936</v>
      </c>
      <c r="K24" s="17">
        <f t="shared" si="8"/>
        <v>28.517689450000706</v>
      </c>
      <c r="L24" s="6" cm="1">
        <f t="array" ref="L24">INDEX(Drivers!$C$34:$AG$36,$B24,L$21)</f>
        <v>13.343841341791148</v>
      </c>
      <c r="M24" s="6" cm="1">
        <f t="array" ref="M24">INDEX(Drivers!$C$34:$AG$36,$B24,M$21)</f>
        <v>13.837125797729508</v>
      </c>
      <c r="N24" s="6" cm="1">
        <f t="array" ref="N24">INDEX(Drivers!$C$34:$AG$36,$B24,N$21)</f>
        <v>14.041748987467024</v>
      </c>
      <c r="O24" s="6" cm="1">
        <f t="array" ref="O24">INDEX(Drivers!$C$34:$AG$36,$B24,O$21)</f>
        <v>11.858701524628284</v>
      </c>
      <c r="P24" s="6" cm="1">
        <f t="array" ref="P24">INDEX(Drivers!$C$34:$AG$36,$B24,P$21)</f>
        <v>13.563322605056396</v>
      </c>
      <c r="Q24" s="6" cm="1">
        <f t="array" ref="Q24">INDEX(Drivers!$C$34:$AG$36,$B24,Q$21)</f>
        <v>13.931887520427432</v>
      </c>
      <c r="R24" s="6" cm="1">
        <f t="array" ref="R24">INDEX(Drivers!$C$34:$AG$36,$B24,R$21)</f>
        <v>14.080296676733113</v>
      </c>
      <c r="S24" s="6" cm="1">
        <f t="array" ref="S24">INDEX(Drivers!$C$34:$AG$36,$B24,S$21)</f>
        <v>14.361028482089978</v>
      </c>
      <c r="T24" s="6" cm="1">
        <f t="array" ref="T24">INDEX(Drivers!$C$34:$AG$36,$B24,T$21)</f>
        <v>14.660887054042078</v>
      </c>
      <c r="U24" s="6" cm="1">
        <f t="array" ref="U24">INDEX(Drivers!$C$34:$AG$36,$B24,U$21)</f>
        <v>14.996023262665405</v>
      </c>
      <c r="V24" s="6" cm="1">
        <f t="array" ref="V24">INDEX(Drivers!$C$34:$AG$36,$B24,V$21)</f>
        <v>15.343492733168704</v>
      </c>
      <c r="W24" s="6" cm="1">
        <f t="array" ref="W24">INDEX(Drivers!$C$34:$AG$36,$B24,W$21)</f>
        <v>15.704241426174255</v>
      </c>
      <c r="X24" s="6" cm="1">
        <f t="array" ref="X24">INDEX(Drivers!$C$34:$AG$36,$B24,X$21)</f>
        <v>16.10704309195954</v>
      </c>
      <c r="Y24" s="6" cm="1">
        <f t="array" ref="Y24">INDEX(Drivers!$C$34:$AG$36,$B24,Y$21)</f>
        <v>16.531615445572868</v>
      </c>
      <c r="Z24" s="6" cm="1">
        <f t="array" ref="Z24">INDEX(Drivers!$C$34:$AG$36,$B24,Z$21)</f>
        <v>16.999269562513845</v>
      </c>
      <c r="AA24" s="6" cm="1">
        <f t="array" ref="AA24">INDEX(Drivers!$C$34:$AG$36,$B24,AA$21)</f>
        <v>17.45321443099451</v>
      </c>
      <c r="AB24" s="6" cm="1">
        <f t="array" ref="AB24">INDEX(Drivers!$C$34:$AG$36,$B24,AB$21)</f>
        <v>17.903121667676245</v>
      </c>
      <c r="AC24" s="6" cm="1">
        <f t="array" ref="AC24">INDEX(Drivers!$C$34:$AG$36,$B24,AC$21)</f>
        <v>18.370645451172628</v>
      </c>
      <c r="AD24" s="6" cm="1">
        <f t="array" ref="AD24">INDEX(Drivers!$C$34:$AG$36,$B24,AD$21)</f>
        <v>18.82844047468576</v>
      </c>
      <c r="AE24" s="6" cm="1">
        <f t="array" ref="AE24">INDEX(Drivers!$C$34:$AG$36,$B24,AE$21)</f>
        <v>19.310036116142385</v>
      </c>
      <c r="AF24" s="6" cm="1">
        <f t="array" ref="AF24">INDEX(Drivers!$C$34:$AG$36,$B24,AF$21)</f>
        <v>19.812495738557786</v>
      </c>
      <c r="AG24" s="6" cm="1">
        <f t="array" ref="AG24">INDEX(Drivers!$C$34:$AG$36,$B24,AG$21)</f>
        <v>20.281127801599805</v>
      </c>
      <c r="AH24" s="6" cm="1">
        <f t="array" ref="AH24">INDEX(Drivers!$C$34:$AG$36,$B24,AH$21)</f>
        <v>20.730588707076922</v>
      </c>
      <c r="AI24" s="6" cm="1">
        <f t="array" ref="AI24">INDEX(Drivers!$C$34:$AG$36,$B24,AI$21)</f>
        <v>21.158850760313094</v>
      </c>
      <c r="AJ24" s="6" cm="1">
        <f t="array" ref="AJ24">INDEX(Drivers!$C$34:$AG$36,$B24,AJ$21)</f>
        <v>23.190315079983677</v>
      </c>
      <c r="AK24" s="6" cm="1">
        <f t="array" ref="AK24">INDEX(Drivers!$C$34:$AK$36,$B24,AK$21)</f>
        <v>25.049100367939545</v>
      </c>
      <c r="AL24" s="6" cm="1">
        <f t="array" ref="AL24">INDEX(Drivers!$C$34:$AK$36,$B24,AL$21)</f>
        <v>26.842577339198936</v>
      </c>
      <c r="AM24" s="6" cm="1">
        <f t="array" ref="AM24">INDEX(Drivers!$C$34:$AK$36,$B24,AM$21)</f>
        <v>28.517689450000706</v>
      </c>
      <c r="AN24" s="6"/>
      <c r="AO24" s="6"/>
      <c r="AP24" s="6"/>
      <c r="AQ24" s="6"/>
      <c r="AR24" s="6"/>
      <c r="AS24" s="6"/>
    </row>
    <row r="25" spans="1:45">
      <c r="A25" t="s">
        <v>16</v>
      </c>
      <c r="E25" s="35">
        <f t="shared" ref="E25:AM25" si="9">SUM(E22:E24)</f>
        <v>56.521948041648095</v>
      </c>
      <c r="F25" s="35">
        <f t="shared" si="9"/>
        <v>58.168226593121446</v>
      </c>
      <c r="G25" s="35">
        <f t="shared" si="9"/>
        <v>64.659278</v>
      </c>
      <c r="H25" s="35">
        <f t="shared" si="9"/>
        <v>69.713937000000001</v>
      </c>
      <c r="I25" s="35">
        <f t="shared" si="9"/>
        <v>73.529752999999999</v>
      </c>
      <c r="J25" s="35">
        <f t="shared" ref="J25:K25" si="10">SUM(J22:J24)</f>
        <v>74.799050000000008</v>
      </c>
      <c r="K25" s="35">
        <f t="shared" si="10"/>
        <v>75.663197999999994</v>
      </c>
      <c r="L25" s="35">
        <f t="shared" si="9"/>
        <v>56.521948041648095</v>
      </c>
      <c r="M25" s="35">
        <f t="shared" si="9"/>
        <v>57.436000617299648</v>
      </c>
      <c r="N25" s="35">
        <f t="shared" si="9"/>
        <v>58.364834921819444</v>
      </c>
      <c r="O25" s="35">
        <f t="shared" si="9"/>
        <v>58.168226593121446</v>
      </c>
      <c r="P25" s="35">
        <f t="shared" si="9"/>
        <v>59.392255000000006</v>
      </c>
      <c r="Q25" s="35">
        <f t="shared" si="9"/>
        <v>59.893884999999997</v>
      </c>
      <c r="R25" s="35">
        <f t="shared" si="9"/>
        <v>60.414495000000002</v>
      </c>
      <c r="S25" s="35">
        <f t="shared" si="9"/>
        <v>61.020220999999999</v>
      </c>
      <c r="T25" s="35">
        <f t="shared" si="9"/>
        <v>61.673081000000003</v>
      </c>
      <c r="U25" s="35">
        <f t="shared" si="9"/>
        <v>62.305038999999994</v>
      </c>
      <c r="V25" s="35">
        <f t="shared" si="9"/>
        <v>62.918915999999996</v>
      </c>
      <c r="W25" s="35">
        <f t="shared" si="9"/>
        <v>63.514502</v>
      </c>
      <c r="X25" s="35">
        <f t="shared" si="9"/>
        <v>64.093732000000003</v>
      </c>
      <c r="Y25" s="35">
        <f t="shared" si="9"/>
        <v>64.659278</v>
      </c>
      <c r="Z25" s="35">
        <f t="shared" si="9"/>
        <v>65.211525999999992</v>
      </c>
      <c r="AA25" s="35">
        <f t="shared" si="9"/>
        <v>65.752923999999993</v>
      </c>
      <c r="AB25" s="35">
        <f t="shared" si="9"/>
        <v>66.284188999999998</v>
      </c>
      <c r="AC25" s="35">
        <f t="shared" si="9"/>
        <v>66.804167000000007</v>
      </c>
      <c r="AD25" s="35">
        <f t="shared" si="9"/>
        <v>67.314132999999998</v>
      </c>
      <c r="AE25" s="35">
        <f t="shared" si="9"/>
        <v>67.815933000000001</v>
      </c>
      <c r="AF25" s="35">
        <f t="shared" si="9"/>
        <v>68.308245999999997</v>
      </c>
      <c r="AG25" s="35">
        <f t="shared" si="9"/>
        <v>68.788494999999998</v>
      </c>
      <c r="AH25" s="35">
        <f t="shared" si="9"/>
        <v>69.256822999999983</v>
      </c>
      <c r="AI25" s="35">
        <f t="shared" si="9"/>
        <v>69.713937000000001</v>
      </c>
      <c r="AJ25" s="35">
        <f t="shared" si="9"/>
        <v>71.816201000000007</v>
      </c>
      <c r="AK25" s="35">
        <f t="shared" si="9"/>
        <v>73.529752999999999</v>
      </c>
      <c r="AL25" s="35">
        <f t="shared" si="9"/>
        <v>74.799050000000008</v>
      </c>
      <c r="AM25" s="35">
        <f t="shared" si="9"/>
        <v>75.663197999999994</v>
      </c>
      <c r="AN25" s="35"/>
      <c r="AO25" s="35"/>
      <c r="AP25" s="35"/>
      <c r="AQ25" s="35"/>
      <c r="AR25" s="35"/>
      <c r="AS25" s="35"/>
    </row>
    <row r="26" spans="1:45">
      <c r="A26" t="s">
        <v>16</v>
      </c>
    </row>
    <row r="27" spans="1:45">
      <c r="A27" t="s">
        <v>16</v>
      </c>
    </row>
    <row r="28" spans="1:45" ht="15.75" thickBot="1">
      <c r="A28" t="s">
        <v>16</v>
      </c>
      <c r="C28" s="13" t="s">
        <v>36</v>
      </c>
      <c r="D28" s="13"/>
      <c r="E28">
        <v>2017</v>
      </c>
      <c r="F28">
        <v>2020</v>
      </c>
      <c r="G28">
        <v>2030</v>
      </c>
      <c r="H28">
        <v>2040</v>
      </c>
      <c r="I28">
        <v>2050</v>
      </c>
      <c r="J28">
        <v>2060</v>
      </c>
      <c r="K28">
        <v>2070</v>
      </c>
    </row>
    <row r="29" spans="1:45">
      <c r="A29" t="s">
        <v>16</v>
      </c>
      <c r="C29" t="s">
        <v>7</v>
      </c>
      <c r="D29" t="s">
        <v>39</v>
      </c>
      <c r="E29" s="63">
        <v>0.71</v>
      </c>
      <c r="F29" s="25">
        <v>0.8</v>
      </c>
      <c r="G29" s="25">
        <v>0.85</v>
      </c>
      <c r="H29" s="25">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82">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3">
        <v>0.83</v>
      </c>
      <c r="F30" s="25">
        <v>0.9</v>
      </c>
      <c r="G30" s="25">
        <v>0.95</v>
      </c>
      <c r="H30" s="25">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82">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3">
        <f>(E29*E22+E30*E23+E24)/E25</f>
        <v>0.81545360824742263</v>
      </c>
      <c r="F31" s="63">
        <f>(F29*F22+F30*F23+F24)/F25</f>
        <v>0.87397279410244599</v>
      </c>
      <c r="G31" s="63">
        <f>(G29*G22+G30*G23+G24)/G25</f>
        <v>0.92112639555446885</v>
      </c>
      <c r="H31" s="63">
        <f>(H29*H22+H30*H23+H24)/H25</f>
        <v>0.94777998260932383</v>
      </c>
      <c r="I31" s="63">
        <f>(I29*I22+I30*I23+I24)/I25</f>
        <v>0.98604719982708111</v>
      </c>
      <c r="J31" s="63">
        <f t="shared" ref="J31:K31" si="11">(J29*J22+J30*J23+J24)/J25</f>
        <v>0.98772385421482489</v>
      </c>
      <c r="K31" s="63">
        <f t="shared" si="11"/>
        <v>0.98940569525527367</v>
      </c>
    </row>
    <row r="32" spans="1:45">
      <c r="A32" t="s">
        <v>16</v>
      </c>
    </row>
    <row r="33" spans="1:45" ht="15.75" thickBot="1">
      <c r="A33" t="s">
        <v>16</v>
      </c>
      <c r="B33" s="13" t="s">
        <v>50</v>
      </c>
      <c r="D33" s="13"/>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6">
        <f t="shared" ref="E34:AM34" si="13">E22</f>
        <v>25.755361891142741</v>
      </c>
      <c r="F34" s="6">
        <f t="shared" si="13"/>
        <v>26.998265626975765</v>
      </c>
      <c r="G34" s="6">
        <f t="shared" si="13"/>
        <v>26.935271889842749</v>
      </c>
      <c r="H34" s="6">
        <f t="shared" si="13"/>
        <v>24.254173810563351</v>
      </c>
      <c r="I34" s="6">
        <f t="shared" si="13"/>
        <v>20.518919007461761</v>
      </c>
      <c r="J34" s="6">
        <f t="shared" ref="J34:K34" si="14">J22</f>
        <v>18.36488084785201</v>
      </c>
      <c r="K34" s="6">
        <f t="shared" si="14"/>
        <v>16.031979551451432</v>
      </c>
      <c r="L34" s="6">
        <f t="shared" si="13"/>
        <v>25.755361891142741</v>
      </c>
      <c r="M34" s="6">
        <f t="shared" si="13"/>
        <v>25.706039736299225</v>
      </c>
      <c r="N34" s="6">
        <f t="shared" si="13"/>
        <v>25.946710085536886</v>
      </c>
      <c r="O34" s="6">
        <f t="shared" si="13"/>
        <v>26.998265626975765</v>
      </c>
      <c r="P34" s="6">
        <f t="shared" si="13"/>
        <v>27.455328536696602</v>
      </c>
      <c r="Q34" s="6">
        <f t="shared" si="13"/>
        <v>27.182255123187865</v>
      </c>
      <c r="R34" s="6">
        <f t="shared" si="13"/>
        <v>27.370824378283928</v>
      </c>
      <c r="S34" s="6">
        <f t="shared" si="13"/>
        <v>27.411038436863816</v>
      </c>
      <c r="T34" s="6">
        <f t="shared" si="13"/>
        <v>27.448269217030397</v>
      </c>
      <c r="U34" s="6">
        <f t="shared" si="13"/>
        <v>27.444135728614732</v>
      </c>
      <c r="V34" s="6">
        <f t="shared" si="13"/>
        <v>27.391748062452859</v>
      </c>
      <c r="W34" s="6">
        <f t="shared" si="13"/>
        <v>27.30718270689772</v>
      </c>
      <c r="X34" s="6">
        <f t="shared" si="13"/>
        <v>27.157765524251296</v>
      </c>
      <c r="Y34" s="6">
        <f t="shared" si="13"/>
        <v>26.935271889842749</v>
      </c>
      <c r="Z34" s="6">
        <f t="shared" si="13"/>
        <v>26.677960916785743</v>
      </c>
      <c r="AA34" s="6">
        <f t="shared" si="13"/>
        <v>26.423184018205994</v>
      </c>
      <c r="AB34" s="6">
        <f t="shared" si="13"/>
        <v>26.170599246297112</v>
      </c>
      <c r="AC34" s="6">
        <f t="shared" si="13"/>
        <v>25.883218136769703</v>
      </c>
      <c r="AD34" s="6">
        <f t="shared" si="13"/>
        <v>25.583358467507807</v>
      </c>
      <c r="AE34" s="6">
        <f t="shared" si="13"/>
        <v>25.306496393634095</v>
      </c>
      <c r="AF34" s="6">
        <f t="shared" si="13"/>
        <v>25.016238889567493</v>
      </c>
      <c r="AG34" s="6">
        <f t="shared" si="13"/>
        <v>24.73263863452279</v>
      </c>
      <c r="AH34" s="6">
        <f t="shared" si="13"/>
        <v>24.483958619794251</v>
      </c>
      <c r="AI34" s="6">
        <f t="shared" si="13"/>
        <v>24.254173810563351</v>
      </c>
      <c r="AJ34" s="6">
        <f t="shared" si="13"/>
        <v>22.477099460091136</v>
      </c>
      <c r="AK34" s="6">
        <f t="shared" si="13"/>
        <v>20.518919007461761</v>
      </c>
      <c r="AL34" s="6">
        <f t="shared" si="13"/>
        <v>18.36488084785201</v>
      </c>
      <c r="AM34" s="6">
        <f t="shared" si="13"/>
        <v>16.031979551451432</v>
      </c>
      <c r="AN34" s="6"/>
      <c r="AO34" s="6"/>
      <c r="AP34" s="6"/>
      <c r="AQ34" s="6"/>
      <c r="AR34" s="6"/>
      <c r="AS34" s="6"/>
    </row>
    <row r="35" spans="1:45">
      <c r="A35" t="s">
        <v>16</v>
      </c>
      <c r="B35" t="str">
        <f>[12]RES!B27</f>
        <v>ME</v>
      </c>
      <c r="C35" t="str">
        <f>[12]RES!A27</f>
        <v>Middle Income Electrified</v>
      </c>
      <c r="D35" t="s">
        <v>38</v>
      </c>
      <c r="E35" s="6">
        <f t="shared" ref="E35:AM35" si="15">E23</f>
        <v>17.422744808714206</v>
      </c>
      <c r="F35" s="6">
        <f t="shared" si="15"/>
        <v>19.311259441517389</v>
      </c>
      <c r="G35" s="6">
        <f t="shared" si="15"/>
        <v>21.192390664584384</v>
      </c>
      <c r="H35" s="6">
        <f t="shared" si="15"/>
        <v>24.300912429123557</v>
      </c>
      <c r="I35" s="6">
        <f t="shared" si="15"/>
        <v>27.961733624598693</v>
      </c>
      <c r="J35" s="6">
        <f t="shared" ref="J35:K35" si="16">J23</f>
        <v>29.591591812949058</v>
      </c>
      <c r="K35" s="6">
        <f t="shared" si="16"/>
        <v>31.113528998547864</v>
      </c>
      <c r="L35" s="6">
        <f t="shared" si="15"/>
        <v>17.422744808714206</v>
      </c>
      <c r="M35" s="6">
        <f t="shared" si="15"/>
        <v>17.892835083270921</v>
      </c>
      <c r="N35" s="6">
        <f t="shared" si="15"/>
        <v>18.376375848815535</v>
      </c>
      <c r="O35" s="6">
        <f t="shared" si="15"/>
        <v>19.311259441517389</v>
      </c>
      <c r="P35" s="6">
        <f t="shared" si="15"/>
        <v>18.373603858247002</v>
      </c>
      <c r="Q35" s="6">
        <f t="shared" si="15"/>
        <v>18.779742356384702</v>
      </c>
      <c r="R35" s="6">
        <f t="shared" si="15"/>
        <v>18.963373944982962</v>
      </c>
      <c r="S35" s="6">
        <f t="shared" si="15"/>
        <v>19.248154081046206</v>
      </c>
      <c r="T35" s="6">
        <f t="shared" si="15"/>
        <v>19.563924728927528</v>
      </c>
      <c r="U35" s="6">
        <f t="shared" si="15"/>
        <v>19.864880008719858</v>
      </c>
      <c r="V35" s="6">
        <f t="shared" si="15"/>
        <v>20.183675204378439</v>
      </c>
      <c r="W35" s="6">
        <f t="shared" si="15"/>
        <v>20.503077866928027</v>
      </c>
      <c r="X35" s="6">
        <f t="shared" si="15"/>
        <v>20.828923383789171</v>
      </c>
      <c r="Y35" s="6">
        <f t="shared" si="15"/>
        <v>21.192390664584384</v>
      </c>
      <c r="Z35" s="6">
        <f t="shared" si="15"/>
        <v>21.534295520700407</v>
      </c>
      <c r="AA35" s="6">
        <f t="shared" si="15"/>
        <v>21.876525550799496</v>
      </c>
      <c r="AB35" s="6">
        <f t="shared" si="15"/>
        <v>22.210468086026644</v>
      </c>
      <c r="AC35" s="6">
        <f t="shared" si="15"/>
        <v>22.550303412057676</v>
      </c>
      <c r="AD35" s="6">
        <f t="shared" si="15"/>
        <v>22.902334057806431</v>
      </c>
      <c r="AE35" s="6">
        <f t="shared" si="15"/>
        <v>23.199400490223521</v>
      </c>
      <c r="AF35" s="6">
        <f t="shared" si="15"/>
        <v>23.479511371874722</v>
      </c>
      <c r="AG35" s="6">
        <f t="shared" si="15"/>
        <v>23.7747285638774</v>
      </c>
      <c r="AH35" s="6">
        <f t="shared" si="15"/>
        <v>24.042275673128817</v>
      </c>
      <c r="AI35" s="6">
        <f t="shared" si="15"/>
        <v>24.300912429123557</v>
      </c>
      <c r="AJ35" s="6">
        <f t="shared" si="15"/>
        <v>26.148786459925194</v>
      </c>
      <c r="AK35" s="6">
        <f t="shared" si="15"/>
        <v>27.961733624598693</v>
      </c>
      <c r="AL35" s="6">
        <f t="shared" si="15"/>
        <v>29.591591812949058</v>
      </c>
      <c r="AM35" s="6">
        <f t="shared" si="15"/>
        <v>31.113528998547864</v>
      </c>
      <c r="AN35" s="6"/>
      <c r="AO35" s="6"/>
      <c r="AP35" s="6"/>
      <c r="AQ35" s="6"/>
      <c r="AR35" s="6"/>
      <c r="AS35" s="6"/>
    </row>
    <row r="36" spans="1:45">
      <c r="A36" t="s">
        <v>16</v>
      </c>
      <c r="B36" t="str">
        <f>[12]RES!B28</f>
        <v>HE</v>
      </c>
      <c r="C36" t="str">
        <f>[12]RES!A28</f>
        <v>High Income Electrified</v>
      </c>
      <c r="D36" t="s">
        <v>38</v>
      </c>
      <c r="E36" s="6">
        <f t="shared" ref="E36:AM36" si="17">E24</f>
        <v>13.343841341791148</v>
      </c>
      <c r="F36" s="6">
        <f t="shared" si="17"/>
        <v>11.858701524628284</v>
      </c>
      <c r="G36" s="6">
        <f t="shared" si="17"/>
        <v>16.531615445572868</v>
      </c>
      <c r="H36" s="6">
        <f t="shared" si="17"/>
        <v>21.158850760313094</v>
      </c>
      <c r="I36" s="6">
        <f t="shared" si="17"/>
        <v>25.049100367939545</v>
      </c>
      <c r="J36" s="6">
        <f t="shared" ref="J36:K36" si="18">J24</f>
        <v>26.842577339198936</v>
      </c>
      <c r="K36" s="6">
        <f t="shared" si="18"/>
        <v>28.517689450000706</v>
      </c>
      <c r="L36" s="6">
        <f t="shared" si="17"/>
        <v>13.343841341791148</v>
      </c>
      <c r="M36" s="6">
        <f t="shared" si="17"/>
        <v>13.837125797729508</v>
      </c>
      <c r="N36" s="6">
        <f t="shared" si="17"/>
        <v>14.041748987467024</v>
      </c>
      <c r="O36" s="6">
        <f t="shared" si="17"/>
        <v>11.858701524628284</v>
      </c>
      <c r="P36" s="6">
        <f t="shared" si="17"/>
        <v>13.563322605056396</v>
      </c>
      <c r="Q36" s="6">
        <f t="shared" si="17"/>
        <v>13.931887520427432</v>
      </c>
      <c r="R36" s="6">
        <f t="shared" si="17"/>
        <v>14.080296676733113</v>
      </c>
      <c r="S36" s="6">
        <f t="shared" si="17"/>
        <v>14.361028482089978</v>
      </c>
      <c r="T36" s="6">
        <f t="shared" si="17"/>
        <v>14.660887054042078</v>
      </c>
      <c r="U36" s="6">
        <f t="shared" si="17"/>
        <v>14.996023262665405</v>
      </c>
      <c r="V36" s="6">
        <f t="shared" si="17"/>
        <v>15.343492733168704</v>
      </c>
      <c r="W36" s="6">
        <f t="shared" si="17"/>
        <v>15.704241426174255</v>
      </c>
      <c r="X36" s="6">
        <f t="shared" si="17"/>
        <v>16.10704309195954</v>
      </c>
      <c r="Y36" s="6">
        <f t="shared" si="17"/>
        <v>16.531615445572868</v>
      </c>
      <c r="Z36" s="6">
        <f t="shared" si="17"/>
        <v>16.999269562513845</v>
      </c>
      <c r="AA36" s="6">
        <f t="shared" si="17"/>
        <v>17.45321443099451</v>
      </c>
      <c r="AB36" s="6">
        <f t="shared" si="17"/>
        <v>17.903121667676245</v>
      </c>
      <c r="AC36" s="6">
        <f t="shared" si="17"/>
        <v>18.370645451172628</v>
      </c>
      <c r="AD36" s="6">
        <f t="shared" si="17"/>
        <v>18.82844047468576</v>
      </c>
      <c r="AE36" s="6">
        <f t="shared" si="17"/>
        <v>19.310036116142385</v>
      </c>
      <c r="AF36" s="6">
        <f t="shared" si="17"/>
        <v>19.812495738557786</v>
      </c>
      <c r="AG36" s="6">
        <f t="shared" si="17"/>
        <v>20.281127801599805</v>
      </c>
      <c r="AH36" s="6">
        <f t="shared" si="17"/>
        <v>20.730588707076922</v>
      </c>
      <c r="AI36" s="6">
        <f t="shared" si="17"/>
        <v>21.158850760313094</v>
      </c>
      <c r="AJ36" s="6">
        <f t="shared" si="17"/>
        <v>23.190315079983677</v>
      </c>
      <c r="AK36" s="6">
        <f t="shared" si="17"/>
        <v>25.049100367939545</v>
      </c>
      <c r="AL36" s="6">
        <f t="shared" si="17"/>
        <v>26.842577339198936</v>
      </c>
      <c r="AM36" s="6">
        <f t="shared" si="17"/>
        <v>28.517689450000706</v>
      </c>
      <c r="AN36" s="6"/>
      <c r="AO36" s="6"/>
      <c r="AP36" s="6"/>
      <c r="AQ36" s="6"/>
      <c r="AR36" s="6"/>
      <c r="AS36" s="6"/>
    </row>
    <row r="37" spans="1:45">
      <c r="A37" t="s">
        <v>16</v>
      </c>
      <c r="B37" t="str">
        <f>[12]RES!B29</f>
        <v>LN</v>
      </c>
      <c r="C37" t="str">
        <f>[12]RES!A29</f>
        <v>Low Income Non-Electrified</v>
      </c>
      <c r="D37" t="s">
        <v>38</v>
      </c>
      <c r="E37" s="6">
        <f t="shared" ref="E37:AM37" si="19">E22-E34</f>
        <v>0</v>
      </c>
      <c r="F37" s="6">
        <f t="shared" si="19"/>
        <v>0</v>
      </c>
      <c r="G37" s="6">
        <f t="shared" si="19"/>
        <v>0</v>
      </c>
      <c r="H37" s="6">
        <f t="shared" si="19"/>
        <v>0</v>
      </c>
      <c r="I37" s="6">
        <f t="shared" si="19"/>
        <v>0</v>
      </c>
      <c r="J37" s="6">
        <f t="shared" ref="J37:K37" si="20">J22-J34</f>
        <v>0</v>
      </c>
      <c r="K37" s="6">
        <f t="shared" si="20"/>
        <v>0</v>
      </c>
      <c r="L37" s="6">
        <f t="shared" si="19"/>
        <v>0</v>
      </c>
      <c r="M37" s="6">
        <f t="shared" si="19"/>
        <v>0</v>
      </c>
      <c r="N37" s="6">
        <f t="shared" si="19"/>
        <v>0</v>
      </c>
      <c r="O37" s="6">
        <f t="shared" si="19"/>
        <v>0</v>
      </c>
      <c r="P37" s="6">
        <f t="shared" si="19"/>
        <v>0</v>
      </c>
      <c r="Q37" s="6">
        <f t="shared" si="19"/>
        <v>0</v>
      </c>
      <c r="R37" s="6">
        <f t="shared" si="19"/>
        <v>0</v>
      </c>
      <c r="S37" s="6">
        <f t="shared" si="19"/>
        <v>0</v>
      </c>
      <c r="T37" s="6">
        <f t="shared" si="19"/>
        <v>0</v>
      </c>
      <c r="U37" s="6">
        <f t="shared" si="19"/>
        <v>0</v>
      </c>
      <c r="V37" s="6">
        <f t="shared" si="19"/>
        <v>0</v>
      </c>
      <c r="W37" s="6">
        <f t="shared" si="19"/>
        <v>0</v>
      </c>
      <c r="X37" s="6">
        <f t="shared" si="19"/>
        <v>0</v>
      </c>
      <c r="Y37" s="6">
        <f t="shared" si="19"/>
        <v>0</v>
      </c>
      <c r="Z37" s="6">
        <f t="shared" si="19"/>
        <v>0</v>
      </c>
      <c r="AA37" s="6">
        <f t="shared" si="19"/>
        <v>0</v>
      </c>
      <c r="AB37" s="6">
        <f t="shared" si="19"/>
        <v>0</v>
      </c>
      <c r="AC37" s="6">
        <f t="shared" si="19"/>
        <v>0</v>
      </c>
      <c r="AD37" s="6">
        <f t="shared" si="19"/>
        <v>0</v>
      </c>
      <c r="AE37" s="6">
        <f t="shared" si="19"/>
        <v>0</v>
      </c>
      <c r="AF37" s="6">
        <f t="shared" si="19"/>
        <v>0</v>
      </c>
      <c r="AG37" s="6">
        <f t="shared" si="19"/>
        <v>0</v>
      </c>
      <c r="AH37" s="6">
        <f t="shared" si="19"/>
        <v>0</v>
      </c>
      <c r="AI37" s="6">
        <f t="shared" si="19"/>
        <v>0</v>
      </c>
      <c r="AJ37" s="6">
        <f t="shared" si="19"/>
        <v>0</v>
      </c>
      <c r="AK37" s="6">
        <f t="shared" si="19"/>
        <v>0</v>
      </c>
      <c r="AL37" s="6">
        <f t="shared" si="19"/>
        <v>0</v>
      </c>
      <c r="AM37" s="6">
        <f t="shared" si="19"/>
        <v>0</v>
      </c>
      <c r="AN37" s="6"/>
      <c r="AO37" s="6"/>
      <c r="AP37" s="6"/>
      <c r="AQ37" s="6"/>
      <c r="AR37" s="6"/>
      <c r="AS37" s="6"/>
    </row>
    <row r="38" spans="1:45">
      <c r="A38" t="s">
        <v>16</v>
      </c>
      <c r="B38" t="str">
        <f>[12]RES!B30</f>
        <v>MN</v>
      </c>
      <c r="C38" t="str">
        <f>[12]RES!A30</f>
        <v>Middle Income Non-Electrified</v>
      </c>
      <c r="D38" t="s">
        <v>38</v>
      </c>
      <c r="E38" s="6">
        <f t="shared" ref="E38:AM38" si="21">E23-E35</f>
        <v>0</v>
      </c>
      <c r="F38" s="6">
        <f t="shared" si="21"/>
        <v>0</v>
      </c>
      <c r="G38" s="6">
        <f t="shared" si="21"/>
        <v>0</v>
      </c>
      <c r="H38" s="6">
        <f t="shared" si="21"/>
        <v>0</v>
      </c>
      <c r="I38" s="6">
        <f t="shared" si="21"/>
        <v>0</v>
      </c>
      <c r="J38" s="6">
        <f t="shared" ref="J38:K38" si="22">J23-J35</f>
        <v>0</v>
      </c>
      <c r="K38" s="6">
        <f t="shared" si="22"/>
        <v>0</v>
      </c>
      <c r="L38" s="6">
        <f t="shared" si="21"/>
        <v>0</v>
      </c>
      <c r="M38" s="6">
        <f t="shared" si="21"/>
        <v>0</v>
      </c>
      <c r="N38" s="6">
        <f t="shared" si="21"/>
        <v>0</v>
      </c>
      <c r="O38" s="6">
        <f t="shared" si="21"/>
        <v>0</v>
      </c>
      <c r="P38" s="6">
        <f t="shared" si="21"/>
        <v>0</v>
      </c>
      <c r="Q38" s="6">
        <f t="shared" si="21"/>
        <v>0</v>
      </c>
      <c r="R38" s="6">
        <f t="shared" si="21"/>
        <v>0</v>
      </c>
      <c r="S38" s="6">
        <f t="shared" si="21"/>
        <v>0</v>
      </c>
      <c r="T38" s="6">
        <f t="shared" si="21"/>
        <v>0</v>
      </c>
      <c r="U38" s="6">
        <f t="shared" si="21"/>
        <v>0</v>
      </c>
      <c r="V38" s="6">
        <f t="shared" si="21"/>
        <v>0</v>
      </c>
      <c r="W38" s="6">
        <f t="shared" si="21"/>
        <v>0</v>
      </c>
      <c r="X38" s="6">
        <f t="shared" si="21"/>
        <v>0</v>
      </c>
      <c r="Y38" s="6">
        <f t="shared" si="21"/>
        <v>0</v>
      </c>
      <c r="Z38" s="6">
        <f t="shared" si="21"/>
        <v>0</v>
      </c>
      <c r="AA38" s="6">
        <f t="shared" si="21"/>
        <v>0</v>
      </c>
      <c r="AB38" s="6">
        <f t="shared" si="21"/>
        <v>0</v>
      </c>
      <c r="AC38" s="6">
        <f t="shared" si="21"/>
        <v>0</v>
      </c>
      <c r="AD38" s="6">
        <f t="shared" si="21"/>
        <v>0</v>
      </c>
      <c r="AE38" s="6">
        <f t="shared" si="21"/>
        <v>0</v>
      </c>
      <c r="AF38" s="6">
        <f t="shared" si="21"/>
        <v>0</v>
      </c>
      <c r="AG38" s="6">
        <f t="shared" si="21"/>
        <v>0</v>
      </c>
      <c r="AH38" s="6">
        <f t="shared" si="21"/>
        <v>0</v>
      </c>
      <c r="AI38" s="6">
        <f t="shared" si="21"/>
        <v>0</v>
      </c>
      <c r="AJ38" s="6">
        <f t="shared" si="21"/>
        <v>0</v>
      </c>
      <c r="AK38" s="6">
        <f t="shared" si="21"/>
        <v>0</v>
      </c>
      <c r="AL38" s="6">
        <f t="shared" si="21"/>
        <v>0</v>
      </c>
      <c r="AM38" s="6">
        <f t="shared" si="21"/>
        <v>0</v>
      </c>
      <c r="AN38" s="6"/>
      <c r="AO38" s="6"/>
      <c r="AP38" s="6"/>
      <c r="AQ38" s="6"/>
      <c r="AR38" s="6"/>
      <c r="AS38" s="6"/>
    </row>
    <row r="39" spans="1:45">
      <c r="A39" t="s">
        <v>16</v>
      </c>
      <c r="B39" s="18"/>
    </row>
    <row r="40" spans="1:45" ht="18" thickBot="1">
      <c r="A40" t="s">
        <v>16</v>
      </c>
      <c r="B40" s="18"/>
      <c r="C40" s="28" t="s">
        <v>51</v>
      </c>
    </row>
    <row r="41" spans="1:45" ht="15.75" thickTop="1">
      <c r="A41" t="s">
        <v>16</v>
      </c>
    </row>
    <row r="42" spans="1:45" ht="15.75" thickBot="1">
      <c r="A42" t="s">
        <v>16</v>
      </c>
      <c r="C42" s="13" t="s">
        <v>49</v>
      </c>
      <c r="D42" s="13"/>
      <c r="E42" s="4">
        <v>2017</v>
      </c>
      <c r="F42" s="4">
        <v>2020</v>
      </c>
      <c r="G42" s="4">
        <v>2030</v>
      </c>
      <c r="H42" s="4">
        <v>2040</v>
      </c>
      <c r="I42" s="4">
        <v>2050</v>
      </c>
      <c r="J42" s="4">
        <v>2060</v>
      </c>
      <c r="K42" s="4">
        <v>2070</v>
      </c>
    </row>
    <row r="43" spans="1:45">
      <c r="A43" t="s">
        <v>16</v>
      </c>
      <c r="C43" t="s">
        <v>40</v>
      </c>
      <c r="D43" s="26"/>
      <c r="E43" s="6">
        <f t="shared" ref="E43:K45" si="23">SUMIF($L$3:$AS$3,E$21,$L43:$AS43)</f>
        <v>1</v>
      </c>
      <c r="F43" s="6">
        <f t="shared" si="23"/>
        <v>1</v>
      </c>
      <c r="G43" s="6">
        <f t="shared" si="23"/>
        <v>1</v>
      </c>
      <c r="H43" s="6">
        <f t="shared" si="23"/>
        <v>1</v>
      </c>
      <c r="I43" s="3">
        <f t="shared" si="23"/>
        <v>1</v>
      </c>
      <c r="J43" s="3">
        <f t="shared" si="23"/>
        <v>1</v>
      </c>
      <c r="K43" s="3">
        <f t="shared" si="23"/>
        <v>1</v>
      </c>
      <c r="L43" s="39">
        <v>1</v>
      </c>
      <c r="M43" s="39">
        <v>1</v>
      </c>
      <c r="N43" s="39">
        <v>1</v>
      </c>
      <c r="O43" s="39">
        <v>1</v>
      </c>
      <c r="P43" s="39">
        <v>1</v>
      </c>
      <c r="Q43" s="39">
        <v>1</v>
      </c>
      <c r="R43" s="39">
        <v>1</v>
      </c>
      <c r="S43" s="39">
        <v>1</v>
      </c>
      <c r="T43" s="39">
        <v>1</v>
      </c>
      <c r="U43" s="39">
        <v>1</v>
      </c>
      <c r="V43" s="39">
        <v>1</v>
      </c>
      <c r="W43" s="39">
        <v>1</v>
      </c>
      <c r="X43" s="39">
        <v>1</v>
      </c>
      <c r="Y43" s="39">
        <v>1</v>
      </c>
      <c r="Z43" s="39">
        <v>1</v>
      </c>
      <c r="AA43" s="39">
        <v>1</v>
      </c>
      <c r="AB43" s="39">
        <v>1</v>
      </c>
      <c r="AC43" s="39">
        <v>1</v>
      </c>
      <c r="AD43" s="39">
        <v>1</v>
      </c>
      <c r="AE43" s="39">
        <v>1</v>
      </c>
      <c r="AF43" s="39">
        <v>1</v>
      </c>
      <c r="AG43" s="39">
        <v>1</v>
      </c>
      <c r="AH43" s="39">
        <v>1</v>
      </c>
      <c r="AI43" s="39">
        <v>1</v>
      </c>
      <c r="AJ43" s="39">
        <v>1</v>
      </c>
      <c r="AK43" s="39">
        <v>1</v>
      </c>
      <c r="AL43" s="39">
        <v>1</v>
      </c>
      <c r="AM43" s="39">
        <v>1</v>
      </c>
      <c r="AN43" s="6"/>
      <c r="AO43" s="6"/>
      <c r="AP43" s="6"/>
      <c r="AQ43" s="6"/>
      <c r="AR43" s="6"/>
      <c r="AS43" s="6"/>
    </row>
    <row r="44" spans="1:45">
      <c r="A44" t="s">
        <v>16</v>
      </c>
      <c r="C44" t="s">
        <v>42</v>
      </c>
      <c r="E44" s="6">
        <f t="shared" si="23"/>
        <v>1</v>
      </c>
      <c r="F44" s="6">
        <f t="shared" si="23"/>
        <v>1</v>
      </c>
      <c r="G44" s="6">
        <f t="shared" si="23"/>
        <v>1</v>
      </c>
      <c r="H44" s="6">
        <f t="shared" si="23"/>
        <v>1</v>
      </c>
      <c r="I44" s="3">
        <f t="shared" si="23"/>
        <v>1</v>
      </c>
      <c r="J44" s="3">
        <f t="shared" si="23"/>
        <v>1</v>
      </c>
      <c r="K44" s="3">
        <f t="shared" si="23"/>
        <v>1</v>
      </c>
      <c r="L44" s="39">
        <v>1</v>
      </c>
      <c r="M44" s="39">
        <v>1</v>
      </c>
      <c r="N44" s="39">
        <v>1</v>
      </c>
      <c r="O44" s="39">
        <v>1</v>
      </c>
      <c r="P44" s="39">
        <v>1</v>
      </c>
      <c r="Q44" s="39">
        <v>1</v>
      </c>
      <c r="R44" s="39">
        <v>1</v>
      </c>
      <c r="S44" s="39">
        <v>1</v>
      </c>
      <c r="T44" s="39">
        <v>1</v>
      </c>
      <c r="U44" s="39">
        <v>1</v>
      </c>
      <c r="V44" s="39">
        <v>1</v>
      </c>
      <c r="W44" s="39">
        <v>1</v>
      </c>
      <c r="X44" s="39">
        <v>1</v>
      </c>
      <c r="Y44" s="39">
        <v>1</v>
      </c>
      <c r="Z44" s="39">
        <v>1</v>
      </c>
      <c r="AA44" s="39">
        <v>1</v>
      </c>
      <c r="AB44" s="39">
        <v>1</v>
      </c>
      <c r="AC44" s="39">
        <v>1</v>
      </c>
      <c r="AD44" s="39">
        <v>1</v>
      </c>
      <c r="AE44" s="39">
        <v>1</v>
      </c>
      <c r="AF44" s="39">
        <v>1</v>
      </c>
      <c r="AG44" s="39">
        <v>1</v>
      </c>
      <c r="AH44" s="39">
        <v>1</v>
      </c>
      <c r="AI44" s="39">
        <v>1</v>
      </c>
      <c r="AJ44" s="39">
        <v>1</v>
      </c>
      <c r="AK44" s="39">
        <v>1</v>
      </c>
      <c r="AL44" s="39">
        <v>1</v>
      </c>
      <c r="AM44" s="39">
        <v>1</v>
      </c>
      <c r="AN44" s="6"/>
      <c r="AO44" s="6"/>
      <c r="AP44" s="6"/>
      <c r="AQ44" s="6"/>
      <c r="AR44" s="6"/>
      <c r="AS44" s="6"/>
    </row>
    <row r="45" spans="1:45">
      <c r="A45" t="s">
        <v>16</v>
      </c>
      <c r="C45" t="s">
        <v>41</v>
      </c>
      <c r="E45" s="6">
        <f t="shared" si="23"/>
        <v>1.0761183212512533</v>
      </c>
      <c r="F45" s="6">
        <f t="shared" si="23"/>
        <v>0.99921096731572434</v>
      </c>
      <c r="G45" s="6">
        <f t="shared" si="23"/>
        <v>1.2349762229363646</v>
      </c>
      <c r="H45" s="6">
        <f t="shared" si="23"/>
        <v>1.6919547229380809</v>
      </c>
      <c r="I45" s="3">
        <f t="shared" si="23"/>
        <v>2.2230447152746691</v>
      </c>
      <c r="J45" s="3">
        <f t="shared" si="23"/>
        <v>2.5121731010596071</v>
      </c>
      <c r="K45" s="3">
        <f t="shared" si="23"/>
        <v>2.7411143514484757</v>
      </c>
      <c r="L45" s="39" cm="1">
        <f t="array" ref="L45">INDEX(Drivers!$C$37:$AG$37,1,L21)/Drivers!$C$37</f>
        <v>1.0761183212512533</v>
      </c>
      <c r="M45" s="39" cm="1">
        <f t="array" ref="M45">INDEX(Drivers!$C$37:$AG$37,1,M21)/Drivers!$C$37</f>
        <v>1.0860639619282522</v>
      </c>
      <c r="N45" s="39" cm="1">
        <f t="array" ref="N45">INDEX(Drivers!$C$37:$AG$37,1,N21)/Drivers!$C$37</f>
        <v>1.0814226629456527</v>
      </c>
      <c r="O45" s="39" cm="1">
        <f t="array" ref="O45">INDEX(Drivers!$C$37:$AG$37,1,O21)/Drivers!$C$37</f>
        <v>0.99921096731572434</v>
      </c>
      <c r="P45" s="39" cm="1">
        <f t="array" ref="P45">INDEX(Drivers!$C$37:$AG$37,1,P21)/Drivers!$C$37</f>
        <v>1.0385535909223802</v>
      </c>
      <c r="Q45" s="39" cm="1">
        <f t="array" ref="Q45">INDEX(Drivers!$C$37:$AG$37,1,Q21)/Drivers!$C$37</f>
        <v>1.0778962145290358</v>
      </c>
      <c r="R45" s="39" cm="1">
        <f t="array" ref="R45">INDEX(Drivers!$C$37:$AG$37,1,R21)/Drivers!$C$37</f>
        <v>1.0793656272684737</v>
      </c>
      <c r="S45" s="39" cm="1">
        <f t="array" ref="S45">INDEX(Drivers!$C$37:$AG$37,1,S21)/Drivers!$C$37</f>
        <v>1.087429502957048</v>
      </c>
      <c r="T45" s="39" cm="1">
        <f t="array" ref="T45">INDEX(Drivers!$C$37:$AG$37,1,T21)/Drivers!$C$37</f>
        <v>1.0982228114712111</v>
      </c>
      <c r="U45" s="39" cm="1">
        <f t="array" ref="U45">INDEX(Drivers!$C$37:$AG$37,1,U21)/Drivers!$C$37</f>
        <v>1.1090161199853743</v>
      </c>
      <c r="V45" s="39" cm="1">
        <f t="array" ref="V45">INDEX(Drivers!$C$37:$AG$37,1,V21)/Drivers!$C$37</f>
        <v>1.1230660151609682</v>
      </c>
      <c r="W45" s="39" cm="1">
        <f t="array" ref="W45">INDEX(Drivers!$C$37:$AG$37,1,W21)/Drivers!$C$37</f>
        <v>1.1386829769594069</v>
      </c>
      <c r="X45" s="39" cm="1">
        <f t="array" ref="X45">INDEX(Drivers!$C$37:$AG$37,1,X21)/Drivers!$C$37</f>
        <v>1.2088610330826177</v>
      </c>
      <c r="Y45" s="39" cm="1">
        <f t="array" ref="Y45">INDEX(Drivers!$C$37:$AG$37,1,Y21)/Drivers!$C$37</f>
        <v>1.2349762229363646</v>
      </c>
      <c r="Z45" s="39" cm="1">
        <f t="array" ref="Z45">INDEX(Drivers!$C$37:$AG$37,1,Z21)/Drivers!$C$37</f>
        <v>1.2632647449474592</v>
      </c>
      <c r="AA45" s="39" cm="1">
        <f t="array" ref="AA45">INDEX(Drivers!$C$37:$AG$37,1,AA21)/Drivers!$C$37</f>
        <v>1.2944803859229952</v>
      </c>
      <c r="AB45" s="39" cm="1">
        <f t="array" ref="AB45">INDEX(Drivers!$C$37:$AG$37,1,AB21)/Drivers!$C$37</f>
        <v>1.3263166789689327</v>
      </c>
      <c r="AC45" s="39" cm="1">
        <f t="array" ref="AC45">INDEX(Drivers!$C$37:$AG$37,1,AC21)/Drivers!$C$37</f>
        <v>1.3621927427294531</v>
      </c>
      <c r="AD45" s="39" cm="1">
        <f t="array" ref="AD45">INDEX(Drivers!$C$37:$AG$37,1,AD21)/Drivers!$C$37</f>
        <v>1.3999895460161158</v>
      </c>
      <c r="AE45" s="39" cm="1">
        <f t="array" ref="AE45">INDEX(Drivers!$C$37:$AG$37,1,AE21)/Drivers!$C$37</f>
        <v>1.4380377729258016</v>
      </c>
      <c r="AF45" s="39" cm="1">
        <f t="array" ref="AF45">INDEX(Drivers!$C$37:$AG$37,1,AF21)/Drivers!$C$37</f>
        <v>1.4802441389762129</v>
      </c>
      <c r="AG45" s="39" cm="1">
        <f t="array" ref="AG45">INDEX(Drivers!$C$37:$AG$37,1,AG21)/Drivers!$C$37</f>
        <v>1.528417164202913</v>
      </c>
      <c r="AH45" s="39" cm="1">
        <f t="array" ref="AH45">INDEX(Drivers!$C$37:$AG$37,1,AH21)/Drivers!$C$37</f>
        <v>1.6453116800186578</v>
      </c>
      <c r="AI45" s="39" cm="1">
        <f t="array" ref="AI45">INDEX(Drivers!$C$37:$AG$37,1,AI21)/Drivers!$C$37</f>
        <v>1.6919547229380809</v>
      </c>
      <c r="AJ45" s="39" cm="1">
        <f t="array" ref="AJ45">INDEX(Drivers!$C$37:$AG$37,1,AJ21)/Drivers!$C$37</f>
        <v>1.9383650802087233</v>
      </c>
      <c r="AK45" s="39" cm="1">
        <f t="array" ref="AK45">INDEX(Drivers!$C$37:$AK$37,1,AK21)/Drivers!$C$37</f>
        <v>2.2230447152746691</v>
      </c>
      <c r="AL45" s="39" cm="1">
        <f t="array" ref="AL45">INDEX(Drivers!$C$37:$AK$37,1,AL21)/Drivers!$C$37</f>
        <v>2.5121731010596071</v>
      </c>
      <c r="AM45" s="39" cm="1">
        <f t="array" ref="AM45">INDEX(Drivers!$C$37:$AK$37,1,AM21)/Drivers!$C$37</f>
        <v>2.7411143514484757</v>
      </c>
      <c r="AN45" s="27"/>
      <c r="AO45" s="27"/>
      <c r="AP45" s="6"/>
      <c r="AQ45" s="6"/>
      <c r="AR45" s="6"/>
      <c r="AS45" s="6"/>
    </row>
    <row r="46" spans="1:45">
      <c r="A46" t="s">
        <v>16</v>
      </c>
      <c r="H46" s="92">
        <f>I46^(1/40)-1</f>
        <v>1.8303424602417406E-2</v>
      </c>
      <c r="I46" s="3">
        <f>I45/E45</f>
        <v>2.0657995235039124</v>
      </c>
      <c r="J46" s="3"/>
      <c r="K46" s="3"/>
    </row>
    <row r="47" spans="1:45" ht="15.75" thickBot="1">
      <c r="A47" t="s">
        <v>16</v>
      </c>
      <c r="C47" s="13" t="s">
        <v>199</v>
      </c>
      <c r="D47" s="13"/>
      <c r="E47" s="4">
        <v>2017</v>
      </c>
      <c r="F47" s="4">
        <v>2020</v>
      </c>
      <c r="G47" s="4">
        <v>2030</v>
      </c>
      <c r="H47" s="4">
        <v>2040</v>
      </c>
      <c r="I47" s="4">
        <v>2050</v>
      </c>
      <c r="J47" s="4"/>
      <c r="K47" s="4"/>
    </row>
    <row r="48" spans="1:45">
      <c r="A48" t="s">
        <v>16</v>
      </c>
      <c r="C48" t="s">
        <v>40</v>
      </c>
      <c r="D48" s="26" t="s">
        <v>46</v>
      </c>
      <c r="E48" s="63"/>
      <c r="F48" s="63">
        <f t="shared" ref="F48:I50" si="24">(F43/E43)^(1/(F$42-E$42))-1</f>
        <v>0</v>
      </c>
      <c r="G48" s="63">
        <f t="shared" si="24"/>
        <v>0</v>
      </c>
      <c r="H48" s="63">
        <f t="shared" si="24"/>
        <v>0</v>
      </c>
      <c r="I48" s="63">
        <f t="shared" si="24"/>
        <v>0</v>
      </c>
      <c r="J48" s="63"/>
      <c r="K48" s="63"/>
      <c r="L48" s="6"/>
      <c r="M48" s="6"/>
      <c r="N48" s="6"/>
      <c r="O48" s="6"/>
      <c r="P48" s="6"/>
      <c r="Q48" s="6"/>
      <c r="R48" s="6"/>
      <c r="S48" s="6"/>
      <c r="T48" s="6"/>
      <c r="V48" s="6"/>
      <c r="W48" s="6"/>
      <c r="X48" s="6"/>
      <c r="Y48" s="6"/>
      <c r="Z48" s="6"/>
      <c r="AA48" s="6"/>
      <c r="AB48" s="6"/>
      <c r="AC48" s="6"/>
      <c r="AD48" s="6"/>
      <c r="AP48" s="6"/>
      <c r="AR48" s="6"/>
    </row>
    <row r="49" spans="1:44">
      <c r="A49" t="s">
        <v>16</v>
      </c>
      <c r="C49" t="s">
        <v>42</v>
      </c>
      <c r="E49" s="63"/>
      <c r="F49" s="63">
        <f t="shared" si="24"/>
        <v>0</v>
      </c>
      <c r="G49" s="63">
        <f t="shared" si="24"/>
        <v>0</v>
      </c>
      <c r="H49" s="63">
        <f t="shared" si="24"/>
        <v>0</v>
      </c>
      <c r="I49" s="63">
        <f t="shared" si="24"/>
        <v>0</v>
      </c>
      <c r="J49" s="63"/>
      <c r="K49" s="63"/>
      <c r="L49" s="6"/>
      <c r="M49" s="6"/>
      <c r="N49" s="6"/>
      <c r="O49" s="6"/>
      <c r="P49" s="6"/>
      <c r="Q49" s="6"/>
      <c r="R49" s="6"/>
      <c r="S49" s="6"/>
      <c r="T49" s="6"/>
      <c r="V49" s="6"/>
      <c r="W49" s="6"/>
      <c r="X49" s="6"/>
      <c r="Y49" s="6"/>
      <c r="Z49" s="6"/>
      <c r="AA49" s="6"/>
      <c r="AB49" s="6"/>
      <c r="AC49" s="6"/>
      <c r="AD49" s="6"/>
      <c r="AP49" s="6"/>
      <c r="AR49" s="6"/>
    </row>
    <row r="50" spans="1:44">
      <c r="A50" t="s">
        <v>16</v>
      </c>
      <c r="C50" t="s">
        <v>41</v>
      </c>
      <c r="E50" s="63"/>
      <c r="F50" s="45">
        <f t="shared" si="24"/>
        <v>-2.4413634205925572E-2</v>
      </c>
      <c r="G50" s="45">
        <f t="shared" si="24"/>
        <v>2.1410082190272073E-2</v>
      </c>
      <c r="H50" s="45">
        <f t="shared" si="24"/>
        <v>3.1984119038275027E-2</v>
      </c>
      <c r="I50" s="45">
        <f t="shared" si="24"/>
        <v>2.7675365482630943E-2</v>
      </c>
      <c r="J50" s="45"/>
      <c r="K50" s="45"/>
      <c r="L50" s="6"/>
      <c r="M50" s="6"/>
      <c r="N50" s="6"/>
      <c r="O50" s="6"/>
      <c r="P50" s="6"/>
      <c r="Q50" s="6"/>
      <c r="R50" s="6"/>
      <c r="S50" s="6"/>
      <c r="T50" s="6"/>
      <c r="V50" s="6"/>
      <c r="W50" s="6"/>
      <c r="X50" s="6"/>
      <c r="Y50" s="6"/>
      <c r="Z50" s="6"/>
      <c r="AA50" s="6"/>
      <c r="AB50" s="6"/>
      <c r="AC50" s="6"/>
      <c r="AD50" s="6"/>
      <c r="AP50" s="5"/>
      <c r="AR50" s="5"/>
    </row>
    <row r="51" spans="1:44">
      <c r="A51" t="s">
        <v>16</v>
      </c>
    </row>
    <row r="52" spans="1:44" ht="18" thickBot="1">
      <c r="A52" t="s">
        <v>16</v>
      </c>
      <c r="C52" s="28" t="s">
        <v>278</v>
      </c>
    </row>
    <row r="53" spans="1:44" ht="15.75" thickTop="1">
      <c r="A53" t="s">
        <v>16</v>
      </c>
      <c r="D53" t="s">
        <v>43</v>
      </c>
      <c r="E53">
        <v>1</v>
      </c>
      <c r="F53">
        <v>2</v>
      </c>
      <c r="G53">
        <v>3</v>
      </c>
      <c r="H53" s="31"/>
    </row>
    <row r="54" spans="1:44">
      <c r="A54" t="s">
        <v>16</v>
      </c>
      <c r="B54">
        <f>[12]RES!$B32</f>
        <v>0</v>
      </c>
      <c r="C54" t="str">
        <f>[12]RES!A32</f>
        <v>USE the names but not the numbers in the greyed out stuff, all the balance numbers are taken directly from the energy balance sheet</v>
      </c>
      <c r="E54">
        <v>0.3</v>
      </c>
      <c r="F54" s="8">
        <v>0.25</v>
      </c>
      <c r="G54" s="8">
        <v>0.2</v>
      </c>
      <c r="H54" s="31"/>
    </row>
    <row r="55" spans="1:44">
      <c r="A55" t="s">
        <v>16</v>
      </c>
      <c r="B55" t="str">
        <f>[12]RES!$B33</f>
        <v>Demand</v>
      </c>
      <c r="C55" t="str">
        <f>[12]RES!A33</f>
        <v>End use demands</v>
      </c>
      <c r="E55">
        <v>0.1</v>
      </c>
      <c r="F55" s="8">
        <v>0.1</v>
      </c>
      <c r="G55" s="8">
        <v>0.1</v>
      </c>
      <c r="H55" s="31"/>
    </row>
    <row r="56" spans="1:44">
      <c r="A56" t="s">
        <v>16</v>
      </c>
      <c r="B56" t="str">
        <f>[12]RES!$B34</f>
        <v>L</v>
      </c>
      <c r="C56" t="str">
        <f>[12]RES!A34</f>
        <v>Lighting</v>
      </c>
      <c r="E56">
        <v>0.5</v>
      </c>
      <c r="F56" s="8">
        <v>0.4</v>
      </c>
      <c r="G56" s="8">
        <v>0.3</v>
      </c>
      <c r="H56" s="31"/>
    </row>
    <row r="57" spans="1:44">
      <c r="A57" t="s">
        <v>16</v>
      </c>
      <c r="B57" t="str">
        <f>[12]RES!$B35</f>
        <v>K</v>
      </c>
      <c r="C57" t="str">
        <f>[12]RES!A35</f>
        <v>Cooking</v>
      </c>
      <c r="E57">
        <v>0.3</v>
      </c>
      <c r="F57" s="8">
        <v>0.25</v>
      </c>
      <c r="G57" s="8">
        <v>0.2</v>
      </c>
      <c r="H57" s="31"/>
    </row>
    <row r="58" spans="1:44">
      <c r="A58" t="s">
        <v>16</v>
      </c>
      <c r="B58" t="str">
        <f>[12]RES!$B36</f>
        <v>H</v>
      </c>
      <c r="C58" t="str">
        <f>[12]RES!A36</f>
        <v>Space Heating</v>
      </c>
      <c r="E58">
        <v>0.2</v>
      </c>
      <c r="F58" s="8">
        <v>0.15</v>
      </c>
      <c r="G58" s="8">
        <v>0.1</v>
      </c>
      <c r="H58" s="31"/>
    </row>
    <row r="59" spans="1:44">
      <c r="A59" t="s">
        <v>16</v>
      </c>
      <c r="B59" t="str">
        <f>[12]RES!$B37</f>
        <v>WG</v>
      </c>
      <c r="C59" t="str">
        <f>[12]RES!A37</f>
        <v>Water Heating Geyser</v>
      </c>
      <c r="E59">
        <v>0.5</v>
      </c>
      <c r="F59" s="8">
        <v>0.4</v>
      </c>
      <c r="G59" s="8">
        <v>0.3</v>
      </c>
      <c r="H59" s="31"/>
    </row>
    <row r="60" spans="1:44">
      <c r="A60" t="s">
        <v>16</v>
      </c>
      <c r="B60" t="str">
        <f>[12]RES!$B38</f>
        <v>W</v>
      </c>
      <c r="C60" t="str">
        <f>[12]RES!A38</f>
        <v>Water Heating</v>
      </c>
      <c r="E60">
        <v>0</v>
      </c>
      <c r="F60" s="8">
        <v>0</v>
      </c>
      <c r="G60" s="8">
        <v>0</v>
      </c>
      <c r="H60" s="31"/>
    </row>
    <row r="61" spans="1:44">
      <c r="A61" t="s">
        <v>16</v>
      </c>
      <c r="B61" s="18"/>
    </row>
    <row r="62" spans="1:44">
      <c r="A62" t="s">
        <v>16</v>
      </c>
      <c r="C62" s="2" t="str">
        <f>C52</f>
        <v>High Income Household Elasticities</v>
      </c>
    </row>
    <row r="63" spans="1:44">
      <c r="A63" t="s">
        <v>16</v>
      </c>
      <c r="C63" t="str">
        <f t="shared" ref="C63:C69" si="25">C54</f>
        <v>USE the names but not the numbers in the greyed out stuff, all the balance numbers are taken directly from the energy balance sheet</v>
      </c>
      <c r="E63" s="3">
        <f t="shared" ref="E63:I69" si="26">FORECAST(E$45,$E54:$G54,$E$53:$G$53)</f>
        <v>0.29619408393743735</v>
      </c>
      <c r="F63" s="3">
        <f t="shared" si="26"/>
        <v>0.30003945163421375</v>
      </c>
      <c r="G63" s="3">
        <f t="shared" si="26"/>
        <v>0.28825118885318179</v>
      </c>
      <c r="H63" s="3">
        <f t="shared" si="26"/>
        <v>0.26540226385309595</v>
      </c>
      <c r="I63" s="3">
        <f t="shared" si="26"/>
        <v>0.23884776423626655</v>
      </c>
      <c r="J63" s="3">
        <f t="shared" ref="J63:K63" si="27">FORECAST(J$45,$E54:$G54,$E$53:$G$53)</f>
        <v>0.22439134494701965</v>
      </c>
      <c r="K63" s="3">
        <f t="shared" si="27"/>
        <v>0.21294428242757621</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0.29886062535611058</v>
      </c>
      <c r="Q63" cm="1">
        <f t="array" ref="Q63">IF(Q$7=-1,R63,IF(Q$7=99,P63,IF(Q$7=0,INDEX($E63:$I63,0,Q$5),(INDEX($E63:$I63,0,Q$7+1)-INDEX($E63:$I63,0,Q$7))/(INDEX($E$4:$I$4,0,Q$7+1)-INDEX($E$4:$I$4,0,Q$7))+P63)))</f>
        <v>0.2976817990780074</v>
      </c>
      <c r="R63" cm="1">
        <f t="array" ref="R63">IF(R$7=-1,S63,IF(R$7=99,Q63,IF(R$7=0,INDEX($E63:$I63,0,R$5),(INDEX($E63:$I63,0,R$7+1)-INDEX($E63:$I63,0,R$7))/(INDEX($E$4:$I$4,0,R$7+1)-INDEX($E$4:$I$4,0,R$7))+Q63)))</f>
        <v>0.29650297279990423</v>
      </c>
      <c r="S63" cm="1">
        <f t="array" ref="S63">IF(S$7=-1,T63,IF(S$7=99,R63,IF(S$7=0,INDEX($E63:$I63,0,S$5),(INDEX($E63:$I63,0,S$7+1)-INDEX($E63:$I63,0,S$7))/(INDEX($E$4:$I$4,0,S$7+1)-INDEX($E$4:$I$4,0,S$7))+R63)))</f>
        <v>0.29532414652180106</v>
      </c>
      <c r="T63" cm="1">
        <f t="array" ref="T63">IF(T$7=-1,U63,IF(T$7=99,S63,IF(T$7=0,INDEX($E63:$I63,0,T$5),(INDEX($E63:$I63,0,T$7+1)-INDEX($E63:$I63,0,T$7))/(INDEX($E$4:$I$4,0,T$7+1)-INDEX($E$4:$I$4,0,T$7))+S63)))</f>
        <v>0.29414532024369788</v>
      </c>
      <c r="U63" cm="1">
        <f t="array" ref="U63">IF(U$7=-1,V63,IF(U$7=99,T63,IF(U$7=0,INDEX($E63:$I63,0,U$5),(INDEX($E63:$I63,0,U$7+1)-INDEX($E63:$I63,0,U$7))/(INDEX($E$4:$I$4,0,U$7+1)-INDEX($E$4:$I$4,0,U$7))+T63)))</f>
        <v>0.29296649396559471</v>
      </c>
      <c r="V63" cm="1">
        <f t="array" ref="V63">IF(V$7=-1,W63,IF(V$7=99,U63,IF(V$7=0,INDEX($E63:$I63,0,V$5),(INDEX($E63:$I63,0,V$7+1)-INDEX($E63:$I63,0,V$7))/(INDEX($E$4:$I$4,0,V$7+1)-INDEX($E$4:$I$4,0,V$7))+U63)))</f>
        <v>0.29178766768749154</v>
      </c>
      <c r="W63" cm="1">
        <f t="array" ref="W63">IF(W$7=-1,X63,IF(W$7=99,V63,IF(W$7=0,INDEX($E63:$I63,0,W$5),(INDEX($E63:$I63,0,W$7+1)-INDEX($E63:$I63,0,W$7))/(INDEX($E$4:$I$4,0,W$7+1)-INDEX($E$4:$I$4,0,W$7))+V63)))</f>
        <v>0.29060884140938836</v>
      </c>
      <c r="X63" cm="1">
        <f t="array" ref="X63">IF(X$7=-1,Y63,IF(X$7=99,W63,IF(X$7=0,INDEX($E63:$I63,0,X$5),(INDEX($E63:$I63,0,X$7+1)-INDEX($E63:$I63,0,X$7))/(INDEX($E$4:$I$4,0,X$7+1)-INDEX($E$4:$I$4,0,X$7))+W63)))</f>
        <v>0.28943001513128519</v>
      </c>
      <c r="Y63" cm="1">
        <f t="array" ref="Y63">IF(Y$7=-1,Z63,IF(Y$7=99,X63,IF(Y$7=0,INDEX($E63:$I63,0,Y$5),(INDEX($E63:$I63,0,Y$7+1)-INDEX($E63:$I63,0,Y$7))/(INDEX($E$4:$I$4,0,Y$7+1)-INDEX($E$4:$I$4,0,Y$7))+X63)))</f>
        <v>0.28825118885318179</v>
      </c>
      <c r="Z63" cm="1">
        <f t="array" ref="Z63">IF(Z$7=-1,AA63,IF(Z$7=99,Y63,IF(Z$7=0,INDEX($E63:$I63,0,Z$5),(INDEX($E63:$I63,0,Z$7+1)-INDEX($E63:$I63,0,Z$7))/(INDEX($E$4:$I$4,0,Z$7+1)-INDEX($E$4:$I$4,0,Z$7))+Y63)))</f>
        <v>0.28596629635317322</v>
      </c>
      <c r="AA63" cm="1">
        <f t="array" ref="AA63">IF(AA$7=-1,AB63,IF(AA$7=99,Z63,IF(AA$7=0,INDEX($E63:$I63,0,AA$5),(INDEX($E63:$I63,0,AA$7+1)-INDEX($E63:$I63,0,AA$7))/(INDEX($E$4:$I$4,0,AA$7+1)-INDEX($E$4:$I$4,0,AA$7))+Z63)))</f>
        <v>0.28368140385316465</v>
      </c>
      <c r="AB63" cm="1">
        <f t="array" ref="AB63">IF(AB$7=-1,AC63,IF(AB$7=99,AA63,IF(AB$7=0,INDEX($E63:$I63,0,AB$5),(INDEX($E63:$I63,0,AB$7+1)-INDEX($E63:$I63,0,AB$7))/(INDEX($E$4:$I$4,0,AB$7+1)-INDEX($E$4:$I$4,0,AB$7))+AA63)))</f>
        <v>0.28139651135315608</v>
      </c>
      <c r="AC63" cm="1">
        <f t="array" ref="AC63">IF(AC$7=-1,AD63,IF(AC$7=99,AB63,IF(AC$7=0,INDEX($E63:$I63,0,AC$5),(INDEX($E63:$I63,0,AC$7+1)-INDEX($E63:$I63,0,AC$7))/(INDEX($E$4:$I$4,0,AC$7+1)-INDEX($E$4:$I$4,0,AC$7))+AB63)))</f>
        <v>0.2791116188531475</v>
      </c>
      <c r="AD63" cm="1">
        <f t="array" ref="AD63">IF(AD$7=-1,AE63,IF(AD$7=99,AC63,IF(AD$7=0,INDEX($E63:$I63,0,AD$5),(INDEX($E63:$I63,0,AD$7+1)-INDEX($E63:$I63,0,AD$7))/(INDEX($E$4:$I$4,0,AD$7+1)-INDEX($E$4:$I$4,0,AD$7))+AC63)))</f>
        <v>0.27682672635313893</v>
      </c>
      <c r="AE63" cm="1">
        <f t="array" ref="AE63">IF(AE$7=-1,AF63,IF(AE$7=99,AD63,IF(AE$7=0,INDEX($E63:$I63,0,AE$5),(INDEX($E63:$I63,0,AE$7+1)-INDEX($E63:$I63,0,AE$7))/(INDEX($E$4:$I$4,0,AE$7+1)-INDEX($E$4:$I$4,0,AE$7))+AD63)))</f>
        <v>0.27454183385313036</v>
      </c>
      <c r="AF63" cm="1">
        <f t="array" ref="AF63">IF(AF$7=-1,AG63,IF(AF$7=99,AE63,IF(AF$7=0,INDEX($E63:$I63,0,AF$5),(INDEX($E63:$I63,0,AF$7+1)-INDEX($E63:$I63,0,AF$7))/(INDEX($E$4:$I$4,0,AF$7+1)-INDEX($E$4:$I$4,0,AF$7))+AE63)))</f>
        <v>0.27225694135312178</v>
      </c>
      <c r="AG63" cm="1">
        <f t="array" ref="AG63">IF(AG$7=-1,AH63,IF(AG$7=99,AF63,IF(AG$7=0,INDEX($E63:$I63,0,AG$5),(INDEX($E63:$I63,0,AG$7+1)-INDEX($E63:$I63,0,AG$7))/(INDEX($E$4:$I$4,0,AG$7+1)-INDEX($E$4:$I$4,0,AG$7))+AF63)))</f>
        <v>0.26997204885311321</v>
      </c>
      <c r="AH63" cm="1">
        <f t="array" ref="AH63">IF(AH$7=-1,AI63,IF(AH$7=99,AG63,IF(AH$7=0,INDEX($E63:$I63,0,AH$5),(INDEX($E63:$I63,0,AH$7+1)-INDEX($E63:$I63,0,AH$7))/(INDEX($E$4:$I$4,0,AH$7+1)-INDEX($E$4:$I$4,0,AH$7))+AG63)))</f>
        <v>0.26768715635310464</v>
      </c>
      <c r="AI63" cm="1">
        <f t="array" ref="AI63">IF(AI$7=-1,AJ63,IF(AI$7=99,AH63,IF(AI$7=0,INDEX($E63:$I63,0,AI$5),(INDEX($E63:$I63,0,AI$7+1)-INDEX($E63:$I63,0,AI$7))/(INDEX($E$4:$I$4,0,AI$7+1)-INDEX($E$4:$I$4,0,AI$7))+AH63)))</f>
        <v>0.26540226385309595</v>
      </c>
      <c r="AJ63" cm="1">
        <f t="array" ref="AJ63">IF(AJ$7=-1,AK63,IF(AJ$7=99,AI63,IF(AJ$7=0,INDEX($E63:$I63,0,AJ$5),(INDEX($E63:$I63,0,AJ$7+1)-INDEX($E63:$I63,0,AJ$7))/(INDEX($E$4:$I$4,0,AJ$7+1)-INDEX($E$4:$I$4,0,AJ$7))+AI63)))</f>
        <v>0.26274681389141302</v>
      </c>
      <c r="AK63" cm="1">
        <f t="array" ref="AK63">IF(AK$7=-1,AL63,IF(AK$7=99,AJ63,IF(AK$7=0,INDEX($E63:$I63,0,AK$5),(INDEX($E63:$I63,0,AK$7+1)-INDEX($E63:$I63,0,AK$7))/(INDEX($E$4:$I$4,0,AK$7+1)-INDEX($E$4:$I$4,0,AK$7))+AJ63)))</f>
        <v>0.23884776423626655</v>
      </c>
      <c r="AL63" cm="1">
        <f t="array" ref="AL63">IF(AL$7=-1,AM63,IF(AL$7=99,AK63,IF(AL$7=0,INDEX($E63:$K63,0,AL$5),(INDEX($E63:$K63,0,AL$7+1)-INDEX($E63:$K63,0,AL$7))/(INDEX($E$4:$K$4,0,AL$7+1)-INDEX($E$4:$K$4,0,AL$7))+AK63)))</f>
        <v>0.22439134494701965</v>
      </c>
      <c r="AM63" cm="1">
        <f t="array" ref="AM63">IF(AM$7=-1,AN63,IF(AM$7=99,AL63,IF(AM$7=0,INDEX($E63:$K63,0,AM$5),(INDEX($E63:$K63,0,AM$7+1)-INDEX($E63:$K63,0,AM$7))/(INDEX($E$4:$K$4,0,AM$7+1)-INDEX($E$4:$K$4,0,AM$7))+AL63)))</f>
        <v>0.21294428242757621</v>
      </c>
    </row>
    <row r="64" spans="1:44">
      <c r="A64" t="s">
        <v>16</v>
      </c>
      <c r="C64" t="str">
        <f t="shared" si="25"/>
        <v>End use demands</v>
      </c>
      <c r="E64" s="3">
        <f t="shared" si="26"/>
        <v>0.10000000000000002</v>
      </c>
      <c r="F64" s="3">
        <f t="shared" si="26"/>
        <v>0.10000000000000002</v>
      </c>
      <c r="G64" s="3">
        <f t="shared" si="26"/>
        <v>0.10000000000000002</v>
      </c>
      <c r="H64" s="3">
        <f t="shared" si="26"/>
        <v>0.10000000000000002</v>
      </c>
      <c r="I64" s="3">
        <f t="shared" si="26"/>
        <v>0.10000000000000002</v>
      </c>
      <c r="J64" s="3">
        <f t="shared" ref="J64:K64" si="28">FORECAST(J$45,$E55:$G55,$E$53:$G$53)</f>
        <v>0.10000000000000002</v>
      </c>
      <c r="K64" s="3">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3">
        <f t="shared" si="26"/>
        <v>0.49238816787487466</v>
      </c>
      <c r="F65" s="3">
        <f t="shared" si="26"/>
        <v>0.50007890326842752</v>
      </c>
      <c r="G65" s="3">
        <f t="shared" si="26"/>
        <v>0.4765023777063635</v>
      </c>
      <c r="H65" s="3">
        <f t="shared" si="26"/>
        <v>0.43080452770619188</v>
      </c>
      <c r="I65" s="3">
        <f t="shared" si="26"/>
        <v>0.37769552847253307</v>
      </c>
      <c r="J65" s="3">
        <f t="shared" ref="J65:K65" si="29">FORECAST(J$45,$E56:$G56,$E$53:$G$53)</f>
        <v>0.34878268989403927</v>
      </c>
      <c r="K65" s="3">
        <f t="shared" si="29"/>
        <v>0.32588856485515239</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0.49772125071222112</v>
      </c>
      <c r="Q65" cm="1">
        <f t="array" ref="Q65">IF(Q$7=-1,R65,IF(Q$7=99,P65,IF(Q$7=0,INDEX($E65:$I65,0,Q$5),(INDEX($E65:$I65,0,Q$7+1)-INDEX($E65:$I65,0,Q$7))/(INDEX($E$4:$I$4,0,Q$7+1)-INDEX($E$4:$I$4,0,Q$7))+P65)))</f>
        <v>0.49536359815601472</v>
      </c>
      <c r="R65" cm="1">
        <f t="array" ref="R65">IF(R$7=-1,S65,IF(R$7=99,Q65,IF(R$7=0,INDEX($E65:$I65,0,R$5),(INDEX($E65:$I65,0,R$7+1)-INDEX($E65:$I65,0,R$7))/(INDEX($E$4:$I$4,0,R$7+1)-INDEX($E$4:$I$4,0,R$7))+Q65)))</f>
        <v>0.49300594559980832</v>
      </c>
      <c r="S65" cm="1">
        <f t="array" ref="S65">IF(S$7=-1,T65,IF(S$7=99,R65,IF(S$7=0,INDEX($E65:$I65,0,S$5),(INDEX($E65:$I65,0,S$7+1)-INDEX($E65:$I65,0,S$7))/(INDEX($E$4:$I$4,0,S$7+1)-INDEX($E$4:$I$4,0,S$7))+R65)))</f>
        <v>0.49064829304360191</v>
      </c>
      <c r="T65" cm="1">
        <f t="array" ref="T65">IF(T$7=-1,U65,IF(T$7=99,S65,IF(T$7=0,INDEX($E65:$I65,0,T$5),(INDEX($E65:$I65,0,T$7+1)-INDEX($E65:$I65,0,T$7))/(INDEX($E$4:$I$4,0,T$7+1)-INDEX($E$4:$I$4,0,T$7))+S65)))</f>
        <v>0.48829064048739551</v>
      </c>
      <c r="U65" cm="1">
        <f t="array" ref="U65">IF(U$7=-1,V65,IF(U$7=99,T65,IF(U$7=0,INDEX($E65:$I65,0,U$5),(INDEX($E65:$I65,0,U$7+1)-INDEX($E65:$I65,0,U$7))/(INDEX($E$4:$I$4,0,U$7+1)-INDEX($E$4:$I$4,0,U$7))+T65)))</f>
        <v>0.48593298793118911</v>
      </c>
      <c r="V65" cm="1">
        <f t="array" ref="V65">IF(V$7=-1,W65,IF(V$7=99,U65,IF(V$7=0,INDEX($E65:$I65,0,V$5),(INDEX($E65:$I65,0,V$7+1)-INDEX($E65:$I65,0,V$7))/(INDEX($E$4:$I$4,0,V$7+1)-INDEX($E$4:$I$4,0,V$7))+U65)))</f>
        <v>0.48357533537498271</v>
      </c>
      <c r="W65" cm="1">
        <f t="array" ref="W65">IF(W$7=-1,X65,IF(W$7=99,V65,IF(W$7=0,INDEX($E65:$I65,0,W$5),(INDEX($E65:$I65,0,W$7+1)-INDEX($E65:$I65,0,W$7))/(INDEX($E$4:$I$4,0,W$7+1)-INDEX($E$4:$I$4,0,W$7))+V65)))</f>
        <v>0.4812176828187763</v>
      </c>
      <c r="X65" cm="1">
        <f t="array" ref="X65">IF(X$7=-1,Y65,IF(X$7=99,W65,IF(X$7=0,INDEX($E65:$I65,0,X$5),(INDEX($E65:$I65,0,X$7+1)-INDEX($E65:$I65,0,X$7))/(INDEX($E$4:$I$4,0,X$7+1)-INDEX($E$4:$I$4,0,X$7))+W65)))</f>
        <v>0.4788600302625699</v>
      </c>
      <c r="Y65" cm="1">
        <f t="array" ref="Y65">IF(Y$7=-1,Z65,IF(Y$7=99,X65,IF(Y$7=0,INDEX($E65:$I65,0,Y$5),(INDEX($E65:$I65,0,Y$7+1)-INDEX($E65:$I65,0,Y$7))/(INDEX($E$4:$I$4,0,Y$7+1)-INDEX($E$4:$I$4,0,Y$7))+X65)))</f>
        <v>0.4765023777063635</v>
      </c>
      <c r="Z65" cm="1">
        <f t="array" ref="Z65">IF(Z$7=-1,AA65,IF(Z$7=99,Y65,IF(Z$7=0,INDEX($E65:$I65,0,Z$5),(INDEX($E65:$I65,0,Z$7+1)-INDEX($E65:$I65,0,Z$7))/(INDEX($E$4:$I$4,0,Z$7+1)-INDEX($E$4:$I$4,0,Z$7))+Y65)))</f>
        <v>0.47193259270634635</v>
      </c>
      <c r="AA65" cm="1">
        <f t="array" ref="AA65">IF(AA$7=-1,AB65,IF(AA$7=99,Z65,IF(AA$7=0,INDEX($E65:$I65,0,AA$5),(INDEX($E65:$I65,0,AA$7+1)-INDEX($E65:$I65,0,AA$7))/(INDEX($E$4:$I$4,0,AA$7+1)-INDEX($E$4:$I$4,0,AA$7))+Z65)))</f>
        <v>0.46736280770632921</v>
      </c>
      <c r="AB65" cm="1">
        <f t="array" ref="AB65">IF(AB$7=-1,AC65,IF(AB$7=99,AA65,IF(AB$7=0,INDEX($E65:$I65,0,AB$5),(INDEX($E65:$I65,0,AB$7+1)-INDEX($E65:$I65,0,AB$7))/(INDEX($E$4:$I$4,0,AB$7+1)-INDEX($E$4:$I$4,0,AB$7))+AA65)))</f>
        <v>0.46279302270631206</v>
      </c>
      <c r="AC65" cm="1">
        <f t="array" ref="AC65">IF(AC$7=-1,AD65,IF(AC$7=99,AB65,IF(AC$7=0,INDEX($E65:$I65,0,AC$5),(INDEX($E65:$I65,0,AC$7+1)-INDEX($E65:$I65,0,AC$7))/(INDEX($E$4:$I$4,0,AC$7+1)-INDEX($E$4:$I$4,0,AC$7))+AB65)))</f>
        <v>0.45822323770629492</v>
      </c>
      <c r="AD65" cm="1">
        <f t="array" ref="AD65">IF(AD$7=-1,AE65,IF(AD$7=99,AC65,IF(AD$7=0,INDEX($E65:$I65,0,AD$5),(INDEX($E65:$I65,0,AD$7+1)-INDEX($E65:$I65,0,AD$7))/(INDEX($E$4:$I$4,0,AD$7+1)-INDEX($E$4:$I$4,0,AD$7))+AC65)))</f>
        <v>0.45365345270627777</v>
      </c>
      <c r="AE65" cm="1">
        <f t="array" ref="AE65">IF(AE$7=-1,AF65,IF(AE$7=99,AD65,IF(AE$7=0,INDEX($E65:$I65,0,AE$5),(INDEX($E65:$I65,0,AE$7+1)-INDEX($E65:$I65,0,AE$7))/(INDEX($E$4:$I$4,0,AE$7+1)-INDEX($E$4:$I$4,0,AE$7))+AD65)))</f>
        <v>0.44908366770626063</v>
      </c>
      <c r="AF65" cm="1">
        <f t="array" ref="AF65">IF(AF$7=-1,AG65,IF(AF$7=99,AE65,IF(AF$7=0,INDEX($E65:$I65,0,AF$5),(INDEX($E65:$I65,0,AF$7+1)-INDEX($E65:$I65,0,AF$7))/(INDEX($E$4:$I$4,0,AF$7+1)-INDEX($E$4:$I$4,0,AF$7))+AE65)))</f>
        <v>0.44451388270624348</v>
      </c>
      <c r="AG65" cm="1">
        <f t="array" ref="AG65">IF(AG$7=-1,AH65,IF(AG$7=99,AF65,IF(AG$7=0,INDEX($E65:$I65,0,AG$5),(INDEX($E65:$I65,0,AG$7+1)-INDEX($E65:$I65,0,AG$7))/(INDEX($E$4:$I$4,0,AG$7+1)-INDEX($E$4:$I$4,0,AG$7))+AF65)))</f>
        <v>0.43994409770622633</v>
      </c>
      <c r="AH65" cm="1">
        <f t="array" ref="AH65">IF(AH$7=-1,AI65,IF(AH$7=99,AG65,IF(AH$7=0,INDEX($E65:$I65,0,AH$5),(INDEX($E65:$I65,0,AH$7+1)-INDEX($E65:$I65,0,AH$7))/(INDEX($E$4:$I$4,0,AH$7+1)-INDEX($E$4:$I$4,0,AH$7))+AG65)))</f>
        <v>0.43537431270620919</v>
      </c>
      <c r="AI65" cm="1">
        <f t="array" ref="AI65">IF(AI$7=-1,AJ65,IF(AI$7=99,AH65,IF(AI$7=0,INDEX($E65:$I65,0,AI$5),(INDEX($E65:$I65,0,AI$7+1)-INDEX($E65:$I65,0,AI$7))/(INDEX($E$4:$I$4,0,AI$7+1)-INDEX($E$4:$I$4,0,AI$7))+AH65)))</f>
        <v>0.43080452770619188</v>
      </c>
      <c r="AJ65" cm="1">
        <f t="array" ref="AJ65">IF(AJ$7=-1,AK65,IF(AJ$7=99,AI65,IF(AJ$7=0,INDEX($E65:$I65,0,AJ$5),(INDEX($E65:$I65,0,AJ$7+1)-INDEX($E65:$I65,0,AJ$7))/(INDEX($E$4:$I$4,0,AJ$7+1)-INDEX($E$4:$I$4,0,AJ$7))+AI65)))</f>
        <v>0.42549362778282601</v>
      </c>
      <c r="AK65" cm="1">
        <f t="array" ref="AK65">IF(AK$7=-1,AL65,IF(AK$7=99,AJ65,IF(AK$7=0,INDEX($E65:$I65,0,AK$5),(INDEX($E65:$I65,0,AK$7+1)-INDEX($E65:$I65,0,AK$7))/(INDEX($E$4:$I$4,0,AK$7+1)-INDEX($E$4:$I$4,0,AK$7))+AJ65)))</f>
        <v>0.37769552847253307</v>
      </c>
      <c r="AL65" cm="1">
        <f t="array" ref="AL65">IF(AL$7=-1,AM65,IF(AL$7=99,AK65,IF(AL$7=0,INDEX($E65:$K65,0,AL$5),(INDEX($E65:$K65,0,AL$7+1)-INDEX($E65:$K65,0,AL$7))/(INDEX($E$4:$K$4,0,AL$7+1)-INDEX($E$4:$K$4,0,AL$7))+AK65)))</f>
        <v>0.34878268989403927</v>
      </c>
      <c r="AM65" cm="1">
        <f t="array" ref="AM65">IF(AM$7=-1,AN65,IF(AM$7=99,AL65,IF(AM$7=0,INDEX($E65:$K65,0,AM$5),(INDEX($E65:$K65,0,AM$7+1)-INDEX($E65:$K65,0,AM$7))/(INDEX($E$4:$K$4,0,AM$7+1)-INDEX($E$4:$K$4,0,AM$7))+AL65)))</f>
        <v>0.32588856485515239</v>
      </c>
    </row>
    <row r="66" spans="1:39">
      <c r="A66" t="s">
        <v>16</v>
      </c>
      <c r="C66" t="str">
        <f t="shared" si="25"/>
        <v>Cooking</v>
      </c>
      <c r="E66" s="3">
        <f t="shared" si="26"/>
        <v>0.29619408393743735</v>
      </c>
      <c r="F66" s="3">
        <f t="shared" si="26"/>
        <v>0.30003945163421375</v>
      </c>
      <c r="G66" s="3">
        <f t="shared" si="26"/>
        <v>0.28825118885318179</v>
      </c>
      <c r="H66" s="3">
        <f t="shared" si="26"/>
        <v>0.26540226385309595</v>
      </c>
      <c r="I66" s="3">
        <f t="shared" si="26"/>
        <v>0.23884776423626655</v>
      </c>
      <c r="J66" s="3">
        <f t="shared" ref="J66:K66" si="30">FORECAST(J$45,$E57:$G57,$E$53:$G$53)</f>
        <v>0.22439134494701965</v>
      </c>
      <c r="K66" s="3">
        <f t="shared" si="30"/>
        <v>0.21294428242757621</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0.29886062535611058</v>
      </c>
      <c r="Q66" cm="1">
        <f t="array" ref="Q66">IF(Q$7=-1,R66,IF(Q$7=99,P66,IF(Q$7=0,INDEX($E66:$I66,0,Q$5),(INDEX($E66:$I66,0,Q$7+1)-INDEX($E66:$I66,0,Q$7))/(INDEX($E$4:$I$4,0,Q$7+1)-INDEX($E$4:$I$4,0,Q$7))+P66)))</f>
        <v>0.2976817990780074</v>
      </c>
      <c r="R66" cm="1">
        <f t="array" ref="R66">IF(R$7=-1,S66,IF(R$7=99,Q66,IF(R$7=0,INDEX($E66:$I66,0,R$5),(INDEX($E66:$I66,0,R$7+1)-INDEX($E66:$I66,0,R$7))/(INDEX($E$4:$I$4,0,R$7+1)-INDEX($E$4:$I$4,0,R$7))+Q66)))</f>
        <v>0.29650297279990423</v>
      </c>
      <c r="S66" cm="1">
        <f t="array" ref="S66">IF(S$7=-1,T66,IF(S$7=99,R66,IF(S$7=0,INDEX($E66:$I66,0,S$5),(INDEX($E66:$I66,0,S$7+1)-INDEX($E66:$I66,0,S$7))/(INDEX($E$4:$I$4,0,S$7+1)-INDEX($E$4:$I$4,0,S$7))+R66)))</f>
        <v>0.29532414652180106</v>
      </c>
      <c r="T66" cm="1">
        <f t="array" ref="T66">IF(T$7=-1,U66,IF(T$7=99,S66,IF(T$7=0,INDEX($E66:$I66,0,T$5),(INDEX($E66:$I66,0,T$7+1)-INDEX($E66:$I66,0,T$7))/(INDEX($E$4:$I$4,0,T$7+1)-INDEX($E$4:$I$4,0,T$7))+S66)))</f>
        <v>0.29414532024369788</v>
      </c>
      <c r="U66" cm="1">
        <f t="array" ref="U66">IF(U$7=-1,V66,IF(U$7=99,T66,IF(U$7=0,INDEX($E66:$I66,0,U$5),(INDEX($E66:$I66,0,U$7+1)-INDEX($E66:$I66,0,U$7))/(INDEX($E$4:$I$4,0,U$7+1)-INDEX($E$4:$I$4,0,U$7))+T66)))</f>
        <v>0.29296649396559471</v>
      </c>
      <c r="V66" cm="1">
        <f t="array" ref="V66">IF(V$7=-1,W66,IF(V$7=99,U66,IF(V$7=0,INDEX($E66:$I66,0,V$5),(INDEX($E66:$I66,0,V$7+1)-INDEX($E66:$I66,0,V$7))/(INDEX($E$4:$I$4,0,V$7+1)-INDEX($E$4:$I$4,0,V$7))+U66)))</f>
        <v>0.29178766768749154</v>
      </c>
      <c r="W66" cm="1">
        <f t="array" ref="W66">IF(W$7=-1,X66,IF(W$7=99,V66,IF(W$7=0,INDEX($E66:$I66,0,W$5),(INDEX($E66:$I66,0,W$7+1)-INDEX($E66:$I66,0,W$7))/(INDEX($E$4:$I$4,0,W$7+1)-INDEX($E$4:$I$4,0,W$7))+V66)))</f>
        <v>0.29060884140938836</v>
      </c>
      <c r="X66" cm="1">
        <f t="array" ref="X66">IF(X$7=-1,Y66,IF(X$7=99,W66,IF(X$7=0,INDEX($E66:$I66,0,X$5),(INDEX($E66:$I66,0,X$7+1)-INDEX($E66:$I66,0,X$7))/(INDEX($E$4:$I$4,0,X$7+1)-INDEX($E$4:$I$4,0,X$7))+W66)))</f>
        <v>0.28943001513128519</v>
      </c>
      <c r="Y66" cm="1">
        <f t="array" ref="Y66">IF(Y$7=-1,Z66,IF(Y$7=99,X66,IF(Y$7=0,INDEX($E66:$I66,0,Y$5),(INDEX($E66:$I66,0,Y$7+1)-INDEX($E66:$I66,0,Y$7))/(INDEX($E$4:$I$4,0,Y$7+1)-INDEX($E$4:$I$4,0,Y$7))+X66)))</f>
        <v>0.28825118885318179</v>
      </c>
      <c r="Z66" cm="1">
        <f t="array" ref="Z66">IF(Z$7=-1,AA66,IF(Z$7=99,Y66,IF(Z$7=0,INDEX($E66:$I66,0,Z$5),(INDEX($E66:$I66,0,Z$7+1)-INDEX($E66:$I66,0,Z$7))/(INDEX($E$4:$I$4,0,Z$7+1)-INDEX($E$4:$I$4,0,Z$7))+Y66)))</f>
        <v>0.28596629635317322</v>
      </c>
      <c r="AA66" cm="1">
        <f t="array" ref="AA66">IF(AA$7=-1,AB66,IF(AA$7=99,Z66,IF(AA$7=0,INDEX($E66:$I66,0,AA$5),(INDEX($E66:$I66,0,AA$7+1)-INDEX($E66:$I66,0,AA$7))/(INDEX($E$4:$I$4,0,AA$7+1)-INDEX($E$4:$I$4,0,AA$7))+Z66)))</f>
        <v>0.28368140385316465</v>
      </c>
      <c r="AB66" cm="1">
        <f t="array" ref="AB66">IF(AB$7=-1,AC66,IF(AB$7=99,AA66,IF(AB$7=0,INDEX($E66:$I66,0,AB$5),(INDEX($E66:$I66,0,AB$7+1)-INDEX($E66:$I66,0,AB$7))/(INDEX($E$4:$I$4,0,AB$7+1)-INDEX($E$4:$I$4,0,AB$7))+AA66)))</f>
        <v>0.28139651135315608</v>
      </c>
      <c r="AC66" cm="1">
        <f t="array" ref="AC66">IF(AC$7=-1,AD66,IF(AC$7=99,AB66,IF(AC$7=0,INDEX($E66:$I66,0,AC$5),(INDEX($E66:$I66,0,AC$7+1)-INDEX($E66:$I66,0,AC$7))/(INDEX($E$4:$I$4,0,AC$7+1)-INDEX($E$4:$I$4,0,AC$7))+AB66)))</f>
        <v>0.2791116188531475</v>
      </c>
      <c r="AD66" cm="1">
        <f t="array" ref="AD66">IF(AD$7=-1,AE66,IF(AD$7=99,AC66,IF(AD$7=0,INDEX($E66:$I66,0,AD$5),(INDEX($E66:$I66,0,AD$7+1)-INDEX($E66:$I66,0,AD$7))/(INDEX($E$4:$I$4,0,AD$7+1)-INDEX($E$4:$I$4,0,AD$7))+AC66)))</f>
        <v>0.27682672635313893</v>
      </c>
      <c r="AE66" cm="1">
        <f t="array" ref="AE66">IF(AE$7=-1,AF66,IF(AE$7=99,AD66,IF(AE$7=0,INDEX($E66:$I66,0,AE$5),(INDEX($E66:$I66,0,AE$7+1)-INDEX($E66:$I66,0,AE$7))/(INDEX($E$4:$I$4,0,AE$7+1)-INDEX($E$4:$I$4,0,AE$7))+AD66)))</f>
        <v>0.27454183385313036</v>
      </c>
      <c r="AF66" cm="1">
        <f t="array" ref="AF66">IF(AF$7=-1,AG66,IF(AF$7=99,AE66,IF(AF$7=0,INDEX($E66:$I66,0,AF$5),(INDEX($E66:$I66,0,AF$7+1)-INDEX($E66:$I66,0,AF$7))/(INDEX($E$4:$I$4,0,AF$7+1)-INDEX($E$4:$I$4,0,AF$7))+AE66)))</f>
        <v>0.27225694135312178</v>
      </c>
      <c r="AG66" cm="1">
        <f t="array" ref="AG66">IF(AG$7=-1,AH66,IF(AG$7=99,AF66,IF(AG$7=0,INDEX($E66:$I66,0,AG$5),(INDEX($E66:$I66,0,AG$7+1)-INDEX($E66:$I66,0,AG$7))/(INDEX($E$4:$I$4,0,AG$7+1)-INDEX($E$4:$I$4,0,AG$7))+AF66)))</f>
        <v>0.26997204885311321</v>
      </c>
      <c r="AH66" cm="1">
        <f t="array" ref="AH66">IF(AH$7=-1,AI66,IF(AH$7=99,AG66,IF(AH$7=0,INDEX($E66:$I66,0,AH$5),(INDEX($E66:$I66,0,AH$7+1)-INDEX($E66:$I66,0,AH$7))/(INDEX($E$4:$I$4,0,AH$7+1)-INDEX($E$4:$I$4,0,AH$7))+AG66)))</f>
        <v>0.26768715635310464</v>
      </c>
      <c r="AI66" cm="1">
        <f t="array" ref="AI66">IF(AI$7=-1,AJ66,IF(AI$7=99,AH66,IF(AI$7=0,INDEX($E66:$I66,0,AI$5),(INDEX($E66:$I66,0,AI$7+1)-INDEX($E66:$I66,0,AI$7))/(INDEX($E$4:$I$4,0,AI$7+1)-INDEX($E$4:$I$4,0,AI$7))+AH66)))</f>
        <v>0.26540226385309595</v>
      </c>
      <c r="AJ66" cm="1">
        <f t="array" ref="AJ66">IF(AJ$7=-1,AK66,IF(AJ$7=99,AI66,IF(AJ$7=0,INDEX($E66:$I66,0,AJ$5),(INDEX($E66:$I66,0,AJ$7+1)-INDEX($E66:$I66,0,AJ$7))/(INDEX($E$4:$I$4,0,AJ$7+1)-INDEX($E$4:$I$4,0,AJ$7))+AI66)))</f>
        <v>0.26274681389141302</v>
      </c>
      <c r="AK66" cm="1">
        <f t="array" ref="AK66">IF(AK$7=-1,AL66,IF(AK$7=99,AJ66,IF(AK$7=0,INDEX($E66:$I66,0,AK$5),(INDEX($E66:$I66,0,AK$7+1)-INDEX($E66:$I66,0,AK$7))/(INDEX($E$4:$I$4,0,AK$7+1)-INDEX($E$4:$I$4,0,AK$7))+AJ66)))</f>
        <v>0.23884776423626655</v>
      </c>
      <c r="AL66" cm="1">
        <f t="array" ref="AL66">IF(AL$7=-1,AM66,IF(AL$7=99,AK66,IF(AL$7=0,INDEX($E66:$K66,0,AL$5),(INDEX($E66:$K66,0,AL$7+1)-INDEX($E66:$K66,0,AL$7))/(INDEX($E$4:$K$4,0,AL$7+1)-INDEX($E$4:$K$4,0,AL$7))+AK66)))</f>
        <v>0.22439134494701965</v>
      </c>
      <c r="AM66" cm="1">
        <f t="array" ref="AM66">IF(AM$7=-1,AN66,IF(AM$7=99,AL66,IF(AM$7=0,INDEX($E66:$K66,0,AM$5),(INDEX($E66:$K66,0,AM$7+1)-INDEX($E66:$K66,0,AM$7))/(INDEX($E$4:$K$4,0,AM$7+1)-INDEX($E$4:$K$4,0,AM$7))+AL66)))</f>
        <v>0.21294428242757621</v>
      </c>
    </row>
    <row r="67" spans="1:39">
      <c r="A67" t="s">
        <v>16</v>
      </c>
      <c r="C67" t="str">
        <f t="shared" si="25"/>
        <v>Space Heating</v>
      </c>
      <c r="E67" s="3">
        <f t="shared" si="26"/>
        <v>0.19619408393743734</v>
      </c>
      <c r="F67" s="3">
        <f t="shared" si="26"/>
        <v>0.20003945163421377</v>
      </c>
      <c r="G67" s="3">
        <f t="shared" si="26"/>
        <v>0.18825118885318176</v>
      </c>
      <c r="H67" s="3">
        <f t="shared" si="26"/>
        <v>0.16540226385309595</v>
      </c>
      <c r="I67" s="3">
        <f t="shared" si="26"/>
        <v>0.13884776423626655</v>
      </c>
      <c r="J67" s="3">
        <f t="shared" ref="J67:K67" si="31">FORECAST(J$45,$E58:$G58,$E$53:$G$53)</f>
        <v>0.12439134494701964</v>
      </c>
      <c r="K67" s="3">
        <f t="shared" si="31"/>
        <v>0.1129442824275762</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0.19886062535611057</v>
      </c>
      <c r="Q67" cm="1">
        <f t="array" ref="Q67">IF(Q$7=-1,R67,IF(Q$7=99,P67,IF(Q$7=0,INDEX($E67:$I67,0,Q$5),(INDEX($E67:$I67,0,Q$7+1)-INDEX($E67:$I67,0,Q$7))/(INDEX($E$4:$I$4,0,Q$7+1)-INDEX($E$4:$I$4,0,Q$7))+P67)))</f>
        <v>0.19768179907800737</v>
      </c>
      <c r="R67" cm="1">
        <f t="array" ref="R67">IF(R$7=-1,S67,IF(R$7=99,Q67,IF(R$7=0,INDEX($E67:$I67,0,R$5),(INDEX($E67:$I67,0,R$7+1)-INDEX($E67:$I67,0,R$7))/(INDEX($E$4:$I$4,0,R$7+1)-INDEX($E$4:$I$4,0,R$7))+Q67)))</f>
        <v>0.19650297279990417</v>
      </c>
      <c r="S67" cm="1">
        <f t="array" ref="S67">IF(S$7=-1,T67,IF(S$7=99,R67,IF(S$7=0,INDEX($E67:$I67,0,S$5),(INDEX($E67:$I67,0,S$7+1)-INDEX($E67:$I67,0,S$7))/(INDEX($E$4:$I$4,0,S$7+1)-INDEX($E$4:$I$4,0,S$7))+R67)))</f>
        <v>0.19532414652180097</v>
      </c>
      <c r="T67" cm="1">
        <f t="array" ref="T67">IF(T$7=-1,U67,IF(T$7=99,S67,IF(T$7=0,INDEX($E67:$I67,0,T$5),(INDEX($E67:$I67,0,T$7+1)-INDEX($E67:$I67,0,T$7))/(INDEX($E$4:$I$4,0,T$7+1)-INDEX($E$4:$I$4,0,T$7))+S67)))</f>
        <v>0.19414532024369777</v>
      </c>
      <c r="U67" cm="1">
        <f t="array" ref="U67">IF(U$7=-1,V67,IF(U$7=99,T67,IF(U$7=0,INDEX($E67:$I67,0,U$5),(INDEX($E67:$I67,0,U$7+1)-INDEX($E67:$I67,0,U$7))/(INDEX($E$4:$I$4,0,U$7+1)-INDEX($E$4:$I$4,0,U$7))+T67)))</f>
        <v>0.19296649396559457</v>
      </c>
      <c r="V67" cm="1">
        <f t="array" ref="V67">IF(V$7=-1,W67,IF(V$7=99,U67,IF(V$7=0,INDEX($E67:$I67,0,V$5),(INDEX($E67:$I67,0,V$7+1)-INDEX($E67:$I67,0,V$7))/(INDEX($E$4:$I$4,0,V$7+1)-INDEX($E$4:$I$4,0,V$7))+U67)))</f>
        <v>0.19178766768749136</v>
      </c>
      <c r="W67" cm="1">
        <f t="array" ref="W67">IF(W$7=-1,X67,IF(W$7=99,V67,IF(W$7=0,INDEX($E67:$I67,0,W$5),(INDEX($E67:$I67,0,W$7+1)-INDEX($E67:$I67,0,W$7))/(INDEX($E$4:$I$4,0,W$7+1)-INDEX($E$4:$I$4,0,W$7))+V67)))</f>
        <v>0.19060884140938816</v>
      </c>
      <c r="X67" cm="1">
        <f t="array" ref="X67">IF(X$7=-1,Y67,IF(X$7=99,W67,IF(X$7=0,INDEX($E67:$I67,0,X$5),(INDEX($E67:$I67,0,X$7+1)-INDEX($E67:$I67,0,X$7))/(INDEX($E$4:$I$4,0,X$7+1)-INDEX($E$4:$I$4,0,X$7))+W67)))</f>
        <v>0.18943001513128496</v>
      </c>
      <c r="Y67" cm="1">
        <f t="array" ref="Y67">IF(Y$7=-1,Z67,IF(Y$7=99,X67,IF(Y$7=0,INDEX($E67:$I67,0,Y$5),(INDEX($E67:$I67,0,Y$7+1)-INDEX($E67:$I67,0,Y$7))/(INDEX($E$4:$I$4,0,Y$7+1)-INDEX($E$4:$I$4,0,Y$7))+X67)))</f>
        <v>0.18825118885318176</v>
      </c>
      <c r="Z67" cm="1">
        <f t="array" ref="Z67">IF(Z$7=-1,AA67,IF(Z$7=99,Y67,IF(Z$7=0,INDEX($E67:$I67,0,Z$5),(INDEX($E67:$I67,0,Z$7+1)-INDEX($E67:$I67,0,Z$7))/(INDEX($E$4:$I$4,0,Z$7+1)-INDEX($E$4:$I$4,0,Z$7))+Y67)))</f>
        <v>0.18596629635317319</v>
      </c>
      <c r="AA67" cm="1">
        <f t="array" ref="AA67">IF(AA$7=-1,AB67,IF(AA$7=99,Z67,IF(AA$7=0,INDEX($E67:$I67,0,AA$5),(INDEX($E67:$I67,0,AA$7+1)-INDEX($E67:$I67,0,AA$7))/(INDEX($E$4:$I$4,0,AA$7+1)-INDEX($E$4:$I$4,0,AA$7))+Z67)))</f>
        <v>0.18368140385316462</v>
      </c>
      <c r="AB67" cm="1">
        <f t="array" ref="AB67">IF(AB$7=-1,AC67,IF(AB$7=99,AA67,IF(AB$7=0,INDEX($E67:$I67,0,AB$5),(INDEX($E67:$I67,0,AB$7+1)-INDEX($E67:$I67,0,AB$7))/(INDEX($E$4:$I$4,0,AB$7+1)-INDEX($E$4:$I$4,0,AB$7))+AA67)))</f>
        <v>0.18139651135315604</v>
      </c>
      <c r="AC67" cm="1">
        <f t="array" ref="AC67">IF(AC$7=-1,AD67,IF(AC$7=99,AB67,IF(AC$7=0,INDEX($E67:$I67,0,AC$5),(INDEX($E67:$I67,0,AC$7+1)-INDEX($E67:$I67,0,AC$7))/(INDEX($E$4:$I$4,0,AC$7+1)-INDEX($E$4:$I$4,0,AC$7))+AB67)))</f>
        <v>0.17911161885314747</v>
      </c>
      <c r="AD67" cm="1">
        <f t="array" ref="AD67">IF(AD$7=-1,AE67,IF(AD$7=99,AC67,IF(AD$7=0,INDEX($E67:$I67,0,AD$5),(INDEX($E67:$I67,0,AD$7+1)-INDEX($E67:$I67,0,AD$7))/(INDEX($E$4:$I$4,0,AD$7+1)-INDEX($E$4:$I$4,0,AD$7))+AC67)))</f>
        <v>0.1768267263531389</v>
      </c>
      <c r="AE67" cm="1">
        <f t="array" ref="AE67">IF(AE$7=-1,AF67,IF(AE$7=99,AD67,IF(AE$7=0,INDEX($E67:$I67,0,AE$5),(INDEX($E67:$I67,0,AE$7+1)-INDEX($E67:$I67,0,AE$7))/(INDEX($E$4:$I$4,0,AE$7+1)-INDEX($E$4:$I$4,0,AE$7))+AD67)))</f>
        <v>0.17454183385313032</v>
      </c>
      <c r="AF67" cm="1">
        <f t="array" ref="AF67">IF(AF$7=-1,AG67,IF(AF$7=99,AE67,IF(AF$7=0,INDEX($E67:$I67,0,AF$5),(INDEX($E67:$I67,0,AF$7+1)-INDEX($E67:$I67,0,AF$7))/(INDEX($E$4:$I$4,0,AF$7+1)-INDEX($E$4:$I$4,0,AF$7))+AE67)))</f>
        <v>0.17225694135312175</v>
      </c>
      <c r="AG67" cm="1">
        <f t="array" ref="AG67">IF(AG$7=-1,AH67,IF(AG$7=99,AF67,IF(AG$7=0,INDEX($E67:$I67,0,AG$5),(INDEX($E67:$I67,0,AG$7+1)-INDEX($E67:$I67,0,AG$7))/(INDEX($E$4:$I$4,0,AG$7+1)-INDEX($E$4:$I$4,0,AG$7))+AF67)))</f>
        <v>0.16997204885311318</v>
      </c>
      <c r="AH67" cm="1">
        <f t="array" ref="AH67">IF(AH$7=-1,AI67,IF(AH$7=99,AG67,IF(AH$7=0,INDEX($E67:$I67,0,AH$5),(INDEX($E67:$I67,0,AH$7+1)-INDEX($E67:$I67,0,AH$7))/(INDEX($E$4:$I$4,0,AH$7+1)-INDEX($E$4:$I$4,0,AH$7))+AG67)))</f>
        <v>0.1676871563531046</v>
      </c>
      <c r="AI67" cm="1">
        <f t="array" ref="AI67">IF(AI$7=-1,AJ67,IF(AI$7=99,AH67,IF(AI$7=0,INDEX($E67:$I67,0,AI$5),(INDEX($E67:$I67,0,AI$7+1)-INDEX($E67:$I67,0,AI$7))/(INDEX($E$4:$I$4,0,AI$7+1)-INDEX($E$4:$I$4,0,AI$7))+AH67)))</f>
        <v>0.16540226385309595</v>
      </c>
      <c r="AJ67" cm="1">
        <f t="array" ref="AJ67">IF(AJ$7=-1,AK67,IF(AJ$7=99,AI67,IF(AJ$7=0,INDEX($E67:$I67,0,AJ$5),(INDEX($E67:$I67,0,AJ$7+1)-INDEX($E67:$I67,0,AJ$7))/(INDEX($E$4:$I$4,0,AJ$7+1)-INDEX($E$4:$I$4,0,AJ$7))+AI67)))</f>
        <v>0.16274681389141302</v>
      </c>
      <c r="AK67" cm="1">
        <f t="array" ref="AK67">IF(AK$7=-1,AL67,IF(AK$7=99,AJ67,IF(AK$7=0,INDEX($E67:$I67,0,AK$5),(INDEX($E67:$I67,0,AK$7+1)-INDEX($E67:$I67,0,AK$7))/(INDEX($E$4:$I$4,0,AK$7+1)-INDEX($E$4:$I$4,0,AK$7))+AJ67)))</f>
        <v>0.13884776423626655</v>
      </c>
      <c r="AL67" cm="1">
        <f t="array" ref="AL67">IF(AL$7=-1,AM67,IF(AL$7=99,AK67,IF(AL$7=0,INDEX($E67:$K67,0,AL$5),(INDEX($E67:$K67,0,AL$7+1)-INDEX($E67:$K67,0,AL$7))/(INDEX($E$4:$K$4,0,AL$7+1)-INDEX($E$4:$K$4,0,AL$7))+AK67)))</f>
        <v>0.12439134494701964</v>
      </c>
      <c r="AM67" cm="1">
        <f t="array" ref="AM67">IF(AM$7=-1,AN67,IF(AM$7=99,AL67,IF(AM$7=0,INDEX($E67:$K67,0,AM$5),(INDEX($E67:$K67,0,AM$7+1)-INDEX($E67:$K67,0,AM$7))/(INDEX($E$4:$K$4,0,AM$7+1)-INDEX($E$4:$K$4,0,AM$7))+AL67)))</f>
        <v>0.1129442824275762</v>
      </c>
    </row>
    <row r="68" spans="1:39">
      <c r="A68" t="s">
        <v>16</v>
      </c>
      <c r="C68" t="str">
        <f t="shared" si="25"/>
        <v>Water Heating Geyser</v>
      </c>
      <c r="E68" s="3">
        <f t="shared" si="26"/>
        <v>0.49238816787487466</v>
      </c>
      <c r="F68" s="3">
        <f t="shared" si="26"/>
        <v>0.50007890326842752</v>
      </c>
      <c r="G68" s="3">
        <f t="shared" si="26"/>
        <v>0.4765023777063635</v>
      </c>
      <c r="H68" s="3">
        <f t="shared" si="26"/>
        <v>0.43080452770619188</v>
      </c>
      <c r="I68" s="3">
        <f t="shared" si="26"/>
        <v>0.37769552847253307</v>
      </c>
      <c r="J68" s="3">
        <f t="shared" ref="J68:K68" si="32">FORECAST(J$45,$E59:$G59,$E$53:$G$53)</f>
        <v>0.34878268989403927</v>
      </c>
      <c r="K68" s="3">
        <f t="shared" si="32"/>
        <v>0.32588856485515239</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0.49772125071222112</v>
      </c>
      <c r="Q68" cm="1">
        <f t="array" ref="Q68">IF(Q$7=-1,R68,IF(Q$7=99,P68,IF(Q$7=0,INDEX($E68:$I68,0,Q$5),(INDEX($E68:$I68,0,Q$7+1)-INDEX($E68:$I68,0,Q$7))/(INDEX($E$4:$I$4,0,Q$7+1)-INDEX($E$4:$I$4,0,Q$7))+P68)))</f>
        <v>0.49536359815601472</v>
      </c>
      <c r="R68" cm="1">
        <f t="array" ref="R68">IF(R$7=-1,S68,IF(R$7=99,Q68,IF(R$7=0,INDEX($E68:$I68,0,R$5),(INDEX($E68:$I68,0,R$7+1)-INDEX($E68:$I68,0,R$7))/(INDEX($E$4:$I$4,0,R$7+1)-INDEX($E$4:$I$4,0,R$7))+Q68)))</f>
        <v>0.49300594559980832</v>
      </c>
      <c r="S68" cm="1">
        <f t="array" ref="S68">IF(S$7=-1,T68,IF(S$7=99,R68,IF(S$7=0,INDEX($E68:$I68,0,S$5),(INDEX($E68:$I68,0,S$7+1)-INDEX($E68:$I68,0,S$7))/(INDEX($E$4:$I$4,0,S$7+1)-INDEX($E$4:$I$4,0,S$7))+R68)))</f>
        <v>0.49064829304360191</v>
      </c>
      <c r="T68" cm="1">
        <f t="array" ref="T68">IF(T$7=-1,U68,IF(T$7=99,S68,IF(T$7=0,INDEX($E68:$I68,0,T$5),(INDEX($E68:$I68,0,T$7+1)-INDEX($E68:$I68,0,T$7))/(INDEX($E$4:$I$4,0,T$7+1)-INDEX($E$4:$I$4,0,T$7))+S68)))</f>
        <v>0.48829064048739551</v>
      </c>
      <c r="U68" cm="1">
        <f t="array" ref="U68">IF(U$7=-1,V68,IF(U$7=99,T68,IF(U$7=0,INDEX($E68:$I68,0,U$5),(INDEX($E68:$I68,0,U$7+1)-INDEX($E68:$I68,0,U$7))/(INDEX($E$4:$I$4,0,U$7+1)-INDEX($E$4:$I$4,0,U$7))+T68)))</f>
        <v>0.48593298793118911</v>
      </c>
      <c r="V68" cm="1">
        <f t="array" ref="V68">IF(V$7=-1,W68,IF(V$7=99,U68,IF(V$7=0,INDEX($E68:$I68,0,V$5),(INDEX($E68:$I68,0,V$7+1)-INDEX($E68:$I68,0,V$7))/(INDEX($E$4:$I$4,0,V$7+1)-INDEX($E$4:$I$4,0,V$7))+U68)))</f>
        <v>0.48357533537498271</v>
      </c>
      <c r="W68" cm="1">
        <f t="array" ref="W68">IF(W$7=-1,X68,IF(W$7=99,V68,IF(W$7=0,INDEX($E68:$I68,0,W$5),(INDEX($E68:$I68,0,W$7+1)-INDEX($E68:$I68,0,W$7))/(INDEX($E$4:$I$4,0,W$7+1)-INDEX($E$4:$I$4,0,W$7))+V68)))</f>
        <v>0.4812176828187763</v>
      </c>
      <c r="X68" cm="1">
        <f t="array" ref="X68">IF(X$7=-1,Y68,IF(X$7=99,W68,IF(X$7=0,INDEX($E68:$I68,0,X$5),(INDEX($E68:$I68,0,X$7+1)-INDEX($E68:$I68,0,X$7))/(INDEX($E$4:$I$4,0,X$7+1)-INDEX($E$4:$I$4,0,X$7))+W68)))</f>
        <v>0.4788600302625699</v>
      </c>
      <c r="Y68" cm="1">
        <f t="array" ref="Y68">IF(Y$7=-1,Z68,IF(Y$7=99,X68,IF(Y$7=0,INDEX($E68:$I68,0,Y$5),(INDEX($E68:$I68,0,Y$7+1)-INDEX($E68:$I68,0,Y$7))/(INDEX($E$4:$I$4,0,Y$7+1)-INDEX($E$4:$I$4,0,Y$7))+X68)))</f>
        <v>0.4765023777063635</v>
      </c>
      <c r="Z68" cm="1">
        <f t="array" ref="Z68">IF(Z$7=-1,AA68,IF(Z$7=99,Y68,IF(Z$7=0,INDEX($E68:$I68,0,Z$5),(INDEX($E68:$I68,0,Z$7+1)-INDEX($E68:$I68,0,Z$7))/(INDEX($E$4:$I$4,0,Z$7+1)-INDEX($E$4:$I$4,0,Z$7))+Y68)))</f>
        <v>0.47193259270634635</v>
      </c>
      <c r="AA68" cm="1">
        <f t="array" ref="AA68">IF(AA$7=-1,AB68,IF(AA$7=99,Z68,IF(AA$7=0,INDEX($E68:$I68,0,AA$5),(INDEX($E68:$I68,0,AA$7+1)-INDEX($E68:$I68,0,AA$7))/(INDEX($E$4:$I$4,0,AA$7+1)-INDEX($E$4:$I$4,0,AA$7))+Z68)))</f>
        <v>0.46736280770632921</v>
      </c>
      <c r="AB68" cm="1">
        <f t="array" ref="AB68">IF(AB$7=-1,AC68,IF(AB$7=99,AA68,IF(AB$7=0,INDEX($E68:$I68,0,AB$5),(INDEX($E68:$I68,0,AB$7+1)-INDEX($E68:$I68,0,AB$7))/(INDEX($E$4:$I$4,0,AB$7+1)-INDEX($E$4:$I$4,0,AB$7))+AA68)))</f>
        <v>0.46279302270631206</v>
      </c>
      <c r="AC68" cm="1">
        <f t="array" ref="AC68">IF(AC$7=-1,AD68,IF(AC$7=99,AB68,IF(AC$7=0,INDEX($E68:$I68,0,AC$5),(INDEX($E68:$I68,0,AC$7+1)-INDEX($E68:$I68,0,AC$7))/(INDEX($E$4:$I$4,0,AC$7+1)-INDEX($E$4:$I$4,0,AC$7))+AB68)))</f>
        <v>0.45822323770629492</v>
      </c>
      <c r="AD68" cm="1">
        <f t="array" ref="AD68">IF(AD$7=-1,AE68,IF(AD$7=99,AC68,IF(AD$7=0,INDEX($E68:$I68,0,AD$5),(INDEX($E68:$I68,0,AD$7+1)-INDEX($E68:$I68,0,AD$7))/(INDEX($E$4:$I$4,0,AD$7+1)-INDEX($E$4:$I$4,0,AD$7))+AC68)))</f>
        <v>0.45365345270627777</v>
      </c>
      <c r="AE68" cm="1">
        <f t="array" ref="AE68">IF(AE$7=-1,AF68,IF(AE$7=99,AD68,IF(AE$7=0,INDEX($E68:$I68,0,AE$5),(INDEX($E68:$I68,0,AE$7+1)-INDEX($E68:$I68,0,AE$7))/(INDEX($E$4:$I$4,0,AE$7+1)-INDEX($E$4:$I$4,0,AE$7))+AD68)))</f>
        <v>0.44908366770626063</v>
      </c>
      <c r="AF68" cm="1">
        <f t="array" ref="AF68">IF(AF$7=-1,AG68,IF(AF$7=99,AE68,IF(AF$7=0,INDEX($E68:$I68,0,AF$5),(INDEX($E68:$I68,0,AF$7+1)-INDEX($E68:$I68,0,AF$7))/(INDEX($E$4:$I$4,0,AF$7+1)-INDEX($E$4:$I$4,0,AF$7))+AE68)))</f>
        <v>0.44451388270624348</v>
      </c>
      <c r="AG68" cm="1">
        <f t="array" ref="AG68">IF(AG$7=-1,AH68,IF(AG$7=99,AF68,IF(AG$7=0,INDEX($E68:$I68,0,AG$5),(INDEX($E68:$I68,0,AG$7+1)-INDEX($E68:$I68,0,AG$7))/(INDEX($E$4:$I$4,0,AG$7+1)-INDEX($E$4:$I$4,0,AG$7))+AF68)))</f>
        <v>0.43994409770622633</v>
      </c>
      <c r="AH68" cm="1">
        <f t="array" ref="AH68">IF(AH$7=-1,AI68,IF(AH$7=99,AG68,IF(AH$7=0,INDEX($E68:$I68,0,AH$5),(INDEX($E68:$I68,0,AH$7+1)-INDEX($E68:$I68,0,AH$7))/(INDEX($E$4:$I$4,0,AH$7+1)-INDEX($E$4:$I$4,0,AH$7))+AG68)))</f>
        <v>0.43537431270620919</v>
      </c>
      <c r="AI68" cm="1">
        <f t="array" ref="AI68">IF(AI$7=-1,AJ68,IF(AI$7=99,AH68,IF(AI$7=0,INDEX($E68:$I68,0,AI$5),(INDEX($E68:$I68,0,AI$7+1)-INDEX($E68:$I68,0,AI$7))/(INDEX($E$4:$I$4,0,AI$7+1)-INDEX($E$4:$I$4,0,AI$7))+AH68)))</f>
        <v>0.43080452770619188</v>
      </c>
      <c r="AJ68" cm="1">
        <f t="array" ref="AJ68">IF(AJ$7=-1,AK68,IF(AJ$7=99,AI68,IF(AJ$7=0,INDEX($E68:$I68,0,AJ$5),(INDEX($E68:$I68,0,AJ$7+1)-INDEX($E68:$I68,0,AJ$7))/(INDEX($E$4:$I$4,0,AJ$7+1)-INDEX($E$4:$I$4,0,AJ$7))+AI68)))</f>
        <v>0.42549362778282601</v>
      </c>
      <c r="AK68" cm="1">
        <f t="array" ref="AK68">IF(AK$7=-1,AL68,IF(AK$7=99,AJ68,IF(AK$7=0,INDEX($E68:$I68,0,AK$5),(INDEX($E68:$I68,0,AK$7+1)-INDEX($E68:$I68,0,AK$7))/(INDEX($E$4:$I$4,0,AK$7+1)-INDEX($E$4:$I$4,0,AK$7))+AJ68)))</f>
        <v>0.37769552847253307</v>
      </c>
      <c r="AL68" cm="1">
        <f t="array" ref="AL68">IF(AL$7=-1,AM68,IF(AL$7=99,AK68,IF(AL$7=0,INDEX($E68:$K68,0,AL$5),(INDEX($E68:$K68,0,AL$7+1)-INDEX($E68:$K68,0,AL$7))/(INDEX($E$4:$K$4,0,AL$7+1)-INDEX($E$4:$K$4,0,AL$7))+AK68)))</f>
        <v>0.34878268989403927</v>
      </c>
      <c r="AM68" cm="1">
        <f t="array" ref="AM68">IF(AM$7=-1,AN68,IF(AM$7=99,AL68,IF(AM$7=0,INDEX($E68:$K68,0,AM$5),(INDEX($E68:$K68,0,AM$7+1)-INDEX($E68:$K68,0,AM$7))/(INDEX($E$4:$K$4,0,AM$7+1)-INDEX($E$4:$K$4,0,AM$7))+AL68)))</f>
        <v>0.32588856485515239</v>
      </c>
    </row>
    <row r="69" spans="1:39">
      <c r="A69" t="s">
        <v>16</v>
      </c>
      <c r="C69" t="str">
        <f t="shared" si="25"/>
        <v>Water Heating</v>
      </c>
      <c r="E69" s="3">
        <f t="shared" si="26"/>
        <v>0</v>
      </c>
      <c r="F69" s="3">
        <f t="shared" si="26"/>
        <v>0</v>
      </c>
      <c r="G69" s="3">
        <f t="shared" si="26"/>
        <v>0</v>
      </c>
      <c r="H69" s="3">
        <f t="shared" si="26"/>
        <v>0</v>
      </c>
      <c r="I69" s="3">
        <f t="shared" si="26"/>
        <v>0</v>
      </c>
      <c r="J69" s="3">
        <f t="shared" ref="J69:K69" si="33">FORECAST(J$45,$E60:$G60,$E$53:$G$53)</f>
        <v>0</v>
      </c>
      <c r="K69" s="3">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7" t="s">
        <v>529</v>
      </c>
      <c r="D71" s="178" t="s">
        <v>530</v>
      </c>
      <c r="E71" s="179"/>
      <c r="F71" s="179"/>
      <c r="G71" s="179"/>
      <c r="H71" s="179"/>
      <c r="I71" s="179"/>
      <c r="J71" s="179"/>
      <c r="K71" s="179"/>
    </row>
    <row r="72" spans="1:39">
      <c r="A72" t="s">
        <v>16</v>
      </c>
      <c r="E72" s="3"/>
      <c r="F72" s="3"/>
      <c r="G72" s="3"/>
      <c r="H72" s="3"/>
      <c r="I72" s="3"/>
      <c r="J72" s="3"/>
      <c r="K72" s="3"/>
    </row>
    <row r="73" spans="1:39">
      <c r="A73" t="s">
        <v>16</v>
      </c>
      <c r="E73" s="3"/>
      <c r="F73" s="3"/>
      <c r="G73" s="3"/>
      <c r="H73" s="3"/>
      <c r="I73" s="3"/>
      <c r="J73" s="3"/>
      <c r="K73" s="3"/>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531</v>
      </c>
      <c r="E74" s="3"/>
      <c r="F74" s="3"/>
      <c r="G74" s="3"/>
      <c r="H74" s="3"/>
      <c r="I74" s="3"/>
      <c r="J74" s="3"/>
      <c r="K74" s="3"/>
      <c r="L74" s="3">
        <f t="shared" ref="L74:AM74" si="35">L102+L109+L116</f>
        <v>24.154971024725953</v>
      </c>
      <c r="M74" s="3">
        <f t="shared" ca="1" si="35"/>
        <v>24.589643362482196</v>
      </c>
      <c r="N74" s="3">
        <f t="shared" ca="1" si="35"/>
        <v>25.024586855413357</v>
      </c>
      <c r="O74" s="3">
        <f t="shared" ca="1" si="35"/>
        <v>25.077460822404735</v>
      </c>
      <c r="P74" s="3">
        <f t="shared" ca="1" si="35"/>
        <v>25.38228212269722</v>
      </c>
      <c r="Q74" s="3">
        <f t="shared" ca="1" si="35"/>
        <v>25.65227259707618</v>
      </c>
      <c r="R74" s="3">
        <f t="shared" ca="1" si="35"/>
        <v>25.879944214782189</v>
      </c>
      <c r="S74" s="3">
        <f t="shared" ca="1" si="35"/>
        <v>26.161559884919743</v>
      </c>
      <c r="T74" s="3">
        <f t="shared" ca="1" si="35"/>
        <v>26.466735751180892</v>
      </c>
      <c r="U74" s="3">
        <f t="shared" ca="1" si="35"/>
        <v>26.762419793593207</v>
      </c>
      <c r="V74" s="3">
        <f t="shared" ca="1" si="35"/>
        <v>27.055376212878521</v>
      </c>
      <c r="W74" s="3">
        <f t="shared" ca="1" si="35"/>
        <v>27.342200039877138</v>
      </c>
      <c r="X74" s="3">
        <f t="shared" ca="1" si="35"/>
        <v>27.625491779190078</v>
      </c>
      <c r="Y74" s="3">
        <f t="shared" ca="1" si="35"/>
        <v>27.911745318864483</v>
      </c>
      <c r="Z74" s="3">
        <f t="shared" ca="1" si="35"/>
        <v>28.190147033688223</v>
      </c>
      <c r="AA74" s="3">
        <f t="shared" ca="1" si="35"/>
        <v>28.464329489222678</v>
      </c>
      <c r="AB74" s="3">
        <f t="shared" ca="1" si="35"/>
        <v>28.733132563011875</v>
      </c>
      <c r="AC74" s="3">
        <f t="shared" ca="1" si="35"/>
        <v>28.999476237958433</v>
      </c>
      <c r="AD74" s="3">
        <f t="shared" ca="1" si="35"/>
        <v>29.264319736660905</v>
      </c>
      <c r="AE74" s="3">
        <f t="shared" ca="1" si="35"/>
        <v>29.516149436372757</v>
      </c>
      <c r="AF74" s="3">
        <f t="shared" ca="1" si="35"/>
        <v>29.761808641649115</v>
      </c>
      <c r="AG74" s="3">
        <f t="shared" ca="1" si="35"/>
        <v>30.005151867138562</v>
      </c>
      <c r="AH74" s="3">
        <f t="shared" ca="1" si="35"/>
        <v>30.238294404189887</v>
      </c>
      <c r="AI74" s="3">
        <f t="shared" ca="1" si="35"/>
        <v>30.46508916554744</v>
      </c>
      <c r="AJ74" s="3">
        <f t="shared" ca="1" si="35"/>
        <v>31.637923944720796</v>
      </c>
      <c r="AK74" s="3">
        <f t="shared" ca="1" si="35"/>
        <v>32.659011094571035</v>
      </c>
      <c r="AL74" s="3">
        <f t="shared" ca="1" si="35"/>
        <v>33.482313924583053</v>
      </c>
      <c r="AM74" s="3">
        <f t="shared" ca="1" si="35"/>
        <v>34.135171639052231</v>
      </c>
    </row>
    <row r="75" spans="1:39">
      <c r="A75" t="s">
        <v>16</v>
      </c>
      <c r="C75" t="s">
        <v>532</v>
      </c>
      <c r="D75" s="3" t="s">
        <v>471</v>
      </c>
      <c r="E75" s="180">
        <f>IF(E78=1,0.2,IF(E78=2,0.13,IF(E78=3,0.2,0.2)))</f>
        <v>0.2</v>
      </c>
      <c r="F75" s="3"/>
      <c r="G75" s="3"/>
      <c r="H75" s="3"/>
      <c r="I75" s="3"/>
      <c r="J75" s="3"/>
      <c r="K75" s="3"/>
      <c r="L75" s="164">
        <v>0</v>
      </c>
      <c r="M75" s="164">
        <v>0</v>
      </c>
      <c r="N75" s="164">
        <v>0</v>
      </c>
      <c r="O75" s="164">
        <v>0</v>
      </c>
      <c r="P75" s="164">
        <f>(($Y$75-$O$75)/($Y$73-$O$73))*(P$73-$O$73)</f>
        <v>0.02</v>
      </c>
      <c r="Q75" s="164">
        <f t="shared" ref="Q75:X75" si="36">(($Y$75-$O$75)/($Y$73-$O$73))*(Q$73-$O$73)</f>
        <v>0.04</v>
      </c>
      <c r="R75" s="164">
        <f t="shared" si="36"/>
        <v>0.06</v>
      </c>
      <c r="S75" s="164">
        <f t="shared" si="36"/>
        <v>0.08</v>
      </c>
      <c r="T75" s="92">
        <f t="shared" si="36"/>
        <v>0.1</v>
      </c>
      <c r="U75" s="92">
        <f t="shared" si="36"/>
        <v>0.12</v>
      </c>
      <c r="V75" s="92">
        <f t="shared" si="36"/>
        <v>0.14000000000000001</v>
      </c>
      <c r="W75" s="92">
        <f t="shared" si="36"/>
        <v>0.16</v>
      </c>
      <c r="X75" s="92">
        <f t="shared" si="36"/>
        <v>0.18</v>
      </c>
      <c r="Y75" s="21">
        <f>$E$75</f>
        <v>0.2</v>
      </c>
      <c r="Z75" s="164">
        <f t="shared" ref="Z75:AM75" si="37">Y75</f>
        <v>0.2</v>
      </c>
      <c r="AA75" s="164">
        <f t="shared" si="37"/>
        <v>0.2</v>
      </c>
      <c r="AB75" s="164">
        <f t="shared" si="37"/>
        <v>0.2</v>
      </c>
      <c r="AC75" s="164">
        <f t="shared" si="37"/>
        <v>0.2</v>
      </c>
      <c r="AD75" s="164">
        <f t="shared" si="37"/>
        <v>0.2</v>
      </c>
      <c r="AE75" s="164">
        <f t="shared" si="37"/>
        <v>0.2</v>
      </c>
      <c r="AF75" s="164">
        <f t="shared" si="37"/>
        <v>0.2</v>
      </c>
      <c r="AG75" s="164">
        <f t="shared" si="37"/>
        <v>0.2</v>
      </c>
      <c r="AH75" s="164">
        <f t="shared" si="37"/>
        <v>0.2</v>
      </c>
      <c r="AI75" s="164">
        <f t="shared" si="37"/>
        <v>0.2</v>
      </c>
      <c r="AJ75" s="164">
        <f t="shared" si="37"/>
        <v>0.2</v>
      </c>
      <c r="AK75" s="164">
        <f t="shared" si="37"/>
        <v>0.2</v>
      </c>
      <c r="AL75" s="164">
        <f t="shared" si="37"/>
        <v>0.2</v>
      </c>
      <c r="AM75" s="164">
        <f t="shared" si="37"/>
        <v>0.2</v>
      </c>
    </row>
    <row r="76" spans="1:39">
      <c r="A76" t="s">
        <v>16</v>
      </c>
      <c r="D76" t="s">
        <v>472</v>
      </c>
      <c r="E76" s="180">
        <f>IF(E78=1,0.2,IF(E78=2,0.13,IF(E78=3,0.2,0.2)))</f>
        <v>0.2</v>
      </c>
      <c r="F76" s="3"/>
      <c r="G76" s="3"/>
      <c r="H76" s="3"/>
      <c r="I76" s="3"/>
      <c r="J76" s="3"/>
      <c r="K76" s="3"/>
      <c r="L76" s="164">
        <v>0</v>
      </c>
      <c r="M76" s="164">
        <v>0</v>
      </c>
      <c r="N76" s="164">
        <v>0</v>
      </c>
      <c r="O76" s="164">
        <v>0</v>
      </c>
      <c r="P76" s="92">
        <f>(($Y$76-$O$76)/($Y$73-$O$73))*(P$73-$O$73)</f>
        <v>0.02</v>
      </c>
      <c r="Q76" s="92">
        <f t="shared" ref="Q76:X76" si="38">(($Y$76-$O$76)/($Y$73-$O$73))*(Q$73-$O$73)</f>
        <v>0.04</v>
      </c>
      <c r="R76" s="92">
        <f t="shared" si="38"/>
        <v>0.06</v>
      </c>
      <c r="S76" s="92">
        <f t="shared" si="38"/>
        <v>0.08</v>
      </c>
      <c r="T76" s="92">
        <f t="shared" si="38"/>
        <v>0.1</v>
      </c>
      <c r="U76" s="92">
        <f t="shared" si="38"/>
        <v>0.12</v>
      </c>
      <c r="V76" s="92">
        <f t="shared" si="38"/>
        <v>0.14000000000000001</v>
      </c>
      <c r="W76" s="92">
        <f t="shared" si="38"/>
        <v>0.16</v>
      </c>
      <c r="X76" s="92">
        <f t="shared" si="38"/>
        <v>0.18</v>
      </c>
      <c r="Y76" s="21">
        <f>$E$76</f>
        <v>0.2</v>
      </c>
      <c r="Z76" s="164">
        <f t="shared" ref="Z76:AM76" si="39">Y76</f>
        <v>0.2</v>
      </c>
      <c r="AA76" s="164">
        <f t="shared" si="39"/>
        <v>0.2</v>
      </c>
      <c r="AB76" s="164">
        <f t="shared" si="39"/>
        <v>0.2</v>
      </c>
      <c r="AC76" s="164">
        <f t="shared" si="39"/>
        <v>0.2</v>
      </c>
      <c r="AD76" s="164">
        <f t="shared" si="39"/>
        <v>0.2</v>
      </c>
      <c r="AE76" s="164">
        <f t="shared" si="39"/>
        <v>0.2</v>
      </c>
      <c r="AF76" s="164">
        <f t="shared" si="39"/>
        <v>0.2</v>
      </c>
      <c r="AG76" s="164">
        <f t="shared" si="39"/>
        <v>0.2</v>
      </c>
      <c r="AH76" s="164">
        <f t="shared" si="39"/>
        <v>0.2</v>
      </c>
      <c r="AI76" s="164">
        <f t="shared" si="39"/>
        <v>0.2</v>
      </c>
      <c r="AJ76" s="164">
        <f t="shared" si="39"/>
        <v>0.2</v>
      </c>
      <c r="AK76" s="164">
        <f t="shared" si="39"/>
        <v>0.2</v>
      </c>
      <c r="AL76" s="164">
        <f t="shared" si="39"/>
        <v>0.2</v>
      </c>
      <c r="AM76" s="164">
        <f t="shared" si="39"/>
        <v>0.2</v>
      </c>
    </row>
    <row r="77" spans="1:39">
      <c r="A77" t="s">
        <v>16</v>
      </c>
      <c r="C77" t="s">
        <v>533</v>
      </c>
      <c r="E77" s="3"/>
      <c r="F77" s="3"/>
      <c r="G77" s="3"/>
      <c r="L77" s="3">
        <f>(($L$74*(1-L$75))+((L74-$L$74)*(1-L$76)))</f>
        <v>24.154971024725953</v>
      </c>
      <c r="M77" s="3">
        <f t="shared" ref="M77:AM77" ca="1" si="40">(($L$74*(1-M$75))+((M74-$L$74)*(1-M$76)))</f>
        <v>24.589643362482196</v>
      </c>
      <c r="N77" s="3">
        <f t="shared" ca="1" si="40"/>
        <v>25.024586855413357</v>
      </c>
      <c r="O77" s="3">
        <f t="shared" ca="1" si="40"/>
        <v>25.077460822404735</v>
      </c>
      <c r="P77" s="3">
        <f t="shared" ca="1" si="40"/>
        <v>24.874636480243275</v>
      </c>
      <c r="Q77" s="3">
        <f t="shared" ca="1" si="40"/>
        <v>24.626181693193132</v>
      </c>
      <c r="R77" s="3">
        <f t="shared" ca="1" si="40"/>
        <v>24.327147561895256</v>
      </c>
      <c r="S77" s="3">
        <f t="shared" ca="1" si="40"/>
        <v>24.068635094126165</v>
      </c>
      <c r="T77" s="3">
        <f t="shared" ca="1" si="40"/>
        <v>23.820062176062802</v>
      </c>
      <c r="U77" s="3">
        <f t="shared" ca="1" si="40"/>
        <v>23.550929418362021</v>
      </c>
      <c r="V77" s="3">
        <f t="shared" ca="1" si="40"/>
        <v>23.26762354307553</v>
      </c>
      <c r="W77" s="3">
        <f t="shared" ca="1" si="40"/>
        <v>22.967448033496797</v>
      </c>
      <c r="X77" s="3">
        <f t="shared" ca="1" si="40"/>
        <v>22.652903258935865</v>
      </c>
      <c r="Y77" s="3">
        <f t="shared" ca="1" si="40"/>
        <v>22.329396255091588</v>
      </c>
      <c r="Z77" s="3">
        <f t="shared" ca="1" si="40"/>
        <v>22.552117626950583</v>
      </c>
      <c r="AA77" s="3">
        <f t="shared" ca="1" si="40"/>
        <v>22.771463591378144</v>
      </c>
      <c r="AB77" s="3">
        <f t="shared" ca="1" si="40"/>
        <v>22.986506050409503</v>
      </c>
      <c r="AC77" s="3">
        <f t="shared" ca="1" si="40"/>
        <v>23.199580990366748</v>
      </c>
      <c r="AD77" s="3">
        <f t="shared" ca="1" si="40"/>
        <v>23.411455789328727</v>
      </c>
      <c r="AE77" s="3">
        <f t="shared" ca="1" si="40"/>
        <v>23.612919549098208</v>
      </c>
      <c r="AF77" s="3">
        <f t="shared" ca="1" si="40"/>
        <v>23.809446913319295</v>
      </c>
      <c r="AG77" s="3">
        <f t="shared" ca="1" si="40"/>
        <v>24.004121493710851</v>
      </c>
      <c r="AH77" s="3">
        <f t="shared" ca="1" si="40"/>
        <v>24.190635523351911</v>
      </c>
      <c r="AI77" s="3">
        <f t="shared" ca="1" si="40"/>
        <v>24.372071332437955</v>
      </c>
      <c r="AJ77" s="3">
        <f t="shared" ca="1" si="40"/>
        <v>25.310339155776639</v>
      </c>
      <c r="AK77" s="3">
        <f t="shared" ca="1" si="40"/>
        <v>26.12720887565683</v>
      </c>
      <c r="AL77" s="3">
        <f t="shared" ca="1" si="40"/>
        <v>26.785851139666445</v>
      </c>
      <c r="AM77" s="3">
        <f t="shared" ca="1" si="40"/>
        <v>27.308137311241786</v>
      </c>
    </row>
    <row r="78" spans="1:39">
      <c r="A78" t="s">
        <v>16</v>
      </c>
      <c r="D78" t="s">
        <v>534</v>
      </c>
      <c r="E78" s="181">
        <f>DriversGams!A164</f>
        <v>-1</v>
      </c>
      <c r="F78" s="270" t="s">
        <v>633</v>
      </c>
      <c r="G78" s="3" t="s">
        <v>32</v>
      </c>
    </row>
    <row r="79" spans="1:39">
      <c r="A79" t="s">
        <v>16</v>
      </c>
      <c r="B79" s="18"/>
      <c r="D79" s="3"/>
      <c r="F79" s="74">
        <v>1</v>
      </c>
      <c r="G79" s="74" t="s">
        <v>611</v>
      </c>
      <c r="L79" s="2"/>
    </row>
    <row r="80" spans="1:39">
      <c r="A80" t="s">
        <v>16</v>
      </c>
      <c r="B80" s="18"/>
      <c r="D80" s="3"/>
      <c r="F80" s="74">
        <v>2</v>
      </c>
      <c r="G80" s="74" t="s">
        <v>615</v>
      </c>
      <c r="L80" s="4">
        <f t="shared" ref="L80:AM80" si="41">L73</f>
        <v>2017</v>
      </c>
      <c r="M80" s="4">
        <f t="shared" si="41"/>
        <v>2018</v>
      </c>
      <c r="N80" s="4">
        <f t="shared" si="41"/>
        <v>2019</v>
      </c>
      <c r="O80" s="4">
        <f t="shared" si="41"/>
        <v>2020</v>
      </c>
      <c r="P80" s="4">
        <f t="shared" si="41"/>
        <v>2021</v>
      </c>
      <c r="Q80" s="4">
        <f t="shared" si="41"/>
        <v>2022</v>
      </c>
      <c r="R80" s="4">
        <f t="shared" si="41"/>
        <v>2023</v>
      </c>
      <c r="S80" s="4">
        <f t="shared" si="41"/>
        <v>2024</v>
      </c>
      <c r="T80" s="4">
        <f t="shared" si="41"/>
        <v>2025</v>
      </c>
      <c r="U80" s="4">
        <f t="shared" si="41"/>
        <v>2026</v>
      </c>
      <c r="V80" s="4">
        <f t="shared" si="41"/>
        <v>2027</v>
      </c>
      <c r="W80" s="4">
        <f t="shared" si="41"/>
        <v>2028</v>
      </c>
      <c r="X80" s="4">
        <f t="shared" si="41"/>
        <v>2029</v>
      </c>
      <c r="Y80" s="4">
        <f t="shared" si="41"/>
        <v>2030</v>
      </c>
      <c r="Z80" s="4">
        <f t="shared" si="41"/>
        <v>2031</v>
      </c>
      <c r="AA80" s="4">
        <f t="shared" si="41"/>
        <v>2032</v>
      </c>
      <c r="AB80" s="4">
        <f t="shared" si="41"/>
        <v>2033</v>
      </c>
      <c r="AC80" s="4">
        <f t="shared" si="41"/>
        <v>2034</v>
      </c>
      <c r="AD80" s="4">
        <f t="shared" si="41"/>
        <v>2035</v>
      </c>
      <c r="AE80" s="4">
        <f t="shared" si="41"/>
        <v>2036</v>
      </c>
      <c r="AF80" s="4">
        <f t="shared" si="41"/>
        <v>2037</v>
      </c>
      <c r="AG80" s="4">
        <f t="shared" si="41"/>
        <v>2038</v>
      </c>
      <c r="AH80" s="4">
        <f t="shared" si="41"/>
        <v>2039</v>
      </c>
      <c r="AI80" s="4">
        <f t="shared" si="41"/>
        <v>2040</v>
      </c>
      <c r="AJ80" s="4">
        <f t="shared" si="41"/>
        <v>2045</v>
      </c>
      <c r="AK80" s="4">
        <f t="shared" si="41"/>
        <v>2050</v>
      </c>
      <c r="AL80" s="4">
        <f t="shared" si="41"/>
        <v>2060</v>
      </c>
      <c r="AM80" s="4">
        <f t="shared" si="41"/>
        <v>2070</v>
      </c>
    </row>
    <row r="81" spans="1:51">
      <c r="A81" t="s">
        <v>16</v>
      </c>
      <c r="B81" s="18"/>
      <c r="C81" t="s">
        <v>535</v>
      </c>
      <c r="D81" s="3" t="str">
        <f>D102</f>
        <v>RLEH</v>
      </c>
      <c r="F81" s="74">
        <v>3</v>
      </c>
      <c r="G81" s="157" t="s">
        <v>611</v>
      </c>
      <c r="L81" s="32">
        <f t="shared" ref="L81" si="42">L102</f>
        <v>9.2994915751840495</v>
      </c>
      <c r="M81" s="17">
        <f t="shared" ref="M81:AM81" ca="1" si="43">OFFSET(M$33,$AY81,$L$95)/OFFSET(L$33,$AY81,$L$95)*L81</f>
        <v>9.281682818880185</v>
      </c>
      <c r="N81" s="17">
        <f t="shared" ca="1" si="43"/>
        <v>9.3685816904468826</v>
      </c>
      <c r="O81" s="17">
        <f t="shared" ca="1" si="43"/>
        <v>9.7482669746133581</v>
      </c>
      <c r="P81" s="17">
        <f t="shared" ca="1" si="43"/>
        <v>9.9132987336794098</v>
      </c>
      <c r="Q81" s="17">
        <f t="shared" ca="1" si="43"/>
        <v>9.814700083850127</v>
      </c>
      <c r="R81" s="17">
        <f t="shared" ca="1" si="43"/>
        <v>9.8827868071707421</v>
      </c>
      <c r="S81" s="17">
        <f t="shared" ca="1" si="43"/>
        <v>9.897306902075572</v>
      </c>
      <c r="T81" s="17">
        <f t="shared" ca="1" si="43"/>
        <v>9.9107498242895939</v>
      </c>
      <c r="U81" s="17">
        <f t="shared" ca="1" si="43"/>
        <v>9.909257345136707</v>
      </c>
      <c r="V81" s="17">
        <f t="shared" ca="1" si="43"/>
        <v>9.8903417242972473</v>
      </c>
      <c r="W81" s="17">
        <f t="shared" ca="1" si="43"/>
        <v>9.8598077013290855</v>
      </c>
      <c r="X81" s="17">
        <f t="shared" ca="1" si="43"/>
        <v>9.8058576214551927</v>
      </c>
      <c r="Y81" s="17">
        <f t="shared" ca="1" si="43"/>
        <v>9.7255218184694101</v>
      </c>
      <c r="Z81" s="17">
        <f t="shared" ca="1" si="43"/>
        <v>9.6326145148850273</v>
      </c>
      <c r="AA81" s="17">
        <f t="shared" ca="1" si="43"/>
        <v>9.5406221898729413</v>
      </c>
      <c r="AB81" s="17">
        <f t="shared" ca="1" si="43"/>
        <v>9.4494213762981101</v>
      </c>
      <c r="AC81" s="17">
        <f t="shared" ca="1" si="43"/>
        <v>9.3456566449690488</v>
      </c>
      <c r="AD81" s="17">
        <f t="shared" ca="1" si="43"/>
        <v>9.2373862785954568</v>
      </c>
      <c r="AE81" s="17">
        <f t="shared" ca="1" si="43"/>
        <v>9.13741965671848</v>
      </c>
      <c r="AF81" s="17">
        <f t="shared" ca="1" si="43"/>
        <v>9.032616345271725</v>
      </c>
      <c r="AG81" s="17">
        <f t="shared" ca="1" si="43"/>
        <v>8.9302167675195196</v>
      </c>
      <c r="AH81" s="17">
        <f t="shared" ca="1" si="43"/>
        <v>8.8404258450832867</v>
      </c>
      <c r="AI81" s="17">
        <f t="shared" ca="1" si="43"/>
        <v>8.757457416738939</v>
      </c>
      <c r="AJ81" s="17">
        <f t="shared" ca="1" si="43"/>
        <v>8.1158089700760598</v>
      </c>
      <c r="AK81" s="17">
        <f t="shared" ca="1" si="43"/>
        <v>7.4087685216100887</v>
      </c>
      <c r="AL81" s="17">
        <f t="shared" ca="1" si="43"/>
        <v>6.6310097076364967</v>
      </c>
      <c r="AM81" s="17">
        <f t="shared" ca="1" si="43"/>
        <v>5.7886687596308724</v>
      </c>
      <c r="AY81">
        <v>1</v>
      </c>
    </row>
    <row r="82" spans="1:51">
      <c r="A82" t="s">
        <v>16</v>
      </c>
      <c r="B82" s="18"/>
      <c r="D82" s="3" t="str">
        <f>D109</f>
        <v>RMEH</v>
      </c>
      <c r="H82" t="s">
        <v>628</v>
      </c>
      <c r="L82" s="32">
        <f t="shared" ref="L82" si="44">L109</f>
        <v>9.6822001330816203</v>
      </c>
      <c r="M82" s="17">
        <f t="shared" ref="M82:AM82" ca="1" si="45">OFFSET(M$33,$AY82,$L$95)/OFFSET(L$33,$AY82,$L$95)*L82</f>
        <v>9.9434395743318245</v>
      </c>
      <c r="N82" s="17">
        <f t="shared" ca="1" si="45"/>
        <v>10.212153747437592</v>
      </c>
      <c r="O82" s="17">
        <f t="shared" ca="1" si="45"/>
        <v>10.73168899547419</v>
      </c>
      <c r="P82" s="17">
        <f t="shared" ca="1" si="45"/>
        <v>10.210613291685858</v>
      </c>
      <c r="Q82" s="17">
        <f t="shared" ca="1" si="45"/>
        <v>10.436313332861436</v>
      </c>
      <c r="R82" s="17">
        <f t="shared" ca="1" si="45"/>
        <v>10.538361420638903</v>
      </c>
      <c r="S82" s="17">
        <f t="shared" ca="1" si="45"/>
        <v>10.696619967243537</v>
      </c>
      <c r="T82" s="17">
        <f t="shared" ca="1" si="45"/>
        <v>10.872100618685476</v>
      </c>
      <c r="U82" s="17">
        <f t="shared" ca="1" si="45"/>
        <v>11.039348046231995</v>
      </c>
      <c r="V82" s="17">
        <f t="shared" ca="1" si="45"/>
        <v>11.216509504987188</v>
      </c>
      <c r="W82" s="17">
        <f t="shared" ca="1" si="45"/>
        <v>11.394008546372303</v>
      </c>
      <c r="X82" s="17">
        <f t="shared" ca="1" si="45"/>
        <v>11.57508802273237</v>
      </c>
      <c r="Y82" s="17">
        <f t="shared" ca="1" si="45"/>
        <v>11.777074735682792</v>
      </c>
      <c r="Z82" s="17">
        <f t="shared" ca="1" si="45"/>
        <v>11.967078737907061</v>
      </c>
      <c r="AA82" s="17">
        <f t="shared" ca="1" si="45"/>
        <v>12.15726344642168</v>
      </c>
      <c r="AB82" s="17">
        <f t="shared" ca="1" si="45"/>
        <v>12.342842612880043</v>
      </c>
      <c r="AC82" s="17">
        <f t="shared" ca="1" si="45"/>
        <v>12.531696531998332</v>
      </c>
      <c r="AD82" s="17">
        <f t="shared" ca="1" si="45"/>
        <v>12.727327656860624</v>
      </c>
      <c r="AE82" s="17">
        <f t="shared" ca="1" si="45"/>
        <v>12.892413966914607</v>
      </c>
      <c r="AF82" s="17">
        <f t="shared" ca="1" si="45"/>
        <v>13.048077706777478</v>
      </c>
      <c r="AG82" s="17">
        <f t="shared" ca="1" si="45"/>
        <v>13.212136353510722</v>
      </c>
      <c r="AH82" s="17">
        <f t="shared" ca="1" si="45"/>
        <v>13.36081813042018</v>
      </c>
      <c r="AI82" s="17">
        <f t="shared" ca="1" si="45"/>
        <v>13.504548229253951</v>
      </c>
      <c r="AJ82" s="17">
        <f t="shared" ca="1" si="45"/>
        <v>14.531452220753444</v>
      </c>
      <c r="AK82" s="17">
        <f t="shared" ca="1" si="45"/>
        <v>15.538946589280968</v>
      </c>
      <c r="AL82" s="17">
        <f t="shared" ca="1" si="45"/>
        <v>16.444694411533249</v>
      </c>
      <c r="AM82" s="17">
        <f t="shared" ca="1" si="45"/>
        <v>17.290468173516857</v>
      </c>
      <c r="AY82">
        <v>2</v>
      </c>
    </row>
    <row r="83" spans="1:51">
      <c r="A83" t="s">
        <v>16</v>
      </c>
      <c r="B83" s="18"/>
      <c r="D83" s="3" t="str">
        <f>D116</f>
        <v>RHEH</v>
      </c>
      <c r="H83" t="s">
        <v>627</v>
      </c>
      <c r="L83" s="32">
        <f t="shared" ref="L83" si="46">L116</f>
        <v>5.1732793164602802</v>
      </c>
      <c r="M83" s="17">
        <f t="shared" ref="M83:AM83" ca="1" si="47">OFFSET(M$33,$AY83,$L$95)/OFFSET(L$33,$AY83,$L$95)*L83</f>
        <v>5.3645209692701856</v>
      </c>
      <c r="N83" s="17">
        <f t="shared" ca="1" si="47"/>
        <v>5.4438514175288821</v>
      </c>
      <c r="O83" s="17">
        <f t="shared" ca="1" si="47"/>
        <v>4.5975048523171873</v>
      </c>
      <c r="P83" s="17">
        <f t="shared" ca="1" si="47"/>
        <v>5.2583700973319498</v>
      </c>
      <c r="Q83" s="17">
        <f t="shared" ca="1" si="47"/>
        <v>5.4012591803646162</v>
      </c>
      <c r="R83" s="17">
        <f t="shared" ca="1" si="47"/>
        <v>5.4587959869725431</v>
      </c>
      <c r="S83" s="17">
        <f t="shared" ca="1" si="47"/>
        <v>5.5676330156006335</v>
      </c>
      <c r="T83" s="17">
        <f t="shared" ca="1" si="47"/>
        <v>5.6838853082058227</v>
      </c>
      <c r="U83" s="17">
        <f t="shared" ca="1" si="47"/>
        <v>5.8138144022245051</v>
      </c>
      <c r="V83" s="17">
        <f t="shared" ca="1" si="47"/>
        <v>5.9485249835940843</v>
      </c>
      <c r="W83" s="17">
        <f t="shared" ca="1" si="47"/>
        <v>6.0883837921757511</v>
      </c>
      <c r="X83" s="17">
        <f t="shared" ca="1" si="47"/>
        <v>6.2445461350025164</v>
      </c>
      <c r="Y83" s="17">
        <f t="shared" ca="1" si="47"/>
        <v>6.4091487647122811</v>
      </c>
      <c r="Z83" s="17">
        <f t="shared" ca="1" si="47"/>
        <v>6.5904537808961381</v>
      </c>
      <c r="AA83" s="17">
        <f t="shared" ca="1" si="47"/>
        <v>6.7664438529280559</v>
      </c>
      <c r="AB83" s="17">
        <f t="shared" ca="1" si="47"/>
        <v>6.9408685738337228</v>
      </c>
      <c r="AC83" s="17">
        <f t="shared" ca="1" si="47"/>
        <v>7.1221230609910489</v>
      </c>
      <c r="AD83" s="17">
        <f t="shared" ca="1" si="47"/>
        <v>7.2996058012048222</v>
      </c>
      <c r="AE83" s="17">
        <f t="shared" ca="1" si="47"/>
        <v>7.4863158127396687</v>
      </c>
      <c r="AF83" s="17">
        <f t="shared" ca="1" si="47"/>
        <v>7.6811145895999102</v>
      </c>
      <c r="AG83" s="17">
        <f t="shared" ca="1" si="47"/>
        <v>7.8627987461083206</v>
      </c>
      <c r="AH83" s="17">
        <f t="shared" ca="1" si="47"/>
        <v>8.0370504286864186</v>
      </c>
      <c r="AI83" s="17">
        <f t="shared" ca="1" si="47"/>
        <v>8.2030835195545482</v>
      </c>
      <c r="AJ83" s="17">
        <f t="shared" ca="1" si="47"/>
        <v>8.9906627538912929</v>
      </c>
      <c r="AK83" s="17">
        <f t="shared" ca="1" si="47"/>
        <v>9.7112959836799799</v>
      </c>
      <c r="AL83" s="17">
        <f t="shared" ca="1" si="47"/>
        <v>10.406609805413311</v>
      </c>
      <c r="AM83" s="17">
        <f t="shared" ca="1" si="47"/>
        <v>11.056034705904498</v>
      </c>
      <c r="AY83">
        <v>3</v>
      </c>
    </row>
    <row r="84" spans="1:51">
      <c r="A84" t="s">
        <v>16</v>
      </c>
      <c r="B84" s="18"/>
      <c r="D84" s="3" t="s">
        <v>361</v>
      </c>
      <c r="L84" s="32">
        <f t="shared" ref="L84" si="48">L113</f>
        <v>7.7618829459684902</v>
      </c>
      <c r="M84" s="17">
        <f t="shared" ref="M84:AM84" ca="1" si="49">OFFSET(M$33,$AY113,$L$95)/OFFSET(L$33,$AY113,$L$95)*L84</f>
        <v>7.971309515961206</v>
      </c>
      <c r="N84" s="17">
        <f t="shared" ca="1" si="49"/>
        <v>8.1867283183926158</v>
      </c>
      <c r="O84" s="17">
        <f t="shared" ca="1" si="49"/>
        <v>8.6032216490547775</v>
      </c>
      <c r="P84" s="17">
        <f t="shared" ca="1" si="49"/>
        <v>8.1854933886179726</v>
      </c>
      <c r="Q84" s="17">
        <f t="shared" ca="1" si="49"/>
        <v>8.3664292581957422</v>
      </c>
      <c r="R84" s="17">
        <f t="shared" ca="1" si="49"/>
        <v>8.4482376593134028</v>
      </c>
      <c r="S84" s="17">
        <f t="shared" ca="1" si="49"/>
        <v>8.5751080293801394</v>
      </c>
      <c r="T84" s="17">
        <f t="shared" ca="1" si="49"/>
        <v>8.7157847616365629</v>
      </c>
      <c r="U84" s="17">
        <f t="shared" ca="1" si="49"/>
        <v>8.8498612047783407</v>
      </c>
      <c r="V84" s="17">
        <f t="shared" ca="1" si="49"/>
        <v>8.9918853817726223</v>
      </c>
      <c r="W84" s="17">
        <f t="shared" ca="1" si="49"/>
        <v>9.1341801870148256</v>
      </c>
      <c r="X84" s="17">
        <f t="shared" ca="1" si="49"/>
        <v>9.2793453023920431</v>
      </c>
      <c r="Y84" s="17">
        <f t="shared" ca="1" si="49"/>
        <v>9.441271021857947</v>
      </c>
      <c r="Z84" s="17">
        <f t="shared" ca="1" si="49"/>
        <v>9.5935906190837201</v>
      </c>
      <c r="AA84" s="17">
        <f t="shared" ca="1" si="49"/>
        <v>9.7460550822546317</v>
      </c>
      <c r="AB84" s="17">
        <f t="shared" ca="1" si="49"/>
        <v>9.8948274426129537</v>
      </c>
      <c r="AC84" s="17">
        <f t="shared" ca="1" si="49"/>
        <v>10.046225058230821</v>
      </c>
      <c r="AD84" s="17">
        <f t="shared" ca="1" si="49"/>
        <v>10.203055723874783</v>
      </c>
      <c r="AE84" s="17">
        <f t="shared" ca="1" si="49"/>
        <v>10.33539967432079</v>
      </c>
      <c r="AF84" s="17">
        <f t="shared" ca="1" si="49"/>
        <v>10.460189878111253</v>
      </c>
      <c r="AG84" s="17">
        <f t="shared" ca="1" si="49"/>
        <v>10.591709986631479</v>
      </c>
      <c r="AH84" s="17">
        <f t="shared" ca="1" si="49"/>
        <v>10.710902993665769</v>
      </c>
      <c r="AI84" s="17">
        <f t="shared" ca="1" si="49"/>
        <v>10.826126412684804</v>
      </c>
      <c r="AJ84" s="17">
        <f t="shared" ca="1" si="49"/>
        <v>11.649359610636683</v>
      </c>
      <c r="AK84" s="17">
        <f t="shared" ca="1" si="49"/>
        <v>12.457032789226943</v>
      </c>
      <c r="AL84" s="17">
        <f t="shared" ca="1" si="49"/>
        <v>13.18313930202947</v>
      </c>
      <c r="AM84" s="17">
        <f t="shared" ca="1" si="49"/>
        <v>13.861166697565112</v>
      </c>
      <c r="AY84">
        <v>4</v>
      </c>
    </row>
    <row r="85" spans="1:51">
      <c r="A85" t="s">
        <v>16</v>
      </c>
      <c r="B85" s="18"/>
      <c r="D85" s="3" t="s">
        <v>349</v>
      </c>
      <c r="L85" s="32">
        <f t="shared" ref="L85" si="50">L119</f>
        <v>14.27502736796</v>
      </c>
      <c r="M85" s="17">
        <f t="shared" ref="M85:AM85" ca="1" si="51">OFFSET(M$33,$AY119,$L$95)/OFFSET(L$33,$AY119,$L$95)*L85</f>
        <v>14.80273516426419</v>
      </c>
      <c r="N85" s="17">
        <f t="shared" ca="1" si="51"/>
        <v>15.021637769503817</v>
      </c>
      <c r="O85" s="17">
        <f t="shared" ca="1" si="51"/>
        <v>12.686248620355284</v>
      </c>
      <c r="P85" s="17">
        <f t="shared" ca="1" si="51"/>
        <v>14.50982490186453</v>
      </c>
      <c r="Q85" s="17">
        <f t="shared" ca="1" si="51"/>
        <v>14.904109734771962</v>
      </c>
      <c r="R85" s="17">
        <f t="shared" ca="1" si="51"/>
        <v>15.062875468990072</v>
      </c>
      <c r="S85" s="17">
        <f t="shared" ca="1" si="51"/>
        <v>15.363197850070492</v>
      </c>
      <c r="T85" s="17">
        <f t="shared" ca="1" si="51"/>
        <v>15.683981739169033</v>
      </c>
      <c r="U85" s="17">
        <f t="shared" ca="1" si="51"/>
        <v>16.042505077955237</v>
      </c>
      <c r="V85" s="17">
        <f t="shared" ca="1" si="51"/>
        <v>16.414222342415709</v>
      </c>
      <c r="W85" s="17">
        <f t="shared" ca="1" si="51"/>
        <v>16.800145506046398</v>
      </c>
      <c r="X85" s="17">
        <f t="shared" ca="1" si="51"/>
        <v>17.231056265224609</v>
      </c>
      <c r="Y85" s="17">
        <f t="shared" ca="1" si="51"/>
        <v>17.685256956934566</v>
      </c>
      <c r="Z85" s="17">
        <f t="shared" ca="1" si="51"/>
        <v>18.185545827813449</v>
      </c>
      <c r="AA85" s="17">
        <f t="shared" ca="1" si="51"/>
        <v>18.671168764651867</v>
      </c>
      <c r="AB85" s="17">
        <f t="shared" ca="1" si="51"/>
        <v>19.15247230777485</v>
      </c>
      <c r="AC85" s="17">
        <f t="shared" ca="1" si="51"/>
        <v>19.652621750025876</v>
      </c>
      <c r="AD85" s="17">
        <f t="shared" ca="1" si="51"/>
        <v>20.142363520942993</v>
      </c>
      <c r="AE85" s="17">
        <f t="shared" ca="1" si="51"/>
        <v>20.65756681105951</v>
      </c>
      <c r="AF85" s="17">
        <f t="shared" ca="1" si="51"/>
        <v>21.195090053246975</v>
      </c>
      <c r="AG85" s="17">
        <f t="shared" ca="1" si="51"/>
        <v>21.696425115173785</v>
      </c>
      <c r="AH85" s="17">
        <f t="shared" ca="1" si="51"/>
        <v>22.177251180335372</v>
      </c>
      <c r="AI85" s="17">
        <f t="shared" ca="1" si="51"/>
        <v>22.635399053501292</v>
      </c>
      <c r="AJ85" s="17">
        <f t="shared" ca="1" si="51"/>
        <v>24.808626988212275</v>
      </c>
      <c r="AK85" s="17">
        <f t="shared" ca="1" si="51"/>
        <v>26.797125665398269</v>
      </c>
      <c r="AL85" s="17">
        <f t="shared" ca="1" si="51"/>
        <v>28.715758553242338</v>
      </c>
      <c r="AM85" s="17">
        <f t="shared" ca="1" si="51"/>
        <v>30.507766612511329</v>
      </c>
      <c r="AY85">
        <v>5</v>
      </c>
    </row>
    <row r="86" spans="1:51">
      <c r="A86" t="s">
        <v>16</v>
      </c>
      <c r="B86" s="18"/>
      <c r="D86" s="3"/>
      <c r="L86" s="3"/>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row>
    <row r="87" spans="1:51">
      <c r="A87" t="s">
        <v>16</v>
      </c>
      <c r="B87" s="18"/>
      <c r="D87" s="3"/>
      <c r="L87" s="3"/>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row>
    <row r="88" spans="1:51">
      <c r="A88" t="s">
        <v>16</v>
      </c>
      <c r="B88" s="18"/>
      <c r="AO88" t="s">
        <v>634</v>
      </c>
    </row>
    <row r="89" spans="1:51">
      <c r="A89" t="s">
        <v>16</v>
      </c>
      <c r="B89" s="18"/>
      <c r="C89" t="s">
        <v>635</v>
      </c>
      <c r="D89" s="3" t="str">
        <f>D81</f>
        <v>RLEH</v>
      </c>
      <c r="L89" s="32">
        <f t="shared" ref="L89:L93" si="52">L81</f>
        <v>9.2994915751840495</v>
      </c>
      <c r="M89" s="3">
        <f ca="1">(($L$81*(1-M$75))+((M81-$L$81)*(1-M$76)))</f>
        <v>9.281682818880185</v>
      </c>
      <c r="N89" s="3">
        <f ca="1">(($L$81*(1-N$75))+((N81-$L$81)*(1-N$76)))</f>
        <v>9.3685816904468826</v>
      </c>
      <c r="O89" s="3">
        <f t="shared" ref="O89:AM89" ca="1" si="53">(($L$81*(1-O$75))+((O81-$L$81)*(1-O$76)))</f>
        <v>9.7482669746133581</v>
      </c>
      <c r="P89" s="3">
        <f t="shared" ca="1" si="53"/>
        <v>9.7150327590058208</v>
      </c>
      <c r="Q89" s="3">
        <f t="shared" ca="1" si="53"/>
        <v>9.422112080496122</v>
      </c>
      <c r="R89" s="3">
        <f t="shared" ca="1" si="53"/>
        <v>9.2898195987404968</v>
      </c>
      <c r="S89" s="3">
        <f t="shared" ca="1" si="53"/>
        <v>9.1055223499095277</v>
      </c>
      <c r="T89" s="3">
        <f t="shared" ca="1" si="53"/>
        <v>8.9196748418606351</v>
      </c>
      <c r="U89" s="3">
        <f t="shared" ca="1" si="53"/>
        <v>8.7201464637203028</v>
      </c>
      <c r="V89" s="3">
        <f t="shared" ca="1" si="53"/>
        <v>8.505693882895633</v>
      </c>
      <c r="W89" s="3">
        <f t="shared" ca="1" si="53"/>
        <v>8.2822384691164324</v>
      </c>
      <c r="X89" s="3">
        <f t="shared" ca="1" si="53"/>
        <v>8.0408032495932584</v>
      </c>
      <c r="Y89" s="3">
        <f t="shared" ca="1" si="53"/>
        <v>7.7804174547755283</v>
      </c>
      <c r="Z89" s="3">
        <f t="shared" ca="1" si="53"/>
        <v>7.7060916119080227</v>
      </c>
      <c r="AA89" s="3">
        <f t="shared" ca="1" si="53"/>
        <v>7.6324977518983532</v>
      </c>
      <c r="AB89" s="3">
        <f t="shared" ca="1" si="53"/>
        <v>7.5595371010384884</v>
      </c>
      <c r="AC89" s="3">
        <f t="shared" ca="1" si="53"/>
        <v>7.4765253159752394</v>
      </c>
      <c r="AD89" s="3">
        <f t="shared" ca="1" si="53"/>
        <v>7.389909022876366</v>
      </c>
      <c r="AE89" s="3">
        <f t="shared" ca="1" si="53"/>
        <v>7.3099357253747845</v>
      </c>
      <c r="AF89" s="3">
        <f t="shared" ca="1" si="53"/>
        <v>7.2260930762173805</v>
      </c>
      <c r="AG89" s="3">
        <f t="shared" ca="1" si="53"/>
        <v>7.1441734140156159</v>
      </c>
      <c r="AH89" s="3">
        <f t="shared" ca="1" si="53"/>
        <v>7.0723406760666299</v>
      </c>
      <c r="AI89" s="3">
        <f t="shared" ca="1" si="53"/>
        <v>7.0059659333911517</v>
      </c>
      <c r="AJ89" s="3">
        <f t="shared" ca="1" si="53"/>
        <v>6.4926471760608484</v>
      </c>
      <c r="AK89" s="3">
        <f t="shared" ca="1" si="53"/>
        <v>5.9270148172880717</v>
      </c>
      <c r="AL89" s="3">
        <f t="shared" ca="1" si="53"/>
        <v>5.3048077661091977</v>
      </c>
      <c r="AM89" s="3">
        <f t="shared" ca="1" si="53"/>
        <v>4.6309350077046982</v>
      </c>
      <c r="AO89" s="3">
        <v>5.6509347274363675</v>
      </c>
    </row>
    <row r="90" spans="1:51">
      <c r="A90" t="s">
        <v>16</v>
      </c>
      <c r="B90" s="18"/>
      <c r="D90" s="3" t="str">
        <f>D82</f>
        <v>RMEH</v>
      </c>
      <c r="L90" s="32">
        <f t="shared" si="52"/>
        <v>9.6822001330816203</v>
      </c>
      <c r="M90" s="3">
        <f ca="1">(($L$82*(1-M$75))+((M82-$L$82)*(1-M$76)))</f>
        <v>9.9434395743318245</v>
      </c>
      <c r="N90" s="3">
        <f ca="1">(($L$82*(1-N$75))+((N82-$L$82)*(1-N$76)))</f>
        <v>10.212153747437592</v>
      </c>
      <c r="O90" s="3">
        <f t="shared" ref="O90:AM90" ca="1" si="54">(($L$82*(1-O$75))+((O82-$L$82)*(1-O$76)))</f>
        <v>10.73168899547419</v>
      </c>
      <c r="P90" s="3">
        <f t="shared" ca="1" si="54"/>
        <v>10.006401025852142</v>
      </c>
      <c r="Q90" s="3">
        <f t="shared" ca="1" si="54"/>
        <v>10.018860799546978</v>
      </c>
      <c r="R90" s="3">
        <f t="shared" ca="1" si="54"/>
        <v>9.9060597354005697</v>
      </c>
      <c r="S90" s="3">
        <f t="shared" ca="1" si="54"/>
        <v>9.8408903698640557</v>
      </c>
      <c r="T90" s="3">
        <f t="shared" ca="1" si="54"/>
        <v>9.7848905568169275</v>
      </c>
      <c r="U90" s="3">
        <f t="shared" ca="1" si="54"/>
        <v>9.7146262806841559</v>
      </c>
      <c r="V90" s="3">
        <f t="shared" ca="1" si="54"/>
        <v>9.6461981742889815</v>
      </c>
      <c r="W90" s="3">
        <f t="shared" ca="1" si="54"/>
        <v>9.5709671789527349</v>
      </c>
      <c r="X90" s="3">
        <f t="shared" ca="1" si="54"/>
        <v>9.4915721786405438</v>
      </c>
      <c r="Y90" s="3">
        <f t="shared" ca="1" si="54"/>
        <v>9.4216597885462345</v>
      </c>
      <c r="Z90" s="3">
        <f t="shared" ca="1" si="54"/>
        <v>9.5736629903256496</v>
      </c>
      <c r="AA90" s="3">
        <f t="shared" ca="1" si="54"/>
        <v>9.7258107571373458</v>
      </c>
      <c r="AB90" s="3">
        <f t="shared" ca="1" si="54"/>
        <v>9.8742740903040342</v>
      </c>
      <c r="AC90" s="3">
        <f t="shared" ca="1" si="54"/>
        <v>10.025357225598666</v>
      </c>
      <c r="AD90" s="3">
        <f t="shared" ca="1" si="54"/>
        <v>10.1818621254885</v>
      </c>
      <c r="AE90" s="3">
        <f t="shared" ca="1" si="54"/>
        <v>10.313931173531685</v>
      </c>
      <c r="AF90" s="3">
        <f t="shared" ca="1" si="54"/>
        <v>10.438462165421983</v>
      </c>
      <c r="AG90" s="3">
        <f t="shared" ca="1" si="54"/>
        <v>10.569709082808579</v>
      </c>
      <c r="AH90" s="3">
        <f t="shared" ca="1" si="54"/>
        <v>10.688654504336144</v>
      </c>
      <c r="AI90" s="3">
        <f t="shared" ca="1" si="54"/>
        <v>10.803638583403162</v>
      </c>
      <c r="AJ90" s="3">
        <f t="shared" ca="1" si="54"/>
        <v>11.625161776602756</v>
      </c>
      <c r="AK90" s="3">
        <f t="shared" ca="1" si="54"/>
        <v>12.431157271424775</v>
      </c>
      <c r="AL90" s="3">
        <f t="shared" ca="1" si="54"/>
        <v>13.1557555292266</v>
      </c>
      <c r="AM90" s="3">
        <f t="shared" ca="1" si="54"/>
        <v>13.832374538813486</v>
      </c>
      <c r="AO90" s="3">
        <v>15.965795038638294</v>
      </c>
    </row>
    <row r="91" spans="1:51">
      <c r="A91" t="s">
        <v>16</v>
      </c>
      <c r="B91" s="18"/>
      <c r="D91" s="3" t="str">
        <f>D83</f>
        <v>RHEH</v>
      </c>
      <c r="L91" s="32">
        <f t="shared" si="52"/>
        <v>5.1732793164602802</v>
      </c>
      <c r="M91" s="3">
        <f ca="1">(($L$83*(1-M$75))+((M83-$L$83)*(1-M$76)))</f>
        <v>5.3645209692701856</v>
      </c>
      <c r="N91" s="3">
        <f ca="1">(($L$83*(1-N$75))+((N83-$L$83)*(1-N$76)))</f>
        <v>5.4438514175288821</v>
      </c>
      <c r="O91" s="3">
        <f t="shared" ref="O91:AM91" ca="1" si="55">(($L$83*(1-O$75))+((O83-$L$83)*(1-O$76)))</f>
        <v>4.5975048523171873</v>
      </c>
      <c r="P91" s="3">
        <f t="shared" ca="1" si="55"/>
        <v>5.1532026953853105</v>
      </c>
      <c r="Q91" s="3">
        <f t="shared" ca="1" si="55"/>
        <v>5.185208813150032</v>
      </c>
      <c r="R91" s="3">
        <f t="shared" ca="1" si="55"/>
        <v>5.131268227754191</v>
      </c>
      <c r="S91" s="3">
        <f t="shared" ca="1" si="55"/>
        <v>5.1222223743525834</v>
      </c>
      <c r="T91" s="3">
        <f t="shared" ca="1" si="55"/>
        <v>5.1154967773852409</v>
      </c>
      <c r="U91" s="3">
        <f t="shared" ca="1" si="55"/>
        <v>5.1161566739575646</v>
      </c>
      <c r="V91" s="3">
        <f t="shared" ca="1" si="55"/>
        <v>5.1157314858909126</v>
      </c>
      <c r="W91" s="3">
        <f t="shared" ca="1" si="55"/>
        <v>5.1142423854276302</v>
      </c>
      <c r="X91" s="3">
        <f t="shared" ca="1" si="55"/>
        <v>5.1205278307020636</v>
      </c>
      <c r="Y91" s="3">
        <f t="shared" ca="1" si="55"/>
        <v>5.127319011769826</v>
      </c>
      <c r="Z91" s="3">
        <f t="shared" ca="1" si="55"/>
        <v>5.2723630247169115</v>
      </c>
      <c r="AA91" s="3">
        <f t="shared" ca="1" si="55"/>
        <v>5.4131550823424455</v>
      </c>
      <c r="AB91" s="3">
        <f t="shared" ca="1" si="55"/>
        <v>5.5526948590669791</v>
      </c>
      <c r="AC91" s="3">
        <f t="shared" ca="1" si="55"/>
        <v>5.6976984487928402</v>
      </c>
      <c r="AD91" s="3">
        <f t="shared" ca="1" si="55"/>
        <v>5.8396846409638581</v>
      </c>
      <c r="AE91" s="3">
        <f t="shared" ca="1" si="55"/>
        <v>5.989052650191736</v>
      </c>
      <c r="AF91" s="3">
        <f t="shared" ca="1" si="55"/>
        <v>6.1448916716799289</v>
      </c>
      <c r="AG91" s="3">
        <f t="shared" ca="1" si="55"/>
        <v>6.2902389968866572</v>
      </c>
      <c r="AH91" s="3">
        <f t="shared" ca="1" si="55"/>
        <v>6.4296403429491349</v>
      </c>
      <c r="AI91" s="3">
        <f t="shared" ca="1" si="55"/>
        <v>6.5624668156436394</v>
      </c>
      <c r="AJ91" s="3">
        <f t="shared" ca="1" si="55"/>
        <v>7.1925302031130354</v>
      </c>
      <c r="AK91" s="3">
        <f t="shared" ca="1" si="55"/>
        <v>7.7690367869439845</v>
      </c>
      <c r="AL91" s="3">
        <f t="shared" ca="1" si="55"/>
        <v>8.3252878443306493</v>
      </c>
      <c r="AM91" s="3">
        <f t="shared" ca="1" si="55"/>
        <v>8.8448277647235987</v>
      </c>
      <c r="AO91" s="3">
        <v>15.624866478724483</v>
      </c>
    </row>
    <row r="92" spans="1:51">
      <c r="A92" t="s">
        <v>16</v>
      </c>
      <c r="B92" s="18"/>
      <c r="D92" s="3" t="str">
        <f>D84</f>
        <v>RMEO</v>
      </c>
      <c r="I92">
        <v>0.1</v>
      </c>
      <c r="L92" s="32">
        <f t="shared" si="52"/>
        <v>7.7618829459684902</v>
      </c>
      <c r="M92" s="3">
        <f ca="1">OFFSET(M$33,$AY113,$L$95)/OFFSET(L$33,$AY113,$L$95)*L113</f>
        <v>7.971309515961206</v>
      </c>
      <c r="N92" s="3">
        <f t="shared" ref="N92:AM92" ca="1" si="56">(($L$84*(1-N$75*$I$92))+((N84-$L$84)*(1-N$76*$I$92)))</f>
        <v>8.1867283183926158</v>
      </c>
      <c r="O92" s="3">
        <f t="shared" ca="1" si="56"/>
        <v>8.6032216490547775</v>
      </c>
      <c r="P92" s="3">
        <f t="shared" ca="1" si="56"/>
        <v>8.1691224018407365</v>
      </c>
      <c r="Q92" s="3">
        <f t="shared" ca="1" si="56"/>
        <v>8.3329635411629592</v>
      </c>
      <c r="R92" s="3">
        <f t="shared" ca="1" si="56"/>
        <v>8.3975482333575222</v>
      </c>
      <c r="S92" s="3">
        <f t="shared" ca="1" si="56"/>
        <v>8.5065071651450985</v>
      </c>
      <c r="T92" s="3">
        <f t="shared" ca="1" si="56"/>
        <v>8.628626914020197</v>
      </c>
      <c r="U92" s="3">
        <f t="shared" ca="1" si="56"/>
        <v>8.7436628703210015</v>
      </c>
      <c r="V92" s="3">
        <f t="shared" ca="1" si="56"/>
        <v>8.8659989864278046</v>
      </c>
      <c r="W92" s="3">
        <f t="shared" ca="1" si="56"/>
        <v>8.9880333040225882</v>
      </c>
      <c r="X92" s="3">
        <f t="shared" ca="1" si="56"/>
        <v>9.1123170869489858</v>
      </c>
      <c r="Y92" s="3">
        <f t="shared" ca="1" si="56"/>
        <v>9.2524456014207885</v>
      </c>
      <c r="Z92" s="3">
        <f t="shared" ca="1" si="56"/>
        <v>9.4017188067020445</v>
      </c>
      <c r="AA92" s="3">
        <f t="shared" ca="1" si="56"/>
        <v>9.5511339806095386</v>
      </c>
      <c r="AB92" s="3">
        <f t="shared" ca="1" si="56"/>
        <v>9.6969308937606939</v>
      </c>
      <c r="AC92" s="3">
        <f t="shared" ca="1" si="56"/>
        <v>9.8453005570662029</v>
      </c>
      <c r="AD92" s="3">
        <f t="shared" ca="1" si="56"/>
        <v>9.9989946093972861</v>
      </c>
      <c r="AE92" s="3">
        <f t="shared" ca="1" si="56"/>
        <v>10.128691680834374</v>
      </c>
      <c r="AF92" s="3">
        <f t="shared" ca="1" si="56"/>
        <v>10.250986080549026</v>
      </c>
      <c r="AG92" s="3">
        <f t="shared" ca="1" si="56"/>
        <v>10.379875786898848</v>
      </c>
      <c r="AH92" s="3">
        <f t="shared" ca="1" si="56"/>
        <v>10.496684933792453</v>
      </c>
      <c r="AI92" s="3">
        <f t="shared" ca="1" si="56"/>
        <v>10.609603884431108</v>
      </c>
      <c r="AJ92" s="3">
        <f t="shared" ca="1" si="56"/>
        <v>11.416372418423949</v>
      </c>
      <c r="AK92" s="3">
        <f t="shared" ca="1" si="56"/>
        <v>12.207892133442403</v>
      </c>
      <c r="AL92" s="3">
        <f t="shared" ca="1" si="56"/>
        <v>12.91947651598888</v>
      </c>
      <c r="AM92" s="3">
        <f t="shared" ca="1" si="56"/>
        <v>13.583943363613809</v>
      </c>
      <c r="AO92" s="3">
        <v>12.91511152465643</v>
      </c>
    </row>
    <row r="93" spans="1:51">
      <c r="A93" t="s">
        <v>16</v>
      </c>
      <c r="B93" s="18"/>
      <c r="D93" s="3" t="str">
        <f>D85</f>
        <v>RHEO</v>
      </c>
      <c r="I93">
        <v>0.1</v>
      </c>
      <c r="L93" s="32">
        <f t="shared" si="52"/>
        <v>14.27502736796</v>
      </c>
      <c r="M93" s="3">
        <f ca="1">(($L$85*(1-M$75))+((M85-$L$85)*(1-M$76)))</f>
        <v>14.80273516426419</v>
      </c>
      <c r="N93" s="3">
        <f ca="1">(($L$85*(1-N$75))+((N85-$L$85)*(1-N$76)))</f>
        <v>15.021637769503817</v>
      </c>
      <c r="O93" s="3">
        <f t="shared" ref="O93:AM93" ca="1" si="57">(($L$85*(1-O$75))+((O85-$L$85)*(1-O$76)))</f>
        <v>12.686248620355284</v>
      </c>
      <c r="P93" s="3">
        <f t="shared" ca="1" si="57"/>
        <v>14.219628403827238</v>
      </c>
      <c r="Q93" s="3">
        <f t="shared" ca="1" si="57"/>
        <v>14.307945345381082</v>
      </c>
      <c r="R93" s="3">
        <f t="shared" ca="1" si="57"/>
        <v>14.159102940850666</v>
      </c>
      <c r="S93" s="3">
        <f t="shared" ca="1" si="57"/>
        <v>14.134142022064852</v>
      </c>
      <c r="T93" s="3">
        <f t="shared" ca="1" si="57"/>
        <v>14.11558356525213</v>
      </c>
      <c r="U93" s="3">
        <f t="shared" ca="1" si="57"/>
        <v>14.117404468600609</v>
      </c>
      <c r="V93" s="3">
        <f t="shared" ca="1" si="57"/>
        <v>14.116231214477509</v>
      </c>
      <c r="W93" s="3">
        <f t="shared" ca="1" si="57"/>
        <v>14.112122225078974</v>
      </c>
      <c r="X93" s="3">
        <f t="shared" ca="1" si="57"/>
        <v>14.129466137484179</v>
      </c>
      <c r="Y93" s="3">
        <f t="shared" ca="1" si="57"/>
        <v>14.148205565547654</v>
      </c>
      <c r="Z93" s="3">
        <f t="shared" ca="1" si="57"/>
        <v>14.54843666225076</v>
      </c>
      <c r="AA93" s="3">
        <f t="shared" ca="1" si="57"/>
        <v>14.936935011721495</v>
      </c>
      <c r="AB93" s="3">
        <f t="shared" ca="1" si="57"/>
        <v>15.32197784621988</v>
      </c>
      <c r="AC93" s="3">
        <f t="shared" ca="1" si="57"/>
        <v>15.722097400020701</v>
      </c>
      <c r="AD93" s="3">
        <f t="shared" ca="1" si="57"/>
        <v>16.113890816754395</v>
      </c>
      <c r="AE93" s="3">
        <f t="shared" ca="1" si="57"/>
        <v>16.526053448847609</v>
      </c>
      <c r="AF93" s="3">
        <f t="shared" ca="1" si="57"/>
        <v>16.956072042597583</v>
      </c>
      <c r="AG93" s="3">
        <f t="shared" ca="1" si="57"/>
        <v>17.357140092139026</v>
      </c>
      <c r="AH93" s="3">
        <f t="shared" ca="1" si="57"/>
        <v>17.741800944268299</v>
      </c>
      <c r="AI93" s="3">
        <f t="shared" ca="1" si="57"/>
        <v>18.108319242801034</v>
      </c>
      <c r="AJ93" s="3">
        <f t="shared" ca="1" si="57"/>
        <v>19.846901590569821</v>
      </c>
      <c r="AK93" s="3">
        <f t="shared" ca="1" si="57"/>
        <v>21.437700532318615</v>
      </c>
      <c r="AL93" s="3">
        <f t="shared" ca="1" si="57"/>
        <v>22.972606842593869</v>
      </c>
      <c r="AM93" s="3">
        <f t="shared" ca="1" si="57"/>
        <v>24.406213290009063</v>
      </c>
      <c r="AO93" s="3">
        <v>32.227542399636981</v>
      </c>
    </row>
    <row r="94" spans="1:51">
      <c r="A94" t="s">
        <v>16</v>
      </c>
      <c r="B94" s="18"/>
      <c r="D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row>
    <row r="95" spans="1:51">
      <c r="A95" t="s">
        <v>16</v>
      </c>
      <c r="B95" s="18"/>
      <c r="D95" s="3"/>
      <c r="L95" s="31">
        <v>0</v>
      </c>
    </row>
    <row r="96" spans="1:51" ht="18" thickBot="1">
      <c r="A96" t="s">
        <v>16</v>
      </c>
      <c r="B96" s="18"/>
      <c r="C96" s="28" t="s">
        <v>142</v>
      </c>
      <c r="D96" s="9"/>
      <c r="I96" s="116" t="s">
        <v>429</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4" thickTop="1">
      <c r="A97" t="s">
        <v>16</v>
      </c>
      <c r="B97" s="10" t="s">
        <v>18</v>
      </c>
      <c r="C97" s="10" t="s">
        <v>19</v>
      </c>
      <c r="D97" s="10" t="s">
        <v>20</v>
      </c>
      <c r="E97" s="10" t="s">
        <v>21</v>
      </c>
      <c r="F97" s="10" t="s">
        <v>22</v>
      </c>
      <c r="G97" s="10" t="s">
        <v>23</v>
      </c>
      <c r="H97" s="10" t="s">
        <v>24</v>
      </c>
      <c r="I97" s="11" t="s">
        <v>25</v>
      </c>
      <c r="J97" s="11"/>
      <c r="K97" s="11"/>
      <c r="L97" s="12">
        <v>2017</v>
      </c>
      <c r="M97" s="12">
        <f t="shared" ref="M97:AI97" si="58">1+L97</f>
        <v>2018</v>
      </c>
      <c r="N97" s="12">
        <f t="shared" si="58"/>
        <v>2019</v>
      </c>
      <c r="O97" s="12">
        <f t="shared" si="58"/>
        <v>2020</v>
      </c>
      <c r="P97" s="12">
        <f t="shared" si="58"/>
        <v>2021</v>
      </c>
      <c r="Q97" s="12">
        <f t="shared" si="58"/>
        <v>2022</v>
      </c>
      <c r="R97" s="12">
        <f t="shared" si="58"/>
        <v>2023</v>
      </c>
      <c r="S97" s="12">
        <f t="shared" si="58"/>
        <v>2024</v>
      </c>
      <c r="T97" s="12">
        <f t="shared" si="58"/>
        <v>2025</v>
      </c>
      <c r="U97" s="12">
        <f t="shared" si="58"/>
        <v>2026</v>
      </c>
      <c r="V97" s="12">
        <f t="shared" si="58"/>
        <v>2027</v>
      </c>
      <c r="W97" s="12">
        <f t="shared" si="58"/>
        <v>2028</v>
      </c>
      <c r="X97" s="12">
        <f t="shared" si="58"/>
        <v>2029</v>
      </c>
      <c r="Y97" s="12">
        <f t="shared" si="58"/>
        <v>2030</v>
      </c>
      <c r="Z97" s="12">
        <f t="shared" si="58"/>
        <v>2031</v>
      </c>
      <c r="AA97" s="12">
        <f t="shared" si="58"/>
        <v>2032</v>
      </c>
      <c r="AB97" s="12">
        <f t="shared" si="58"/>
        <v>2033</v>
      </c>
      <c r="AC97" s="12">
        <f t="shared" si="58"/>
        <v>2034</v>
      </c>
      <c r="AD97" s="12">
        <f t="shared" si="58"/>
        <v>2035</v>
      </c>
      <c r="AE97" s="12">
        <f t="shared" si="58"/>
        <v>2036</v>
      </c>
      <c r="AF97" s="12">
        <f t="shared" si="58"/>
        <v>2037</v>
      </c>
      <c r="AG97" s="12">
        <f t="shared" si="58"/>
        <v>2038</v>
      </c>
      <c r="AH97" s="12">
        <f t="shared" si="58"/>
        <v>2039</v>
      </c>
      <c r="AI97" s="12">
        <f t="shared" si="58"/>
        <v>2040</v>
      </c>
      <c r="AJ97" s="12">
        <f>5+AI97</f>
        <v>2045</v>
      </c>
      <c r="AK97" s="12">
        <f>5+AJ97</f>
        <v>2050</v>
      </c>
      <c r="AL97" s="12">
        <f>10+AK97</f>
        <v>2060</v>
      </c>
      <c r="AM97" s="12">
        <f>10+AL97</f>
        <v>2070</v>
      </c>
      <c r="AN97" s="12"/>
      <c r="AO97" s="12"/>
      <c r="AP97" s="12"/>
      <c r="AQ97" s="12"/>
      <c r="AR97" s="12"/>
      <c r="AS97" s="12"/>
    </row>
    <row r="98" spans="1:51">
      <c r="A98" t="s">
        <v>16</v>
      </c>
      <c r="B98" s="10"/>
      <c r="C98" s="2" t="str">
        <f>C34</f>
        <v>Low Income Electrified</v>
      </c>
      <c r="D98" s="10"/>
      <c r="E98" s="10"/>
      <c r="F98" s="10"/>
      <c r="G98" s="10"/>
      <c r="H98" s="10"/>
      <c r="I98" s="11"/>
      <c r="J98" s="11"/>
      <c r="K98" s="11"/>
    </row>
    <row r="99" spans="1:51">
      <c r="A99" s="15" t="str">
        <f>'[12]TS BYDem'!A10</f>
        <v/>
      </c>
      <c r="B99" s="15" t="str">
        <f>'[12]TS BYDem'!B10</f>
        <v>COM_PROJ</v>
      </c>
      <c r="C99" s="15" t="str">
        <f>'[12]TS BYDem'!C10</f>
        <v>-</v>
      </c>
      <c r="D99" s="15" t="str">
        <f>'[12]TS BYDem'!D10</f>
        <v>RLEL</v>
      </c>
      <c r="E99" s="94" t="str">
        <f>'[12]TS BYDem'!E10</f>
        <v>-</v>
      </c>
      <c r="F99" s="94" t="str">
        <f>'[12]TS BYDem'!F10</f>
        <v>-</v>
      </c>
      <c r="G99" s="94" t="str">
        <f>'[12]TS BYDem'!G10</f>
        <v>-</v>
      </c>
      <c r="H99" s="94" t="str">
        <f>'[12]TS BYDem'!H10</f>
        <v>-</v>
      </c>
      <c r="I99" s="94">
        <f>'[12]TS BYDem'!I10</f>
        <v>0</v>
      </c>
      <c r="J99" s="94"/>
      <c r="K99" s="94"/>
      <c r="L99" s="278">
        <f>INDEX('BY-DMD'!$I$5:$I$138,MATCH(D99,'BY-DMD'!$H$5:$H$138,0))</f>
        <v>15.5426860393993</v>
      </c>
      <c r="M99" s="17">
        <f t="shared" ref="M99:AM99" ca="1" si="59">OFFSET(M$21,$AY99,$L$95)/OFFSET(L$21,$AY99,$L$95)*L99</f>
        <v>15.512921411328472</v>
      </c>
      <c r="N99" s="17">
        <f t="shared" ca="1" si="59"/>
        <v>15.658159660862832</v>
      </c>
      <c r="O99" s="17">
        <f t="shared" ca="1" si="59"/>
        <v>16.292745876449878</v>
      </c>
      <c r="P99" s="17">
        <f t="shared" ca="1" si="59"/>
        <v>16.56857136615066</v>
      </c>
      <c r="Q99" s="17">
        <f t="shared" ca="1" si="59"/>
        <v>16.403778716378849</v>
      </c>
      <c r="R99" s="17">
        <f t="shared" ca="1" si="59"/>
        <v>16.517575320791906</v>
      </c>
      <c r="S99" s="17">
        <f t="shared" ca="1" si="59"/>
        <v>16.541843451425013</v>
      </c>
      <c r="T99" s="17">
        <f t="shared" ca="1" si="59"/>
        <v>16.564311251705856</v>
      </c>
      <c r="U99" s="17">
        <f t="shared" ca="1" si="59"/>
        <v>16.56181679975586</v>
      </c>
      <c r="V99" s="17">
        <f t="shared" ca="1" si="59"/>
        <v>16.5302022159293</v>
      </c>
      <c r="W99" s="17">
        <f t="shared" ca="1" si="59"/>
        <v>16.479169239698603</v>
      </c>
      <c r="X99" s="17">
        <f t="shared" ca="1" si="59"/>
        <v>16.388999885116029</v>
      </c>
      <c r="Y99" s="17">
        <f t="shared" ca="1" si="59"/>
        <v>16.254730806700703</v>
      </c>
      <c r="Z99" s="17">
        <f t="shared" ca="1" si="59"/>
        <v>16.099450376721858</v>
      </c>
      <c r="AA99" s="17">
        <f t="shared" ca="1" si="59"/>
        <v>15.94569919429026</v>
      </c>
      <c r="AB99" s="17">
        <f t="shared" ca="1" si="59"/>
        <v>15.793270902864732</v>
      </c>
      <c r="AC99" s="17">
        <f t="shared" ca="1" si="59"/>
        <v>15.619843933446965</v>
      </c>
      <c r="AD99" s="17">
        <f t="shared" ca="1" si="59"/>
        <v>15.438886480202305</v>
      </c>
      <c r="AE99" s="17">
        <f t="shared" ca="1" si="59"/>
        <v>15.271807473173638</v>
      </c>
      <c r="AF99" s="17">
        <f t="shared" ca="1" si="59"/>
        <v>15.096644675020981</v>
      </c>
      <c r="AG99" s="17">
        <f t="shared" ca="1" si="59"/>
        <v>14.925499352214654</v>
      </c>
      <c r="AH99" s="17">
        <f t="shared" ca="1" si="59"/>
        <v>14.775427479431997</v>
      </c>
      <c r="AI99" s="17">
        <f t="shared" ca="1" si="59"/>
        <v>14.636758368060381</v>
      </c>
      <c r="AJ99" s="17">
        <f t="shared" ca="1" si="59"/>
        <v>13.564340561826496</v>
      </c>
      <c r="AK99" s="17">
        <f t="shared" ca="1" si="59"/>
        <v>12.382629968422879</v>
      </c>
      <c r="AL99" s="17">
        <f t="shared" ca="1" si="59"/>
        <v>11.082724380871674</v>
      </c>
      <c r="AM99" s="17">
        <f t="shared" ca="1" si="59"/>
        <v>9.6748795769774052</v>
      </c>
      <c r="AN99" s="3"/>
      <c r="AO99" s="3"/>
      <c r="AP99" s="3"/>
      <c r="AQ99" s="3"/>
      <c r="AR99" s="3"/>
      <c r="AS99" s="3"/>
      <c r="AY99">
        <f>MATCH(MID(D99,2,2),$B$34:$B$38,0)</f>
        <v>1</v>
      </c>
    </row>
    <row r="100" spans="1:51">
      <c r="A100" s="15" t="str">
        <f>'[12]TS BYDem'!A11</f>
        <v/>
      </c>
      <c r="B100" s="15" t="str">
        <f>'[12]TS BYDem'!B11</f>
        <v>COM_PROJ</v>
      </c>
      <c r="C100" s="15" t="str">
        <f>'[12]TS BYDem'!C11</f>
        <v>-</v>
      </c>
      <c r="D100" s="15" t="str">
        <f>'[12]TS BYDem'!D11</f>
        <v>RLNL</v>
      </c>
      <c r="E100" s="94" t="s">
        <v>125</v>
      </c>
      <c r="F100" s="94" t="s">
        <v>125</v>
      </c>
      <c r="G100" s="94" t="s">
        <v>125</v>
      </c>
      <c r="H100" s="94" t="s">
        <v>125</v>
      </c>
      <c r="I100" s="94">
        <v>0</v>
      </c>
      <c r="J100" s="94"/>
      <c r="K100" s="94"/>
      <c r="L100" s="278">
        <f>INDEX('BY-DMD'!$I$5:$I$138,MATCH(D100,'BY-DMD'!$H$5:$H$138,0))</f>
        <v>3.6541482196776102E-2</v>
      </c>
      <c r="M100" s="17">
        <f t="shared" ref="M100:AM100" ca="1" si="60">OFFSET(M$21,$AY100,$L$95)/OFFSET(L$21,$AY100,$L$95)*L100</f>
        <v>3.6471504354851823E-2</v>
      </c>
      <c r="N100" s="17">
        <f t="shared" ca="1" si="60"/>
        <v>3.6812965341466199E-2</v>
      </c>
      <c r="O100" s="17">
        <f t="shared" ca="1" si="60"/>
        <v>3.8304903146837301E-2</v>
      </c>
      <c r="P100" s="17">
        <f t="shared" ca="1" si="60"/>
        <v>3.8953380005712829E-2</v>
      </c>
      <c r="Q100" s="17">
        <f t="shared" ca="1" si="60"/>
        <v>3.8565945834905309E-2</v>
      </c>
      <c r="R100" s="17">
        <f t="shared" ca="1" si="60"/>
        <v>3.8833486244823669E-2</v>
      </c>
      <c r="S100" s="17">
        <f t="shared" ca="1" si="60"/>
        <v>3.8890541599427807E-2</v>
      </c>
      <c r="T100" s="17">
        <f t="shared" ca="1" si="60"/>
        <v>3.8943364304710661E-2</v>
      </c>
      <c r="U100" s="17">
        <f t="shared" ca="1" si="60"/>
        <v>3.8937499747497682E-2</v>
      </c>
      <c r="V100" s="17">
        <f t="shared" ca="1" si="60"/>
        <v>3.8863172584925637E-2</v>
      </c>
      <c r="W100" s="17">
        <f t="shared" ca="1" si="60"/>
        <v>3.874319199806598E-2</v>
      </c>
      <c r="X100" s="17">
        <f t="shared" ca="1" si="60"/>
        <v>3.8531200206118207E-2</v>
      </c>
      <c r="Y100" s="17">
        <f t="shared" ca="1" si="60"/>
        <v>3.8215528183531258E-2</v>
      </c>
      <c r="Z100" s="17">
        <f t="shared" ca="1" si="60"/>
        <v>3.7850457625379585E-2</v>
      </c>
      <c r="AA100" s="17">
        <f t="shared" ca="1" si="60"/>
        <v>3.748898238993343E-2</v>
      </c>
      <c r="AB100" s="17">
        <f t="shared" ca="1" si="60"/>
        <v>3.7130617324635733E-2</v>
      </c>
      <c r="AC100" s="17">
        <f t="shared" ca="1" si="60"/>
        <v>3.6722883519850917E-2</v>
      </c>
      <c r="AD100" s="17">
        <f t="shared" ca="1" si="60"/>
        <v>3.6297445243651312E-2</v>
      </c>
      <c r="AE100" s="17">
        <f t="shared" ca="1" si="60"/>
        <v>3.5904635754653295E-2</v>
      </c>
      <c r="AF100" s="17">
        <f t="shared" ca="1" si="60"/>
        <v>3.5492820946452987E-2</v>
      </c>
      <c r="AG100" s="17">
        <f t="shared" ca="1" si="60"/>
        <v>3.5090451384941171E-2</v>
      </c>
      <c r="AH100" s="17">
        <f t="shared" ca="1" si="60"/>
        <v>3.4737626354980247E-2</v>
      </c>
      <c r="AI100" s="17">
        <f t="shared" ca="1" si="60"/>
        <v>3.4411609677323388E-2</v>
      </c>
      <c r="AJ100" s="17">
        <f t="shared" ca="1" si="60"/>
        <v>3.1890312131026444E-2</v>
      </c>
      <c r="AK100" s="17">
        <f t="shared" ca="1" si="60"/>
        <v>2.9112062830928709E-2</v>
      </c>
      <c r="AL100" s="17">
        <f t="shared" ca="1" si="60"/>
        <v>2.6055932329123375E-2</v>
      </c>
      <c r="AM100" s="17">
        <f t="shared" ca="1" si="60"/>
        <v>2.2746032373162195E-2</v>
      </c>
      <c r="AN100" s="3"/>
      <c r="AO100" s="3"/>
      <c r="AP100" s="3"/>
      <c r="AQ100" s="3"/>
      <c r="AR100" s="3"/>
      <c r="AS100" s="3"/>
      <c r="AY100" s="182">
        <v>1</v>
      </c>
    </row>
    <row r="101" spans="1:51">
      <c r="A101" s="15" t="str">
        <f>'[12]TS BYDem'!A12</f>
        <v/>
      </c>
      <c r="B101" s="15" t="str">
        <f>'[12]TS BYDem'!B12</f>
        <v>COM_PROJ</v>
      </c>
      <c r="C101" s="15" t="str">
        <f>'[12]TS BYDem'!C12</f>
        <v>-</v>
      </c>
      <c r="D101" s="15" t="str">
        <f>'[12]TS BYDem'!D12</f>
        <v>RLEK</v>
      </c>
      <c r="E101" s="94" t="s">
        <v>125</v>
      </c>
      <c r="F101" s="94" t="s">
        <v>125</v>
      </c>
      <c r="G101" s="94" t="s">
        <v>125</v>
      </c>
      <c r="H101" s="94" t="s">
        <v>125</v>
      </c>
      <c r="I101" s="94">
        <v>0</v>
      </c>
      <c r="J101" s="94"/>
      <c r="K101" s="94"/>
      <c r="L101" s="278">
        <f>INDEX('BY-DMD'!$I$5:$I$138,MATCH(D101,'BY-DMD'!$H$5:$H$138,0))</f>
        <v>11.428450394710399</v>
      </c>
      <c r="M101" s="17">
        <f t="shared" ref="M101:AM101" ca="1" si="61">OFFSET(M$21,$AY101,$L$95)/OFFSET(L$21,$AY101,$L$95)*L101</f>
        <v>11.406564629626928</v>
      </c>
      <c r="N101" s="17">
        <f t="shared" ca="1" si="61"/>
        <v>11.513357504810177</v>
      </c>
      <c r="O101" s="17">
        <f t="shared" ca="1" si="61"/>
        <v>11.979965211330112</v>
      </c>
      <c r="P101" s="17">
        <f t="shared" ca="1" si="61"/>
        <v>12.182778156187352</v>
      </c>
      <c r="Q101" s="17">
        <f t="shared" ca="1" si="61"/>
        <v>12.061607039524763</v>
      </c>
      <c r="R101" s="17">
        <f t="shared" ca="1" si="61"/>
        <v>12.145281048336651</v>
      </c>
      <c r="S101" s="17">
        <f t="shared" ca="1" si="61"/>
        <v>12.163125269496994</v>
      </c>
      <c r="T101" s="17">
        <f t="shared" ca="1" si="61"/>
        <v>12.179645717786112</v>
      </c>
      <c r="U101" s="17">
        <f t="shared" ca="1" si="61"/>
        <v>12.177811561173785</v>
      </c>
      <c r="V101" s="17">
        <f t="shared" ca="1" si="61"/>
        <v>12.154565533936578</v>
      </c>
      <c r="W101" s="17">
        <f t="shared" ca="1" si="61"/>
        <v>12.117041271021627</v>
      </c>
      <c r="X101" s="17">
        <f t="shared" ca="1" si="61"/>
        <v>12.050740247288806</v>
      </c>
      <c r="Y101" s="17">
        <f t="shared" ca="1" si="61"/>
        <v>11.952012942476546</v>
      </c>
      <c r="Z101" s="17">
        <f t="shared" ca="1" si="61"/>
        <v>11.837836107997356</v>
      </c>
      <c r="AA101" s="17">
        <f t="shared" ca="1" si="61"/>
        <v>11.724783720714141</v>
      </c>
      <c r="AB101" s="17">
        <f t="shared" ca="1" si="61"/>
        <v>11.612704047812608</v>
      </c>
      <c r="AC101" s="17">
        <f t="shared" ca="1" si="61"/>
        <v>11.48518416405045</v>
      </c>
      <c r="AD101" s="17">
        <f t="shared" ca="1" si="61"/>
        <v>11.352127157512625</v>
      </c>
      <c r="AE101" s="17">
        <f t="shared" ca="1" si="61"/>
        <v>11.229274895105451</v>
      </c>
      <c r="AF101" s="17">
        <f t="shared" ca="1" si="61"/>
        <v>11.100478666151728</v>
      </c>
      <c r="AG101" s="17">
        <f t="shared" ca="1" si="61"/>
        <v>10.974636464422844</v>
      </c>
      <c r="AH101" s="17">
        <f t="shared" ca="1" si="61"/>
        <v>10.864289453012441</v>
      </c>
      <c r="AI101" s="17">
        <f t="shared" ca="1" si="61"/>
        <v>10.762326828497487</v>
      </c>
      <c r="AJ101" s="17">
        <f t="shared" ca="1" si="61"/>
        <v>9.9737839942743634</v>
      </c>
      <c r="AK101" s="17">
        <f t="shared" ca="1" si="61"/>
        <v>9.104878782949708</v>
      </c>
      <c r="AL101" s="17">
        <f t="shared" ca="1" si="61"/>
        <v>8.1490654513622687</v>
      </c>
      <c r="AM101" s="17">
        <f t="shared" ca="1" si="61"/>
        <v>7.1138850157560256</v>
      </c>
      <c r="AN101" s="3"/>
      <c r="AO101" s="3"/>
      <c r="AP101" s="3"/>
      <c r="AQ101" s="3"/>
      <c r="AR101" s="3"/>
      <c r="AS101" s="3"/>
      <c r="AY101">
        <f t="shared" ref="AY101:AY106" si="62">MATCH(MID(D101,2,2),$B$34:$B$38,0)</f>
        <v>1</v>
      </c>
    </row>
    <row r="102" spans="1:51">
      <c r="A102" s="15" t="str">
        <f>'[12]TS BYDem'!A13</f>
        <v/>
      </c>
      <c r="B102" s="15" t="str">
        <f>'[12]TS BYDem'!B13</f>
        <v>COM_PROJ</v>
      </c>
      <c r="C102" s="15" t="str">
        <f>'[12]TS BYDem'!C13</f>
        <v>-</v>
      </c>
      <c r="D102" s="15" t="str">
        <f>'[12]TS BYDem'!D13</f>
        <v>RLEH</v>
      </c>
      <c r="E102" s="94" t="s">
        <v>125</v>
      </c>
      <c r="F102" s="94" t="s">
        <v>125</v>
      </c>
      <c r="G102" s="94" t="s">
        <v>125</v>
      </c>
      <c r="H102" s="94" t="s">
        <v>125</v>
      </c>
      <c r="I102" s="94">
        <v>0</v>
      </c>
      <c r="J102" s="94"/>
      <c r="K102" s="94"/>
      <c r="L102" s="278">
        <f>INDEX('BY-DMD'!$I$5:$I$138,MATCH(D102,'BY-DMD'!$H$5:$H$138,0))</f>
        <v>9.2994915751840495</v>
      </c>
      <c r="M102" s="17">
        <f ca="1">IF(OR($E$78=1,$E$78=2,$E$78=3), M89,M81)</f>
        <v>9.281682818880185</v>
      </c>
      <c r="N102" s="17">
        <f t="shared" ref="N102:AK102" ca="1" si="63">IF(OR($E$78=1,$E$78=2,$E$78=3), N89,N81)</f>
        <v>9.3685816904468826</v>
      </c>
      <c r="O102" s="17">
        <f t="shared" ca="1" si="63"/>
        <v>9.7482669746133581</v>
      </c>
      <c r="P102" s="17">
        <f t="shared" ca="1" si="63"/>
        <v>9.9132987336794098</v>
      </c>
      <c r="Q102" s="17">
        <f t="shared" ca="1" si="63"/>
        <v>9.814700083850127</v>
      </c>
      <c r="R102" s="17">
        <f t="shared" ca="1" si="63"/>
        <v>9.8827868071707421</v>
      </c>
      <c r="S102" s="17">
        <f t="shared" ca="1" si="63"/>
        <v>9.897306902075572</v>
      </c>
      <c r="T102" s="17">
        <f t="shared" ca="1" si="63"/>
        <v>9.9107498242895939</v>
      </c>
      <c r="U102" s="17">
        <f t="shared" ca="1" si="63"/>
        <v>9.909257345136707</v>
      </c>
      <c r="V102" s="17">
        <f t="shared" ca="1" si="63"/>
        <v>9.8903417242972473</v>
      </c>
      <c r="W102" s="17">
        <f t="shared" ca="1" si="63"/>
        <v>9.8598077013290855</v>
      </c>
      <c r="X102" s="17">
        <f t="shared" ca="1" si="63"/>
        <v>9.8058576214551927</v>
      </c>
      <c r="Y102" s="17">
        <f t="shared" ca="1" si="63"/>
        <v>9.7255218184694101</v>
      </c>
      <c r="Z102" s="17">
        <f t="shared" ca="1" si="63"/>
        <v>9.6326145148850273</v>
      </c>
      <c r="AA102" s="17">
        <f t="shared" ca="1" si="63"/>
        <v>9.5406221898729413</v>
      </c>
      <c r="AB102" s="17">
        <f t="shared" ca="1" si="63"/>
        <v>9.4494213762981101</v>
      </c>
      <c r="AC102" s="17">
        <f t="shared" ca="1" si="63"/>
        <v>9.3456566449690488</v>
      </c>
      <c r="AD102" s="17">
        <f t="shared" ca="1" si="63"/>
        <v>9.2373862785954568</v>
      </c>
      <c r="AE102" s="17">
        <f t="shared" ca="1" si="63"/>
        <v>9.13741965671848</v>
      </c>
      <c r="AF102" s="17">
        <f t="shared" ca="1" si="63"/>
        <v>9.032616345271725</v>
      </c>
      <c r="AG102" s="17">
        <f t="shared" ca="1" si="63"/>
        <v>8.9302167675195196</v>
      </c>
      <c r="AH102" s="17">
        <f t="shared" ca="1" si="63"/>
        <v>8.8404258450832867</v>
      </c>
      <c r="AI102" s="17">
        <f t="shared" ca="1" si="63"/>
        <v>8.757457416738939</v>
      </c>
      <c r="AJ102" s="17">
        <f t="shared" ca="1" si="63"/>
        <v>8.1158089700760598</v>
      </c>
      <c r="AK102" s="17">
        <f t="shared" ca="1" si="63"/>
        <v>7.4087685216100887</v>
      </c>
      <c r="AL102" s="17">
        <f t="shared" ref="AL102:AM102" ca="1" si="64">IF($E$78=1, AL89,AL81)</f>
        <v>6.6310097076364967</v>
      </c>
      <c r="AM102" s="17">
        <f t="shared" ca="1" si="64"/>
        <v>5.7886687596308724</v>
      </c>
      <c r="AN102" s="3"/>
      <c r="AO102" s="3"/>
      <c r="AP102" s="3"/>
      <c r="AQ102" s="3"/>
      <c r="AR102" s="3"/>
      <c r="AS102" s="3"/>
      <c r="AY102">
        <f t="shared" si="62"/>
        <v>1</v>
      </c>
    </row>
    <row r="103" spans="1:51">
      <c r="A103" s="15" t="str">
        <f>'[12]TS BYDem'!A15</f>
        <v/>
      </c>
      <c r="B103" s="15" t="str">
        <f>'[12]TS BYDem'!B15</f>
        <v>COM_PROJ</v>
      </c>
      <c r="C103" s="15" t="str">
        <f>'[12]TS BYDem'!C15</f>
        <v>-</v>
      </c>
      <c r="D103" s="15" t="str">
        <f>'[12]TS BYDem'!D15</f>
        <v>RLEW</v>
      </c>
      <c r="E103" s="94" t="s">
        <v>125</v>
      </c>
      <c r="F103" s="94" t="s">
        <v>125</v>
      </c>
      <c r="G103" s="94" t="s">
        <v>125</v>
      </c>
      <c r="H103" s="94" t="s">
        <v>125</v>
      </c>
      <c r="I103" s="94">
        <v>0</v>
      </c>
      <c r="J103" s="94"/>
      <c r="K103" s="94"/>
      <c r="L103" s="278">
        <f>INDEX('BY-DMD'!$I$5:$I$138,MATCH(D103,'BY-DMD'!$H$5:$H$138,0))</f>
        <v>4.5736255741133904</v>
      </c>
      <c r="M103" s="17">
        <f t="shared" ref="M103:AM103" ca="1" si="65">OFFSET(M$21,$AY103,$L$95)/OFFSET(L$21,$AY103,$L$95)*L103</f>
        <v>4.564866968052403</v>
      </c>
      <c r="N103" s="17">
        <f t="shared" ca="1" si="65"/>
        <v>4.6076051003627354</v>
      </c>
      <c r="O103" s="17">
        <f t="shared" ca="1" si="65"/>
        <v>4.7943398601868434</v>
      </c>
      <c r="P103" s="17">
        <f t="shared" ca="1" si="65"/>
        <v>4.8755048860060617</v>
      </c>
      <c r="Q103" s="17">
        <f t="shared" ca="1" si="65"/>
        <v>4.8270126321246085</v>
      </c>
      <c r="R103" s="17">
        <f t="shared" ca="1" si="65"/>
        <v>4.8604986755839885</v>
      </c>
      <c r="S103" s="17">
        <f t="shared" ca="1" si="65"/>
        <v>4.867639870009338</v>
      </c>
      <c r="T103" s="17">
        <f t="shared" ca="1" si="65"/>
        <v>4.8742512951965962</v>
      </c>
      <c r="U103" s="17">
        <f t="shared" ca="1" si="65"/>
        <v>4.8735172721839088</v>
      </c>
      <c r="V103" s="17">
        <f t="shared" ca="1" si="65"/>
        <v>4.8642142940025588</v>
      </c>
      <c r="W103" s="17">
        <f t="shared" ca="1" si="65"/>
        <v>4.8491972162194665</v>
      </c>
      <c r="X103" s="17">
        <f t="shared" ca="1" si="65"/>
        <v>4.8226637801663443</v>
      </c>
      <c r="Y103" s="17">
        <f t="shared" ca="1" si="65"/>
        <v>4.7831534606954182</v>
      </c>
      <c r="Z103" s="17">
        <f t="shared" ca="1" si="65"/>
        <v>4.7374602938959161</v>
      </c>
      <c r="AA103" s="17">
        <f t="shared" ca="1" si="65"/>
        <v>4.6922171269016921</v>
      </c>
      <c r="AB103" s="17">
        <f t="shared" ca="1" si="65"/>
        <v>4.6473632367751732</v>
      </c>
      <c r="AC103" s="17">
        <f t="shared" ca="1" si="65"/>
        <v>4.5963302286735228</v>
      </c>
      <c r="AD103" s="17">
        <f t="shared" ca="1" si="65"/>
        <v>4.5430812835498653</v>
      </c>
      <c r="AE103" s="17">
        <f t="shared" ca="1" si="65"/>
        <v>4.4939162410657856</v>
      </c>
      <c r="AF103" s="17">
        <f t="shared" ca="1" si="65"/>
        <v>4.4423724441163097</v>
      </c>
      <c r="AG103" s="17">
        <f t="shared" ca="1" si="65"/>
        <v>4.392010838452225</v>
      </c>
      <c r="AH103" s="17">
        <f t="shared" ca="1" si="65"/>
        <v>4.3478503533485586</v>
      </c>
      <c r="AI103" s="17">
        <f t="shared" ca="1" si="65"/>
        <v>4.3070452703338784</v>
      </c>
      <c r="AJ103" s="17">
        <f t="shared" ca="1" si="65"/>
        <v>3.9914732069020782</v>
      </c>
      <c r="AK103" s="17">
        <f t="shared" ca="1" si="65"/>
        <v>3.6437404033511949</v>
      </c>
      <c r="AL103" s="17">
        <f t="shared" ca="1" si="65"/>
        <v>3.2612272763352892</v>
      </c>
      <c r="AM103" s="17">
        <f t="shared" ca="1" si="65"/>
        <v>2.8469517139806668</v>
      </c>
      <c r="AN103" s="3"/>
      <c r="AO103" s="3"/>
      <c r="AP103" s="3"/>
      <c r="AQ103" s="3"/>
      <c r="AR103" s="3"/>
      <c r="AS103" s="3"/>
      <c r="AY103">
        <f t="shared" si="62"/>
        <v>1</v>
      </c>
    </row>
    <row r="104" spans="1:51">
      <c r="A104" s="15" t="str">
        <f>'[12]TS BYDem'!A16</f>
        <v/>
      </c>
      <c r="B104" s="15" t="str">
        <f>'[12]TS BYDem'!B16</f>
        <v>COM_PROJ</v>
      </c>
      <c r="C104" s="15" t="str">
        <f>'[12]TS BYDem'!C16</f>
        <v>-</v>
      </c>
      <c r="D104" s="15" t="str">
        <f>'[12]TS BYDem'!D16</f>
        <v>RLER</v>
      </c>
      <c r="E104" s="94" t="s">
        <v>125</v>
      </c>
      <c r="F104" s="94" t="s">
        <v>125</v>
      </c>
      <c r="G104" s="94" t="s">
        <v>125</v>
      </c>
      <c r="H104" s="94" t="s">
        <v>125</v>
      </c>
      <c r="I104" s="94">
        <v>0</v>
      </c>
      <c r="J104" s="94"/>
      <c r="K104" s="94"/>
      <c r="L104" s="278">
        <f>INDEX('BY-DMD'!$I$5:$I$138,MATCH(D104,'BY-DMD'!$H$5:$H$138,0))</f>
        <v>4.25340304491049</v>
      </c>
      <c r="M104" s="17">
        <f t="shared" ref="M104:AM104" ca="1" si="66">OFFSET(M$21,$AY104,$L$95)/OFFSET(L$21,$AY104,$L$95)*L104</f>
        <v>4.245257672910685</v>
      </c>
      <c r="N104" s="17">
        <f t="shared" ca="1" si="66"/>
        <v>4.2850034936292509</v>
      </c>
      <c r="O104" s="17">
        <f t="shared" ca="1" si="66"/>
        <v>4.4586640137474634</v>
      </c>
      <c r="P104" s="17">
        <f t="shared" ca="1" si="66"/>
        <v>4.5341462678947382</v>
      </c>
      <c r="Q104" s="17">
        <f t="shared" ca="1" si="66"/>
        <v>4.4890492005962352</v>
      </c>
      <c r="R104" s="17">
        <f t="shared" ca="1" si="66"/>
        <v>4.5201907177370959</v>
      </c>
      <c r="S104" s="17">
        <f t="shared" ca="1" si="66"/>
        <v>4.5268319212245425</v>
      </c>
      <c r="T104" s="17">
        <f t="shared" ca="1" si="66"/>
        <v>4.5329804472826982</v>
      </c>
      <c r="U104" s="17">
        <f t="shared" ca="1" si="66"/>
        <v>4.5322978169128509</v>
      </c>
      <c r="V104" s="17">
        <f t="shared" ca="1" si="66"/>
        <v>4.5236461870227149</v>
      </c>
      <c r="W104" s="17">
        <f t="shared" ca="1" si="66"/>
        <v>4.5096805303826555</v>
      </c>
      <c r="X104" s="17">
        <f t="shared" ca="1" si="66"/>
        <v>4.485004833635843</v>
      </c>
      <c r="Y104" s="17">
        <f t="shared" ca="1" si="66"/>
        <v>4.4482608303457178</v>
      </c>
      <c r="Z104" s="17">
        <f t="shared" ca="1" si="66"/>
        <v>4.4057668719647278</v>
      </c>
      <c r="AA104" s="17">
        <f t="shared" ca="1" si="66"/>
        <v>4.3636914066394032</v>
      </c>
      <c r="AB104" s="17">
        <f t="shared" ca="1" si="66"/>
        <v>4.3219779629504318</v>
      </c>
      <c r="AC104" s="17">
        <f t="shared" ca="1" si="66"/>
        <v>4.2745180324132495</v>
      </c>
      <c r="AD104" s="17">
        <f t="shared" ca="1" si="66"/>
        <v>4.2249973137498857</v>
      </c>
      <c r="AE104" s="17">
        <f t="shared" ca="1" si="66"/>
        <v>4.1792745631625738</v>
      </c>
      <c r="AF104" s="17">
        <f t="shared" ca="1" si="66"/>
        <v>4.131339606673782</v>
      </c>
      <c r="AG104" s="17">
        <f t="shared" ca="1" si="66"/>
        <v>4.0845040703127351</v>
      </c>
      <c r="AH104" s="17">
        <f t="shared" ca="1" si="66"/>
        <v>4.0434354828735302</v>
      </c>
      <c r="AI104" s="17">
        <f t="shared" ca="1" si="66"/>
        <v>4.0054873689472803</v>
      </c>
      <c r="AJ104" s="17">
        <f t="shared" ca="1" si="66"/>
        <v>3.7120100928259823</v>
      </c>
      <c r="AK104" s="17">
        <f t="shared" ca="1" si="66"/>
        <v>3.3886238117517373</v>
      </c>
      <c r="AL104" s="17">
        <f t="shared" ca="1" si="66"/>
        <v>3.0328923525836835</v>
      </c>
      <c r="AM104" s="17">
        <f t="shared" ca="1" si="66"/>
        <v>2.6476223059221264</v>
      </c>
      <c r="AN104" s="3"/>
      <c r="AO104" s="3"/>
      <c r="AP104" s="3"/>
      <c r="AQ104" s="3"/>
      <c r="AR104" s="3"/>
      <c r="AS104" s="3"/>
      <c r="AY104">
        <f t="shared" si="62"/>
        <v>1</v>
      </c>
    </row>
    <row r="105" spans="1:51">
      <c r="A105" s="15" t="str">
        <f>'[12]TS BYDem'!A17</f>
        <v/>
      </c>
      <c r="B105" s="15" t="str">
        <f>'[12]TS BYDem'!B17</f>
        <v>COM_PROJ</v>
      </c>
      <c r="C105" s="15" t="str">
        <f>'[12]TS BYDem'!C17</f>
        <v>-</v>
      </c>
      <c r="D105" s="15" t="str">
        <f>'[12]TS BYDem'!D17</f>
        <v>RLEO</v>
      </c>
      <c r="E105" s="94" t="s">
        <v>125</v>
      </c>
      <c r="F105" s="94" t="s">
        <v>125</v>
      </c>
      <c r="G105" s="94" t="s">
        <v>125</v>
      </c>
      <c r="H105" s="94" t="s">
        <v>125</v>
      </c>
      <c r="I105" s="94">
        <v>0</v>
      </c>
      <c r="J105" s="94"/>
      <c r="K105" s="94"/>
      <c r="L105" s="278">
        <f>INDEX('BY-DMD'!$I$5:$I$138,MATCH(D105,'BY-DMD'!$H$5:$H$138,0))</f>
        <v>5.7452488569507203</v>
      </c>
      <c r="M105" s="17">
        <f t="shared" ref="M105:AM105" ca="1" si="67">OFFSET(M$21,$AY105,$L$95)/OFFSET(L$21,$AY105,$L$95)*L105</f>
        <v>5.734246563333774</v>
      </c>
      <c r="N105" s="17">
        <f t="shared" ca="1" si="67"/>
        <v>5.7879329007536766</v>
      </c>
      <c r="O105" s="17">
        <f t="shared" ca="1" si="67"/>
        <v>6.0225034068101095</v>
      </c>
      <c r="P105" s="17">
        <f t="shared" ca="1" si="67"/>
        <v>6.1244604350486167</v>
      </c>
      <c r="Q105" s="17">
        <f t="shared" ca="1" si="67"/>
        <v>6.0635459457296275</v>
      </c>
      <c r="R105" s="17">
        <f t="shared" ca="1" si="67"/>
        <v>6.105610091513161</v>
      </c>
      <c r="S105" s="17">
        <f t="shared" ca="1" si="67"/>
        <v>6.1145806419975983</v>
      </c>
      <c r="T105" s="17">
        <f t="shared" ca="1" si="67"/>
        <v>6.1228857125339582</v>
      </c>
      <c r="U105" s="17">
        <f t="shared" ca="1" si="67"/>
        <v>6.1219636552281553</v>
      </c>
      <c r="V105" s="17">
        <f t="shared" ca="1" si="67"/>
        <v>6.1102775379681091</v>
      </c>
      <c r="W105" s="17">
        <f t="shared" ca="1" si="67"/>
        <v>6.0914135431854195</v>
      </c>
      <c r="X105" s="17">
        <f t="shared" ca="1" si="67"/>
        <v>6.0580830506287073</v>
      </c>
      <c r="Y105" s="17">
        <f t="shared" ca="1" si="67"/>
        <v>6.0084513931832682</v>
      </c>
      <c r="Z105" s="17">
        <f t="shared" ca="1" si="67"/>
        <v>5.9510530316271435</v>
      </c>
      <c r="AA105" s="17">
        <f t="shared" ca="1" si="67"/>
        <v>5.8942199460921998</v>
      </c>
      <c r="AB105" s="17">
        <f t="shared" ca="1" si="67"/>
        <v>5.837875858277549</v>
      </c>
      <c r="AC105" s="17">
        <f t="shared" ca="1" si="67"/>
        <v>5.7737697510521881</v>
      </c>
      <c r="AD105" s="17">
        <f t="shared" ca="1" si="67"/>
        <v>5.7068800513712459</v>
      </c>
      <c r="AE105" s="17">
        <f t="shared" ca="1" si="67"/>
        <v>5.6451204255434693</v>
      </c>
      <c r="AF105" s="17">
        <f t="shared" ca="1" si="67"/>
        <v>5.5803726809569909</v>
      </c>
      <c r="AG105" s="17">
        <f t="shared" ca="1" si="67"/>
        <v>5.517109968982175</v>
      </c>
      <c r="AH105" s="17">
        <f t="shared" ca="1" si="67"/>
        <v>5.4616369153941777</v>
      </c>
      <c r="AI105" s="17">
        <f t="shared" ca="1" si="67"/>
        <v>5.4103788155018799</v>
      </c>
      <c r="AJ105" s="17">
        <f t="shared" ca="1" si="67"/>
        <v>5.0139668208298867</v>
      </c>
      <c r="AK105" s="17">
        <f t="shared" ca="1" si="67"/>
        <v>4.577155485981546</v>
      </c>
      <c r="AL105" s="17">
        <f t="shared" ca="1" si="67"/>
        <v>4.0966541703086312</v>
      </c>
      <c r="AM105" s="17">
        <f t="shared" ca="1" si="67"/>
        <v>3.5762538527680108</v>
      </c>
      <c r="AN105" s="3"/>
      <c r="AO105" s="3"/>
      <c r="AP105" s="3"/>
      <c r="AQ105" s="3"/>
      <c r="AR105" s="3"/>
      <c r="AS105" s="3"/>
      <c r="AY105">
        <f t="shared" si="62"/>
        <v>1</v>
      </c>
    </row>
    <row r="106" spans="1:51">
      <c r="A106" s="15" t="str">
        <f>'[12]TS BYDem'!A21</f>
        <v/>
      </c>
      <c r="B106" s="15" t="str">
        <f>'[12]TS BYDem'!B21</f>
        <v>COM_PROJ</v>
      </c>
      <c r="C106" s="15" t="str">
        <f>'[12]TS BYDem'!C21</f>
        <v>-</v>
      </c>
      <c r="D106" s="15" t="str">
        <f>'[12]TS BYDem'!D21</f>
        <v>RMEL</v>
      </c>
      <c r="E106" s="94" t="s">
        <v>125</v>
      </c>
      <c r="F106" s="94" t="s">
        <v>125</v>
      </c>
      <c r="G106" s="94" t="s">
        <v>125</v>
      </c>
      <c r="H106" s="94" t="s">
        <v>125</v>
      </c>
      <c r="I106" s="94">
        <v>0</v>
      </c>
      <c r="J106" s="94"/>
      <c r="K106" s="94"/>
      <c r="L106" s="278">
        <f>INDEX('BY-DMD'!$I$5:$I$138,MATCH(D106,'BY-DMD'!$H$5:$H$138,0))</f>
        <v>14.579147778971199</v>
      </c>
      <c r="M106" s="17">
        <f t="shared" ref="M106:AM106" ca="1" si="68">OFFSET(M$33,$AY106,$L$95)/OFFSET(L$33,$AY106,$L$95)*L106</f>
        <v>14.972513787454066</v>
      </c>
      <c r="N106" s="17">
        <f t="shared" ca="1" si="68"/>
        <v>15.377135008474639</v>
      </c>
      <c r="O106" s="17">
        <f t="shared" ca="1" si="68"/>
        <v>16.159434594663765</v>
      </c>
      <c r="P106" s="17">
        <f t="shared" ca="1" si="68"/>
        <v>15.374815439395009</v>
      </c>
      <c r="Q106" s="17">
        <f t="shared" ca="1" si="68"/>
        <v>15.714667354124161</v>
      </c>
      <c r="R106" s="17">
        <f t="shared" ca="1" si="68"/>
        <v>15.868328106000769</v>
      </c>
      <c r="S106" s="17">
        <f t="shared" ca="1" si="68"/>
        <v>16.106628771812332</v>
      </c>
      <c r="T106" s="17">
        <f t="shared" ca="1" si="68"/>
        <v>16.370861933134922</v>
      </c>
      <c r="U106" s="17">
        <f t="shared" ca="1" si="68"/>
        <v>16.622697768827095</v>
      </c>
      <c r="V106" s="17">
        <f t="shared" ca="1" si="68"/>
        <v>16.889461836128813</v>
      </c>
      <c r="W106" s="17">
        <f t="shared" ca="1" si="68"/>
        <v>17.156734224574649</v>
      </c>
      <c r="X106" s="17">
        <f t="shared" ca="1" si="68"/>
        <v>17.429397917671839</v>
      </c>
      <c r="Y106" s="17">
        <f t="shared" ca="1" si="68"/>
        <v>17.733543059996592</v>
      </c>
      <c r="Z106" s="17">
        <f t="shared" ca="1" si="68"/>
        <v>18.019645019153465</v>
      </c>
      <c r="AA106" s="17">
        <f t="shared" ca="1" si="68"/>
        <v>18.306019080071859</v>
      </c>
      <c r="AB106" s="17">
        <f t="shared" ca="1" si="68"/>
        <v>18.585458262830585</v>
      </c>
      <c r="AC106" s="17">
        <f t="shared" ca="1" si="68"/>
        <v>18.869828463572045</v>
      </c>
      <c r="AD106" s="17">
        <f t="shared" ca="1" si="68"/>
        <v>19.164403564306504</v>
      </c>
      <c r="AE106" s="17">
        <f t="shared" ca="1" si="68"/>
        <v>19.412985258289318</v>
      </c>
      <c r="AF106" s="17">
        <f t="shared" ca="1" si="68"/>
        <v>19.647378746969025</v>
      </c>
      <c r="AG106" s="17">
        <f t="shared" ca="1" si="68"/>
        <v>19.894413018339815</v>
      </c>
      <c r="AH106" s="17">
        <f t="shared" ca="1" si="68"/>
        <v>20.118293290159098</v>
      </c>
      <c r="AI106" s="17">
        <f t="shared" ca="1" si="68"/>
        <v>20.334717483253808</v>
      </c>
      <c r="AJ106" s="17">
        <f t="shared" ca="1" si="68"/>
        <v>21.880996721557619</v>
      </c>
      <c r="AK106" s="17">
        <f t="shared" ca="1" si="68"/>
        <v>23.398049569397177</v>
      </c>
      <c r="AL106" s="17">
        <f t="shared" ca="1" si="68"/>
        <v>24.761895716925057</v>
      </c>
      <c r="AM106" s="17">
        <f t="shared" ca="1" si="68"/>
        <v>26.035434839650346</v>
      </c>
      <c r="AN106" s="3"/>
      <c r="AO106" s="3"/>
      <c r="AP106" s="3"/>
      <c r="AQ106" s="3"/>
      <c r="AR106" s="3"/>
      <c r="AS106" s="3"/>
      <c r="AY106">
        <f t="shared" si="62"/>
        <v>2</v>
      </c>
    </row>
    <row r="107" spans="1:51" s="256" customFormat="1">
      <c r="A107" s="259" t="str">
        <f>'[12]TS BYDem'!A22</f>
        <v/>
      </c>
      <c r="B107" s="259" t="str">
        <f>'[12]TS BYDem'!B22</f>
        <v>COM_PROJ</v>
      </c>
      <c r="C107" s="259" t="str">
        <f>'[12]TS BYDem'!C22</f>
        <v>-</v>
      </c>
      <c r="D107" s="259" t="str">
        <f>'[12]TS BYDem'!D22</f>
        <v>RMNL</v>
      </c>
      <c r="E107" s="258" t="s">
        <v>125</v>
      </c>
      <c r="F107" s="258" t="s">
        <v>125</v>
      </c>
      <c r="G107" s="258" t="s">
        <v>125</v>
      </c>
      <c r="H107" s="258" t="s">
        <v>125</v>
      </c>
      <c r="I107" s="258">
        <v>0</v>
      </c>
      <c r="J107" s="258"/>
      <c r="K107" s="258"/>
      <c r="L107" s="278">
        <f>INDEX('BY-DMD'!$I$5:$I$138,MATCH(D107,'BY-DMD'!$H$5:$H$138,0))</f>
        <v>7.1482186957706306E-2</v>
      </c>
      <c r="M107" s="17">
        <f t="shared" ref="M107:AM107" ca="1" si="69">OFFSET(M$33,$AY107,$L$95)/OFFSET(L$33,$AY107,$L$95)*L107</f>
        <v>7.3410877371403671E-2</v>
      </c>
      <c r="N107" s="17">
        <f t="shared" ca="1" si="69"/>
        <v>7.5394752574984944E-2</v>
      </c>
      <c r="O107" s="17">
        <f t="shared" ca="1" si="69"/>
        <v>7.9230401004145287E-2</v>
      </c>
      <c r="P107" s="17">
        <f t="shared" ca="1" si="69"/>
        <v>7.5383379628285646E-2</v>
      </c>
      <c r="Q107" s="17">
        <f t="shared" ca="1" si="69"/>
        <v>7.7049688144730219E-2</v>
      </c>
      <c r="R107" s="17">
        <f t="shared" ca="1" si="69"/>
        <v>7.7803093402721263E-2</v>
      </c>
      <c r="S107" s="17">
        <f t="shared" ca="1" si="69"/>
        <v>7.897149178950888E-2</v>
      </c>
      <c r="T107" s="17">
        <f t="shared" ca="1" si="69"/>
        <v>8.0267038314205674E-2</v>
      </c>
      <c r="U107" s="17">
        <f t="shared" ca="1" si="69"/>
        <v>8.15018002195321E-2</v>
      </c>
      <c r="V107" s="17">
        <f t="shared" ca="1" si="69"/>
        <v>8.2809755884812083E-2</v>
      </c>
      <c r="W107" s="17">
        <f t="shared" ca="1" si="69"/>
        <v>8.4120203870466981E-2</v>
      </c>
      <c r="X107" s="17">
        <f t="shared" ca="1" si="69"/>
        <v>8.5457085654096668E-2</v>
      </c>
      <c r="Y107" s="17">
        <f t="shared" ca="1" si="69"/>
        <v>8.6948322333739558E-2</v>
      </c>
      <c r="Z107" s="17">
        <f t="shared" ca="1" si="69"/>
        <v>8.8351092512317236E-2</v>
      </c>
      <c r="AA107" s="17">
        <f t="shared" ca="1" si="69"/>
        <v>8.9755196817503907E-2</v>
      </c>
      <c r="AB107" s="17">
        <f t="shared" ca="1" si="69"/>
        <v>9.1125299117590305E-2</v>
      </c>
      <c r="AC107" s="17">
        <f t="shared" ca="1" si="69"/>
        <v>9.2519578410370465E-2</v>
      </c>
      <c r="AD107" s="17">
        <f t="shared" ca="1" si="69"/>
        <v>9.3963892765572904E-2</v>
      </c>
      <c r="AE107" s="17">
        <f t="shared" ca="1" si="69"/>
        <v>9.5182699474506402E-2</v>
      </c>
      <c r="AF107" s="17">
        <f t="shared" ca="1" si="69"/>
        <v>9.6331940804211494E-2</v>
      </c>
      <c r="AG107" s="17">
        <f t="shared" ca="1" si="69"/>
        <v>9.75431604336989E-2</v>
      </c>
      <c r="AH107" s="17">
        <f t="shared" ca="1" si="69"/>
        <v>9.864085501015496E-2</v>
      </c>
      <c r="AI107" s="17">
        <f t="shared" ca="1" si="69"/>
        <v>9.970199211278323E-2</v>
      </c>
      <c r="AJ107" s="17">
        <f t="shared" ca="1" si="69"/>
        <v>0.10728346554847211</v>
      </c>
      <c r="AK107" s="17">
        <f t="shared" ca="1" si="69"/>
        <v>0.1147216407379989</v>
      </c>
      <c r="AL107" s="17">
        <f t="shared" ca="1" si="69"/>
        <v>0.12140863690383481</v>
      </c>
      <c r="AM107" s="17">
        <f t="shared" ca="1" si="69"/>
        <v>0.12765285385318975</v>
      </c>
      <c r="AN107" s="257"/>
      <c r="AO107" s="257"/>
      <c r="AP107" s="257"/>
      <c r="AQ107" s="257"/>
      <c r="AR107" s="257"/>
      <c r="AS107" s="257"/>
      <c r="AY107" s="260">
        <v>2</v>
      </c>
    </row>
    <row r="108" spans="1:51">
      <c r="A108" s="15" t="str">
        <f>'[12]TS BYDem'!A23</f>
        <v/>
      </c>
      <c r="B108" s="15" t="str">
        <f>'[12]TS BYDem'!B23</f>
        <v>COM_PROJ</v>
      </c>
      <c r="C108" s="15" t="str">
        <f>'[12]TS BYDem'!C23</f>
        <v>-</v>
      </c>
      <c r="D108" s="15" t="str">
        <f>'[12]TS BYDem'!D23</f>
        <v>RMEK</v>
      </c>
      <c r="E108" s="94" t="s">
        <v>125</v>
      </c>
      <c r="F108" s="94" t="s">
        <v>125</v>
      </c>
      <c r="G108" s="94" t="s">
        <v>125</v>
      </c>
      <c r="H108" s="94" t="s">
        <v>125</v>
      </c>
      <c r="I108" s="94">
        <v>0</v>
      </c>
      <c r="J108" s="94"/>
      <c r="K108" s="94"/>
      <c r="L108" s="278">
        <f>INDEX('BY-DMD'!$I$5:$I$138,MATCH(D108,'BY-DMD'!$H$5:$H$138,0))</f>
        <v>10.2728758528227</v>
      </c>
      <c r="M108" s="17">
        <f t="shared" ref="M108:AM108" ca="1" si="70">OFFSET(M$33,$AY108,$L$95)/OFFSET(L$33,$AY108,$L$95)*L108</f>
        <v>10.550052559659679</v>
      </c>
      <c r="N108" s="17">
        <f t="shared" ca="1" si="70"/>
        <v>10.83516000448285</v>
      </c>
      <c r="O108" s="17">
        <f t="shared" ca="1" si="70"/>
        <v>11.386390203289611</v>
      </c>
      <c r="P108" s="17">
        <f t="shared" ca="1" si="70"/>
        <v>10.83352557114365</v>
      </c>
      <c r="Q108" s="17">
        <f t="shared" ca="1" si="70"/>
        <v>11.072994748717418</v>
      </c>
      <c r="R108" s="17">
        <f t="shared" ca="1" si="70"/>
        <v>11.181268418167196</v>
      </c>
      <c r="S108" s="17">
        <f t="shared" ca="1" si="70"/>
        <v>11.349181741541159</v>
      </c>
      <c r="T108" s="17">
        <f t="shared" ca="1" si="70"/>
        <v>11.535367827560611</v>
      </c>
      <c r="U108" s="17">
        <f t="shared" ca="1" si="70"/>
        <v>11.712818410720837</v>
      </c>
      <c r="V108" s="17">
        <f t="shared" ca="1" si="70"/>
        <v>11.900787843977929</v>
      </c>
      <c r="W108" s="17">
        <f t="shared" ca="1" si="70"/>
        <v>12.089115454550049</v>
      </c>
      <c r="X108" s="17">
        <f t="shared" ca="1" si="70"/>
        <v>12.28124192937732</v>
      </c>
      <c r="Y108" s="17">
        <f t="shared" ca="1" si="70"/>
        <v>12.49555111505194</v>
      </c>
      <c r="Z108" s="17">
        <f t="shared" ca="1" si="70"/>
        <v>12.697146568519202</v>
      </c>
      <c r="AA108" s="17">
        <f t="shared" ca="1" si="70"/>
        <v>12.898933752508562</v>
      </c>
      <c r="AB108" s="17">
        <f t="shared" ca="1" si="70"/>
        <v>13.095834427116937</v>
      </c>
      <c r="AC108" s="17">
        <f t="shared" ca="1" si="70"/>
        <v>13.296209635102203</v>
      </c>
      <c r="AD108" s="17">
        <f t="shared" ca="1" si="70"/>
        <v>13.503775501437868</v>
      </c>
      <c r="AE108" s="17">
        <f t="shared" ca="1" si="70"/>
        <v>13.678933125208799</v>
      </c>
      <c r="AF108" s="17">
        <f t="shared" ca="1" si="70"/>
        <v>13.844093342144783</v>
      </c>
      <c r="AG108" s="17">
        <f t="shared" ca="1" si="70"/>
        <v>14.018160608603599</v>
      </c>
      <c r="AH108" s="17">
        <f t="shared" ca="1" si="70"/>
        <v>14.175912918489162</v>
      </c>
      <c r="AI108" s="17">
        <f t="shared" ca="1" si="70"/>
        <v>14.328411466478103</v>
      </c>
      <c r="AJ108" s="17">
        <f t="shared" ca="1" si="70"/>
        <v>15.417963125444359</v>
      </c>
      <c r="AK108" s="17">
        <f t="shared" ca="1" si="70"/>
        <v>16.486921051126807</v>
      </c>
      <c r="AL108" s="17">
        <f t="shared" ca="1" si="70"/>
        <v>17.447925244809046</v>
      </c>
      <c r="AM108" s="17">
        <f t="shared" ca="1" si="70"/>
        <v>18.345296579527268</v>
      </c>
      <c r="AN108" s="3"/>
      <c r="AO108" s="3"/>
      <c r="AP108" s="3"/>
      <c r="AQ108" s="3"/>
      <c r="AR108" s="3"/>
      <c r="AS108" s="3"/>
      <c r="AY108">
        <f t="shared" ref="AY108:AY119" si="71">MATCH(MID(D108,2,2),$B$34:$B$38,0)</f>
        <v>2</v>
      </c>
    </row>
    <row r="109" spans="1:51">
      <c r="A109" s="15" t="str">
        <f>'[12]TS BYDem'!A24</f>
        <v/>
      </c>
      <c r="B109" s="15" t="str">
        <f>'[12]TS BYDem'!B24</f>
        <v>COM_PROJ</v>
      </c>
      <c r="C109" s="15" t="str">
        <f>'[12]TS BYDem'!C24</f>
        <v>-</v>
      </c>
      <c r="D109" s="15" t="str">
        <f>'[12]TS BYDem'!D24</f>
        <v>RMEH</v>
      </c>
      <c r="E109" s="94" t="s">
        <v>125</v>
      </c>
      <c r="F109" s="94" t="s">
        <v>125</v>
      </c>
      <c r="G109" s="94" t="s">
        <v>125</v>
      </c>
      <c r="H109" s="94" t="s">
        <v>125</v>
      </c>
      <c r="I109" s="94">
        <v>0</v>
      </c>
      <c r="J109" s="94"/>
      <c r="K109" s="94"/>
      <c r="L109" s="278">
        <f>INDEX('BY-DMD'!$I$5:$I$138,MATCH(D109,'BY-DMD'!$H$5:$H$138,0))</f>
        <v>9.6822001330816203</v>
      </c>
      <c r="M109" s="17">
        <f t="shared" ref="M109:AK109" ca="1" si="72">IF(OR($E$78=1,$E$78=2,$E$78=3), M90,M82)</f>
        <v>9.9434395743318245</v>
      </c>
      <c r="N109" s="17">
        <f t="shared" ca="1" si="72"/>
        <v>10.212153747437592</v>
      </c>
      <c r="O109" s="17">
        <f t="shared" ca="1" si="72"/>
        <v>10.73168899547419</v>
      </c>
      <c r="P109" s="17">
        <f t="shared" ca="1" si="72"/>
        <v>10.210613291685858</v>
      </c>
      <c r="Q109" s="17">
        <f t="shared" ca="1" si="72"/>
        <v>10.436313332861436</v>
      </c>
      <c r="R109" s="17">
        <f t="shared" ca="1" si="72"/>
        <v>10.538361420638903</v>
      </c>
      <c r="S109" s="17">
        <f t="shared" ca="1" si="72"/>
        <v>10.696619967243537</v>
      </c>
      <c r="T109" s="17">
        <f t="shared" ca="1" si="72"/>
        <v>10.872100618685476</v>
      </c>
      <c r="U109" s="17">
        <f t="shared" ca="1" si="72"/>
        <v>11.039348046231995</v>
      </c>
      <c r="V109" s="17">
        <f t="shared" ca="1" si="72"/>
        <v>11.216509504987188</v>
      </c>
      <c r="W109" s="17">
        <f t="shared" ca="1" si="72"/>
        <v>11.394008546372303</v>
      </c>
      <c r="X109" s="17">
        <f t="shared" ca="1" si="72"/>
        <v>11.57508802273237</v>
      </c>
      <c r="Y109" s="17">
        <f t="shared" ca="1" si="72"/>
        <v>11.777074735682792</v>
      </c>
      <c r="Z109" s="17">
        <f t="shared" ca="1" si="72"/>
        <v>11.967078737907061</v>
      </c>
      <c r="AA109" s="17">
        <f t="shared" ca="1" si="72"/>
        <v>12.15726344642168</v>
      </c>
      <c r="AB109" s="17">
        <f t="shared" ca="1" si="72"/>
        <v>12.342842612880043</v>
      </c>
      <c r="AC109" s="17">
        <f t="shared" ca="1" si="72"/>
        <v>12.531696531998332</v>
      </c>
      <c r="AD109" s="17">
        <f t="shared" ca="1" si="72"/>
        <v>12.727327656860624</v>
      </c>
      <c r="AE109" s="17">
        <f t="shared" ca="1" si="72"/>
        <v>12.892413966914607</v>
      </c>
      <c r="AF109" s="17">
        <f t="shared" ca="1" si="72"/>
        <v>13.048077706777478</v>
      </c>
      <c r="AG109" s="17">
        <f t="shared" ca="1" si="72"/>
        <v>13.212136353510722</v>
      </c>
      <c r="AH109" s="17">
        <f t="shared" ca="1" si="72"/>
        <v>13.36081813042018</v>
      </c>
      <c r="AI109" s="17">
        <f t="shared" ca="1" si="72"/>
        <v>13.504548229253951</v>
      </c>
      <c r="AJ109" s="17">
        <f t="shared" ca="1" si="72"/>
        <v>14.531452220753444</v>
      </c>
      <c r="AK109" s="17">
        <f t="shared" ca="1" si="72"/>
        <v>15.538946589280968</v>
      </c>
      <c r="AL109" s="17">
        <f ca="1">IF($E$78=1, AL90,AL82)</f>
        <v>16.444694411533249</v>
      </c>
      <c r="AM109" s="17">
        <f ca="1">IF($E$78=1, AM90,AM82)</f>
        <v>17.290468173516857</v>
      </c>
      <c r="AN109" s="3"/>
      <c r="AO109" s="3"/>
      <c r="AP109" s="3"/>
      <c r="AQ109" s="3"/>
      <c r="AR109" s="3"/>
      <c r="AS109" s="3"/>
      <c r="AY109">
        <f t="shared" si="71"/>
        <v>2</v>
      </c>
    </row>
    <row r="110" spans="1:51">
      <c r="A110" s="15" t="str">
        <f>'[12]TS BYDem'!A25</f>
        <v/>
      </c>
      <c r="B110" s="15" t="str">
        <f>'[12]TS BYDem'!B25</f>
        <v>COM_PROJ</v>
      </c>
      <c r="C110" s="15" t="str">
        <f>'[12]TS BYDem'!C25</f>
        <v>-</v>
      </c>
      <c r="D110" s="15" t="str">
        <f>'[12]TS BYDem'!D25</f>
        <v>RMEWG</v>
      </c>
      <c r="E110" s="94" t="s">
        <v>125</v>
      </c>
      <c r="F110" s="94" t="s">
        <v>125</v>
      </c>
      <c r="G110" s="94" t="s">
        <v>125</v>
      </c>
      <c r="H110" s="94" t="s">
        <v>125</v>
      </c>
      <c r="I110" s="94">
        <v>0</v>
      </c>
      <c r="J110" s="94"/>
      <c r="K110" s="94"/>
      <c r="L110" s="278">
        <f>INDEX('BY-DMD'!$I$5:$I$138,MATCH(D110,'BY-DMD'!$H$5:$H$138,0))</f>
        <v>7.1740496070211197</v>
      </c>
      <c r="M110" s="17">
        <f t="shared" ref="M110:AM110" ca="1" si="73">OFFSET(M$33,$AY110,$L$95)/OFFSET(L$33,$AY110,$L$95)*L110</f>
        <v>7.3676156028773683</v>
      </c>
      <c r="N110" s="17">
        <f t="shared" ca="1" si="73"/>
        <v>7.5667200193811892</v>
      </c>
      <c r="O110" s="17">
        <f t="shared" ca="1" si="73"/>
        <v>7.9516709180179346</v>
      </c>
      <c r="P110" s="17">
        <f t="shared" ca="1" si="73"/>
        <v>7.5655786149660296</v>
      </c>
      <c r="Q110" s="17">
        <f t="shared" ca="1" si="73"/>
        <v>7.7328116063775552</v>
      </c>
      <c r="R110" s="17">
        <f t="shared" ca="1" si="73"/>
        <v>7.808424383840789</v>
      </c>
      <c r="S110" s="17">
        <f t="shared" ca="1" si="73"/>
        <v>7.9256864367286957</v>
      </c>
      <c r="T110" s="17">
        <f t="shared" ca="1" si="73"/>
        <v>8.055709249851045</v>
      </c>
      <c r="U110" s="17">
        <f t="shared" ca="1" si="73"/>
        <v>8.1796316358143191</v>
      </c>
      <c r="V110" s="17">
        <f t="shared" ca="1" si="73"/>
        <v>8.3108998471808064</v>
      </c>
      <c r="W110" s="17">
        <f t="shared" ca="1" si="73"/>
        <v>8.4424181912134468</v>
      </c>
      <c r="X110" s="17">
        <f t="shared" ca="1" si="73"/>
        <v>8.5765894672008045</v>
      </c>
      <c r="Y110" s="17">
        <f t="shared" ca="1" si="73"/>
        <v>8.7262520107082846</v>
      </c>
      <c r="Z110" s="17">
        <f t="shared" ca="1" si="73"/>
        <v>8.8670359357205459</v>
      </c>
      <c r="AA110" s="17">
        <f t="shared" ca="1" si="73"/>
        <v>9.0079537554957163</v>
      </c>
      <c r="AB110" s="17">
        <f t="shared" ca="1" si="73"/>
        <v>9.1454590877448414</v>
      </c>
      <c r="AC110" s="17">
        <f t="shared" ca="1" si="73"/>
        <v>9.2853908558980098</v>
      </c>
      <c r="AD110" s="17">
        <f t="shared" ca="1" si="73"/>
        <v>9.4303442110392801</v>
      </c>
      <c r="AE110" s="17">
        <f t="shared" ca="1" si="73"/>
        <v>9.5526653117693456</v>
      </c>
      <c r="AF110" s="17">
        <f t="shared" ca="1" si="73"/>
        <v>9.6680047363258623</v>
      </c>
      <c r="AG110" s="17">
        <f t="shared" ca="1" si="73"/>
        <v>9.7895643874328098</v>
      </c>
      <c r="AH110" s="17">
        <f t="shared" ca="1" si="73"/>
        <v>9.8997305096516666</v>
      </c>
      <c r="AI110" s="17">
        <f t="shared" ca="1" si="73"/>
        <v>10.00622767402368</v>
      </c>
      <c r="AJ110" s="17">
        <f t="shared" ca="1" si="73"/>
        <v>10.767114670306063</v>
      </c>
      <c r="AK110" s="17">
        <f t="shared" ca="1" si="73"/>
        <v>11.513620059501156</v>
      </c>
      <c r="AL110" s="17">
        <f t="shared" ca="1" si="73"/>
        <v>12.184736099138426</v>
      </c>
      <c r="AM110" s="17">
        <f t="shared" ca="1" si="73"/>
        <v>12.811414213759891</v>
      </c>
      <c r="AN110" s="3"/>
      <c r="AO110" s="3"/>
      <c r="AP110" s="3"/>
      <c r="AQ110" s="3"/>
      <c r="AR110" s="3"/>
      <c r="AS110" s="3"/>
      <c r="AY110">
        <f t="shared" si="71"/>
        <v>2</v>
      </c>
    </row>
    <row r="111" spans="1:51">
      <c r="A111" s="15" t="str">
        <f>'[12]TS BYDem'!A26</f>
        <v/>
      </c>
      <c r="B111" s="15" t="str">
        <f>'[12]TS BYDem'!B26</f>
        <v>COM_PROJ</v>
      </c>
      <c r="C111" s="15" t="str">
        <f>'[12]TS BYDem'!C26</f>
        <v>-</v>
      </c>
      <c r="D111" s="15" t="str">
        <f>'[12]TS BYDem'!D26</f>
        <v>RMEW</v>
      </c>
      <c r="E111" s="94" t="s">
        <v>125</v>
      </c>
      <c r="F111" s="94" t="s">
        <v>125</v>
      </c>
      <c r="G111" s="94" t="s">
        <v>125</v>
      </c>
      <c r="H111" s="94" t="s">
        <v>125</v>
      </c>
      <c r="I111" s="94">
        <v>0</v>
      </c>
      <c r="J111" s="94"/>
      <c r="K111" s="94"/>
      <c r="L111" s="278">
        <f>INDEX('BY-DMD'!$I$5:$I$138,MATCH(D111,'BY-DMD'!$H$5:$H$138,0))</f>
        <v>4.3678647382810798</v>
      </c>
      <c r="M111" s="17">
        <f t="shared" ref="M111:AM111" ca="1" si="74">OFFSET(M$33,$AY111,$L$95)/OFFSET(L$33,$AY111,$L$95)*L111</f>
        <v>4.48571590103347</v>
      </c>
      <c r="N111" s="17">
        <f t="shared" ca="1" si="74"/>
        <v>4.606939088454971</v>
      </c>
      <c r="O111" s="17">
        <f t="shared" ca="1" si="74"/>
        <v>4.8413134722729314</v>
      </c>
      <c r="P111" s="17">
        <f t="shared" ca="1" si="74"/>
        <v>4.6062441531854663</v>
      </c>
      <c r="Q111" s="17">
        <f t="shared" ca="1" si="74"/>
        <v>4.7080626694038079</v>
      </c>
      <c r="R111" s="17">
        <f t="shared" ca="1" si="74"/>
        <v>4.7540989254288464</v>
      </c>
      <c r="S111" s="17">
        <f t="shared" ca="1" si="74"/>
        <v>4.8254930213724085</v>
      </c>
      <c r="T111" s="17">
        <f t="shared" ca="1" si="74"/>
        <v>4.9046564077049206</v>
      </c>
      <c r="U111" s="17">
        <f t="shared" ca="1" si="74"/>
        <v>4.9801055960410174</v>
      </c>
      <c r="V111" s="17">
        <f t="shared" ca="1" si="74"/>
        <v>5.0600272334832468</v>
      </c>
      <c r="W111" s="17">
        <f t="shared" ca="1" si="74"/>
        <v>5.1401011622688912</v>
      </c>
      <c r="X111" s="17">
        <f t="shared" ca="1" si="74"/>
        <v>5.2217903082014487</v>
      </c>
      <c r="Y111" s="17">
        <f t="shared" ca="1" si="74"/>
        <v>5.3129111928114483</v>
      </c>
      <c r="Z111" s="17">
        <f t="shared" ca="1" si="74"/>
        <v>5.3986263990704133</v>
      </c>
      <c r="AA111" s="17">
        <f t="shared" ca="1" si="74"/>
        <v>5.4844231261224579</v>
      </c>
      <c r="AB111" s="17">
        <f t="shared" ca="1" si="74"/>
        <v>5.5681421864797738</v>
      </c>
      <c r="AC111" s="17">
        <f t="shared" ca="1" si="74"/>
        <v>5.6533385636115092</v>
      </c>
      <c r="AD111" s="17">
        <f t="shared" ca="1" si="74"/>
        <v>5.7415922952273943</v>
      </c>
      <c r="AE111" s="17">
        <f t="shared" ca="1" si="74"/>
        <v>5.8160665534069995</v>
      </c>
      <c r="AF111" s="17">
        <f t="shared" ca="1" si="74"/>
        <v>5.8862900719286717</v>
      </c>
      <c r="AG111" s="17">
        <f t="shared" ca="1" si="74"/>
        <v>5.9603007273816466</v>
      </c>
      <c r="AH111" s="17">
        <f t="shared" ca="1" si="74"/>
        <v>6.0273745206994365</v>
      </c>
      <c r="AI111" s="17">
        <f t="shared" ca="1" si="74"/>
        <v>6.0922144973469621</v>
      </c>
      <c r="AJ111" s="17">
        <f t="shared" ca="1" si="74"/>
        <v>6.5554746729701998</v>
      </c>
      <c r="AK111" s="17">
        <f t="shared" ca="1" si="74"/>
        <v>7.0099787181068418</v>
      </c>
      <c r="AL111" s="17">
        <f t="shared" ca="1" si="74"/>
        <v>7.4185825395743752</v>
      </c>
      <c r="AM111" s="17">
        <f t="shared" ca="1" si="74"/>
        <v>7.8001306733409255</v>
      </c>
      <c r="AN111" s="3"/>
      <c r="AO111" s="3"/>
      <c r="AP111" s="3"/>
      <c r="AQ111" s="3"/>
      <c r="AR111" s="3"/>
      <c r="AS111" s="3"/>
      <c r="AY111">
        <f t="shared" si="71"/>
        <v>2</v>
      </c>
    </row>
    <row r="112" spans="1:51">
      <c r="A112" s="15" t="str">
        <f>'[12]TS BYDem'!A27</f>
        <v/>
      </c>
      <c r="B112" s="15" t="str">
        <f>'[12]TS BYDem'!B27</f>
        <v>COM_PROJ</v>
      </c>
      <c r="C112" s="15" t="str">
        <f>'[12]TS BYDem'!C27</f>
        <v>-</v>
      </c>
      <c r="D112" s="15" t="str">
        <f>'[12]TS BYDem'!D27</f>
        <v>RMER</v>
      </c>
      <c r="E112" s="94" t="s">
        <v>125</v>
      </c>
      <c r="F112" s="94" t="s">
        <v>125</v>
      </c>
      <c r="G112" s="94" t="s">
        <v>125</v>
      </c>
      <c r="H112" s="94" t="s">
        <v>125</v>
      </c>
      <c r="I112" s="94">
        <v>0</v>
      </c>
      <c r="J112" s="94"/>
      <c r="K112" s="94"/>
      <c r="L112" s="278">
        <f>INDEX('BY-DMD'!$I$5:$I$138,MATCH(D112,'BY-DMD'!$H$5:$H$138,0))</f>
        <v>6.4871161947221303</v>
      </c>
      <c r="M112" s="17">
        <f t="shared" ref="M112:AM112" ca="1" si="75">OFFSET(M$33,$AY112,$L$95)/OFFSET(L$33,$AY112,$L$95)*L112</f>
        <v>6.6621477564272054</v>
      </c>
      <c r="N112" s="17">
        <f t="shared" ca="1" si="75"/>
        <v>6.8421874209813174</v>
      </c>
      <c r="O112" s="17">
        <f t="shared" ca="1" si="75"/>
        <v>7.1902782964995575</v>
      </c>
      <c r="P112" s="17">
        <f t="shared" ca="1" si="75"/>
        <v>6.8411553089285846</v>
      </c>
      <c r="Q112" s="17">
        <f t="shared" ca="1" si="75"/>
        <v>6.9923753180313657</v>
      </c>
      <c r="R112" s="17">
        <f t="shared" ca="1" si="75"/>
        <v>7.0607479806248348</v>
      </c>
      <c r="S112" s="17">
        <f t="shared" ca="1" si="75"/>
        <v>7.1667818950782589</v>
      </c>
      <c r="T112" s="17">
        <f t="shared" ca="1" si="75"/>
        <v>7.2843546946674653</v>
      </c>
      <c r="U112" s="17">
        <f t="shared" ca="1" si="75"/>
        <v>7.3964111984424319</v>
      </c>
      <c r="V112" s="17">
        <f t="shared" ca="1" si="75"/>
        <v>7.5151101462409455</v>
      </c>
      <c r="W112" s="17">
        <f t="shared" ca="1" si="75"/>
        <v>7.6340352758695715</v>
      </c>
      <c r="X112" s="17">
        <f t="shared" ca="1" si="75"/>
        <v>7.7553593125018647</v>
      </c>
      <c r="Y112" s="17">
        <f t="shared" ca="1" si="75"/>
        <v>7.8906912885702347</v>
      </c>
      <c r="Z112" s="17">
        <f t="shared" ca="1" si="75"/>
        <v>8.0179947963421583</v>
      </c>
      <c r="AA112" s="17">
        <f t="shared" ca="1" si="75"/>
        <v>8.1454193781144646</v>
      </c>
      <c r="AB112" s="17">
        <f t="shared" ca="1" si="75"/>
        <v>8.2697582266806844</v>
      </c>
      <c r="AC112" s="17">
        <f t="shared" ca="1" si="75"/>
        <v>8.396291173770166</v>
      </c>
      <c r="AD112" s="17">
        <f t="shared" ca="1" si="75"/>
        <v>8.5273648781805669</v>
      </c>
      <c r="AE112" s="17">
        <f t="shared" ca="1" si="75"/>
        <v>8.6379734238373533</v>
      </c>
      <c r="AF112" s="17">
        <f t="shared" ca="1" si="75"/>
        <v>8.7422688064896068</v>
      </c>
      <c r="AG112" s="17">
        <f t="shared" ca="1" si="75"/>
        <v>8.8521888132524396</v>
      </c>
      <c r="AH112" s="17">
        <f t="shared" ca="1" si="75"/>
        <v>8.9518062503630293</v>
      </c>
      <c r="AI112" s="17">
        <f t="shared" ca="1" si="75"/>
        <v>9.0481060416292536</v>
      </c>
      <c r="AJ112" s="17">
        <f t="shared" ca="1" si="75"/>
        <v>9.7361361816921512</v>
      </c>
      <c r="AK112" s="17">
        <f t="shared" ca="1" si="75"/>
        <v>10.411161789956052</v>
      </c>
      <c r="AL112" s="17">
        <f t="shared" ca="1" si="75"/>
        <v>11.018016769744305</v>
      </c>
      <c r="AM112" s="17">
        <f t="shared" ca="1" si="75"/>
        <v>11.584688868339798</v>
      </c>
      <c r="AN112" s="3"/>
      <c r="AO112" s="3"/>
      <c r="AP112" s="3"/>
      <c r="AQ112" s="3"/>
      <c r="AR112" s="3"/>
      <c r="AS112" s="3"/>
      <c r="AY112">
        <f t="shared" si="71"/>
        <v>2</v>
      </c>
    </row>
    <row r="113" spans="1:51">
      <c r="A113" s="15" t="str">
        <f>'[12]TS BYDem'!A28</f>
        <v/>
      </c>
      <c r="B113" s="15" t="str">
        <f>'[12]TS BYDem'!B28</f>
        <v>COM_PROJ</v>
      </c>
      <c r="C113" s="15" t="str">
        <f>'[12]TS BYDem'!C28</f>
        <v>-</v>
      </c>
      <c r="D113" s="15" t="str">
        <f>'[12]TS BYDem'!D28</f>
        <v>RMEO</v>
      </c>
      <c r="E113" s="94" t="s">
        <v>125</v>
      </c>
      <c r="F113" s="94" t="s">
        <v>125</v>
      </c>
      <c r="G113" s="94" t="s">
        <v>125</v>
      </c>
      <c r="H113" s="94" t="s">
        <v>125</v>
      </c>
      <c r="I113" s="94">
        <v>0</v>
      </c>
      <c r="J113" s="94"/>
      <c r="K113" s="94"/>
      <c r="L113" s="278">
        <f>INDEX('BY-DMD'!$I$5:$I$138,MATCH(D113,'BY-DMD'!$H$5:$H$138,0))</f>
        <v>7.7618829459684902</v>
      </c>
      <c r="M113" s="17">
        <f t="shared" ref="M113:AK113" ca="1" si="76">IF(OR($E$78=1,$E$78=2,$E$78=3), M92,M84)</f>
        <v>7.971309515961206</v>
      </c>
      <c r="N113" s="17">
        <f t="shared" ca="1" si="76"/>
        <v>8.1867283183926158</v>
      </c>
      <c r="O113" s="17">
        <f t="shared" ca="1" si="76"/>
        <v>8.6032216490547775</v>
      </c>
      <c r="P113" s="17">
        <f t="shared" ca="1" si="76"/>
        <v>8.1854933886179726</v>
      </c>
      <c r="Q113" s="17">
        <f t="shared" ca="1" si="76"/>
        <v>8.3664292581957422</v>
      </c>
      <c r="R113" s="17">
        <f t="shared" ca="1" si="76"/>
        <v>8.4482376593134028</v>
      </c>
      <c r="S113" s="17">
        <f t="shared" ca="1" si="76"/>
        <v>8.5751080293801394</v>
      </c>
      <c r="T113" s="17">
        <f t="shared" ca="1" si="76"/>
        <v>8.7157847616365629</v>
      </c>
      <c r="U113" s="17">
        <f t="shared" ca="1" si="76"/>
        <v>8.8498612047783407</v>
      </c>
      <c r="V113" s="17">
        <f t="shared" ca="1" si="76"/>
        <v>8.9918853817726223</v>
      </c>
      <c r="W113" s="17">
        <f t="shared" ca="1" si="76"/>
        <v>9.1341801870148256</v>
      </c>
      <c r="X113" s="17">
        <f t="shared" ca="1" si="76"/>
        <v>9.2793453023920431</v>
      </c>
      <c r="Y113" s="17">
        <f t="shared" ca="1" si="76"/>
        <v>9.441271021857947</v>
      </c>
      <c r="Z113" s="17">
        <f t="shared" ca="1" si="76"/>
        <v>9.5935906190837201</v>
      </c>
      <c r="AA113" s="17">
        <f t="shared" ca="1" si="76"/>
        <v>9.7460550822546317</v>
      </c>
      <c r="AB113" s="17">
        <f t="shared" ca="1" si="76"/>
        <v>9.8948274426129537</v>
      </c>
      <c r="AC113" s="17">
        <f t="shared" ca="1" si="76"/>
        <v>10.046225058230821</v>
      </c>
      <c r="AD113" s="17">
        <f t="shared" ca="1" si="76"/>
        <v>10.203055723874783</v>
      </c>
      <c r="AE113" s="17">
        <f t="shared" ca="1" si="76"/>
        <v>10.33539967432079</v>
      </c>
      <c r="AF113" s="17">
        <f t="shared" ca="1" si="76"/>
        <v>10.460189878111253</v>
      </c>
      <c r="AG113" s="17">
        <f t="shared" ca="1" si="76"/>
        <v>10.591709986631479</v>
      </c>
      <c r="AH113" s="17">
        <f t="shared" ca="1" si="76"/>
        <v>10.710902993665769</v>
      </c>
      <c r="AI113" s="17">
        <f t="shared" ca="1" si="76"/>
        <v>10.826126412684804</v>
      </c>
      <c r="AJ113" s="17">
        <f t="shared" ca="1" si="76"/>
        <v>11.649359610636683</v>
      </c>
      <c r="AK113" s="17">
        <f t="shared" ca="1" si="76"/>
        <v>12.457032789226943</v>
      </c>
      <c r="AL113" s="17">
        <f ca="1">IF($E$78=1, AL92,AL84)</f>
        <v>13.18313930202947</v>
      </c>
      <c r="AM113" s="17">
        <f ca="1">IF($E$78=1, AM92,AM84)</f>
        <v>13.861166697565112</v>
      </c>
      <c r="AN113" s="3"/>
      <c r="AO113" s="3"/>
      <c r="AP113" s="3"/>
      <c r="AQ113" s="3"/>
      <c r="AR113" s="3"/>
      <c r="AS113" s="3"/>
      <c r="AY113">
        <f t="shared" si="71"/>
        <v>2</v>
      </c>
    </row>
    <row r="114" spans="1:51" s="256" customFormat="1">
      <c r="A114" s="259" t="str">
        <f>'[12]TS BYDem'!A32</f>
        <v/>
      </c>
      <c r="B114" s="259" t="str">
        <f>'[12]TS BYDem'!B32</f>
        <v>COM_PROJ</v>
      </c>
      <c r="C114" s="259" t="str">
        <f>'[12]TS BYDem'!C32</f>
        <v>-</v>
      </c>
      <c r="D114" s="259" t="str">
        <f>'[12]TS BYDem'!D32</f>
        <v>RHEL</v>
      </c>
      <c r="E114" s="258" t="s">
        <v>125</v>
      </c>
      <c r="F114" s="258" t="s">
        <v>125</v>
      </c>
      <c r="G114" s="258" t="s">
        <v>125</v>
      </c>
      <c r="H114" s="258" t="s">
        <v>125</v>
      </c>
      <c r="I114" s="258">
        <v>0</v>
      </c>
      <c r="J114" s="258"/>
      <c r="K114" s="258"/>
      <c r="L114" s="278">
        <f>INDEX('BY-DMD'!$I$5:$I$138,MATCH(D114,'BY-DMD'!$H$5:$H$138,0))</f>
        <v>18.7538979805365</v>
      </c>
      <c r="M114" s="17">
        <f t="shared" ref="M114:AM114" ca="1" si="77">OFFSET(M$33,$AY114,$L$95)/OFFSET(L$33,$AY114,$L$95)*L114</f>
        <v>19.447177083989232</v>
      </c>
      <c r="N114" s="17">
        <f t="shared" ca="1" si="77"/>
        <v>19.734761620292947</v>
      </c>
      <c r="O114" s="17">
        <f t="shared" ca="1" si="77"/>
        <v>16.6666309106954</v>
      </c>
      <c r="P114" s="17">
        <f t="shared" ca="1" si="77"/>
        <v>19.062364569315896</v>
      </c>
      <c r="Q114" s="17">
        <f t="shared" ca="1" si="77"/>
        <v>19.58035849962635</v>
      </c>
      <c r="R114" s="17">
        <f t="shared" ca="1" si="77"/>
        <v>19.788937881338381</v>
      </c>
      <c r="S114" s="17">
        <f t="shared" ca="1" si="77"/>
        <v>20.183488108870371</v>
      </c>
      <c r="T114" s="17">
        <f t="shared" ca="1" si="77"/>
        <v>20.604919758343524</v>
      </c>
      <c r="U114" s="17">
        <f t="shared" ca="1" si="77"/>
        <v>21.0759318233942</v>
      </c>
      <c r="V114" s="17">
        <f t="shared" ca="1" si="77"/>
        <v>21.564277482957863</v>
      </c>
      <c r="W114" s="17">
        <f t="shared" ca="1" si="77"/>
        <v>22.071286222941119</v>
      </c>
      <c r="X114" s="17">
        <f t="shared" ca="1" si="77"/>
        <v>22.637397671139244</v>
      </c>
      <c r="Y114" s="17">
        <f t="shared" ca="1" si="77"/>
        <v>23.234106399988072</v>
      </c>
      <c r="Z114" s="17">
        <f t="shared" ca="1" si="77"/>
        <v>23.891363735012092</v>
      </c>
      <c r="AA114" s="17">
        <f t="shared" ca="1" si="77"/>
        <v>24.529353616202609</v>
      </c>
      <c r="AB114" s="17">
        <f t="shared" ca="1" si="77"/>
        <v>25.161668869457994</v>
      </c>
      <c r="AC114" s="17">
        <f t="shared" ca="1" si="77"/>
        <v>25.818743029333206</v>
      </c>
      <c r="AD114" s="17">
        <f t="shared" ca="1" si="77"/>
        <v>26.462144052101223</v>
      </c>
      <c r="AE114" s="17">
        <f t="shared" ca="1" si="77"/>
        <v>27.138995289792593</v>
      </c>
      <c r="AF114" s="17">
        <f t="shared" ca="1" si="77"/>
        <v>27.845169490815614</v>
      </c>
      <c r="AG114" s="17">
        <f t="shared" ca="1" si="77"/>
        <v>28.503801265248764</v>
      </c>
      <c r="AH114" s="17">
        <f t="shared" ca="1" si="77"/>
        <v>29.135489229130535</v>
      </c>
      <c r="AI114" s="17">
        <f t="shared" ca="1" si="77"/>
        <v>29.73738358995244</v>
      </c>
      <c r="AJ114" s="17">
        <f t="shared" ca="1" si="77"/>
        <v>32.592474086486192</v>
      </c>
      <c r="AK114" s="17">
        <f t="shared" ca="1" si="77"/>
        <v>35.204875475647746</v>
      </c>
      <c r="AL114" s="17">
        <f t="shared" ca="1" si="77"/>
        <v>37.725490288722661</v>
      </c>
      <c r="AM114" s="17">
        <f t="shared" ca="1" si="77"/>
        <v>40.079751016744829</v>
      </c>
      <c r="AN114" s="257"/>
      <c r="AO114" s="257"/>
      <c r="AP114" s="257"/>
      <c r="AR114" s="257"/>
      <c r="AS114" s="257"/>
      <c r="AY114" s="256">
        <f t="shared" si="71"/>
        <v>3</v>
      </c>
    </row>
    <row r="115" spans="1:51">
      <c r="A115" s="15" t="str">
        <f>'[12]TS BYDem'!A33</f>
        <v/>
      </c>
      <c r="B115" s="15" t="str">
        <f>'[12]TS BYDem'!B33</f>
        <v>COM_PROJ</v>
      </c>
      <c r="C115" s="15" t="str">
        <f>'[12]TS BYDem'!C33</f>
        <v>-</v>
      </c>
      <c r="D115" s="15" t="str">
        <f>'[12]TS BYDem'!D33</f>
        <v>RHEK</v>
      </c>
      <c r="E115" s="94" t="s">
        <v>125</v>
      </c>
      <c r="F115" s="94" t="s">
        <v>125</v>
      </c>
      <c r="G115" s="94" t="s">
        <v>125</v>
      </c>
      <c r="H115" s="94" t="s">
        <v>125</v>
      </c>
      <c r="I115" s="94">
        <v>0</v>
      </c>
      <c r="J115" s="94"/>
      <c r="K115" s="94"/>
      <c r="L115" s="278">
        <f>INDEX('BY-DMD'!$I$5:$I$138,MATCH(D115,'BY-DMD'!$H$5:$H$138,0))</f>
        <v>7.6194416260697402</v>
      </c>
      <c r="M115" s="17">
        <f t="shared" ref="M115:AM115" ca="1" si="78">OFFSET(M$33,$AY115,$L$95)/OFFSET(L$33,$AY115,$L$95)*L115</f>
        <v>7.9011110509975246</v>
      </c>
      <c r="N115" s="17">
        <f t="shared" ca="1" si="78"/>
        <v>8.0179525518524741</v>
      </c>
      <c r="O115" s="17">
        <f t="shared" ca="1" si="78"/>
        <v>6.7714147458351635</v>
      </c>
      <c r="P115" s="17">
        <f t="shared" ca="1" si="78"/>
        <v>7.7447672074095095</v>
      </c>
      <c r="Q115" s="17">
        <f t="shared" ca="1" si="78"/>
        <v>7.9552207631852259</v>
      </c>
      <c r="R115" s="17">
        <f t="shared" ca="1" si="78"/>
        <v>8.0399635950490822</v>
      </c>
      <c r="S115" s="17">
        <f t="shared" ca="1" si="78"/>
        <v>8.2002637326712726</v>
      </c>
      <c r="T115" s="17">
        <f t="shared" ca="1" si="78"/>
        <v>8.3714854091393622</v>
      </c>
      <c r="U115" s="17">
        <f t="shared" ca="1" si="78"/>
        <v>8.5628509022519328</v>
      </c>
      <c r="V115" s="17">
        <f t="shared" ca="1" si="78"/>
        <v>8.7612587879219728</v>
      </c>
      <c r="W115" s="17">
        <f t="shared" ca="1" si="78"/>
        <v>8.96724921733664</v>
      </c>
      <c r="X115" s="17">
        <f t="shared" ca="1" si="78"/>
        <v>9.1972522352624111</v>
      </c>
      <c r="Y115" s="17">
        <f t="shared" ca="1" si="78"/>
        <v>9.4396864925004831</v>
      </c>
      <c r="Z115" s="17">
        <f t="shared" ca="1" si="78"/>
        <v>9.7067207859961133</v>
      </c>
      <c r="AA115" s="17">
        <f t="shared" ca="1" si="78"/>
        <v>9.9659269874375092</v>
      </c>
      <c r="AB115" s="17">
        <f t="shared" ca="1" si="78"/>
        <v>10.222827668376112</v>
      </c>
      <c r="AC115" s="17">
        <f t="shared" ca="1" si="78"/>
        <v>10.48978754041786</v>
      </c>
      <c r="AD115" s="17">
        <f t="shared" ca="1" si="78"/>
        <v>10.751192211607941</v>
      </c>
      <c r="AE115" s="17">
        <f t="shared" ca="1" si="78"/>
        <v>11.026187228669185</v>
      </c>
      <c r="AF115" s="17">
        <f t="shared" ca="1" si="78"/>
        <v>11.313095748066891</v>
      </c>
      <c r="AG115" s="17">
        <f t="shared" ca="1" si="78"/>
        <v>11.580688456717457</v>
      </c>
      <c r="AH115" s="17">
        <f t="shared" ca="1" si="78"/>
        <v>11.837334278918433</v>
      </c>
      <c r="AI115" s="17">
        <f t="shared" ca="1" si="78"/>
        <v>12.081875384564986</v>
      </c>
      <c r="AJ115" s="17">
        <f t="shared" ca="1" si="78"/>
        <v>13.241857986478612</v>
      </c>
      <c r="AK115" s="17">
        <f t="shared" ca="1" si="78"/>
        <v>14.303239460838672</v>
      </c>
      <c r="AL115" s="17">
        <f t="shared" ca="1" si="78"/>
        <v>15.327329356707967</v>
      </c>
      <c r="AM115" s="17">
        <f t="shared" ca="1" si="78"/>
        <v>16.283831957304933</v>
      </c>
      <c r="AN115" s="3"/>
      <c r="AO115" s="3"/>
      <c r="AP115" s="3"/>
      <c r="AR115" s="3"/>
      <c r="AS115" s="3"/>
      <c r="AY115">
        <f t="shared" si="71"/>
        <v>3</v>
      </c>
    </row>
    <row r="116" spans="1:51">
      <c r="A116" s="15" t="str">
        <f>'[12]TS BYDem'!A34</f>
        <v/>
      </c>
      <c r="B116" s="15" t="str">
        <f>'[12]TS BYDem'!B34</f>
        <v>COM_PROJ</v>
      </c>
      <c r="C116" s="15" t="str">
        <f>'[12]TS BYDem'!C34</f>
        <v>-</v>
      </c>
      <c r="D116" s="15" t="str">
        <f>'[12]TS BYDem'!D34</f>
        <v>RHEH</v>
      </c>
      <c r="E116" s="94" t="s">
        <v>125</v>
      </c>
      <c r="F116" s="94" t="s">
        <v>125</v>
      </c>
      <c r="G116" s="94" t="s">
        <v>125</v>
      </c>
      <c r="H116" s="94" t="s">
        <v>125</v>
      </c>
      <c r="I116" s="94">
        <v>0</v>
      </c>
      <c r="J116" s="94"/>
      <c r="K116" s="94"/>
      <c r="L116" s="278">
        <f>INDEX('BY-DMD'!$I$5:$I$138,MATCH(D116,'BY-DMD'!$H$5:$H$138,0))</f>
        <v>5.1732793164602802</v>
      </c>
      <c r="M116" s="17">
        <f t="shared" ref="M116:AM116" ca="1" si="79">IF(OR($E$78=1,$E$78=2,$E$78=3), M91,M83)</f>
        <v>5.3645209692701856</v>
      </c>
      <c r="N116" s="17">
        <f t="shared" ca="1" si="79"/>
        <v>5.4438514175288821</v>
      </c>
      <c r="O116" s="17">
        <f t="shared" ca="1" si="79"/>
        <v>4.5975048523171873</v>
      </c>
      <c r="P116" s="17">
        <f t="shared" ca="1" si="79"/>
        <v>5.2583700973319498</v>
      </c>
      <c r="Q116" s="17">
        <f t="shared" ca="1" si="79"/>
        <v>5.4012591803646162</v>
      </c>
      <c r="R116" s="17">
        <f t="shared" ca="1" si="79"/>
        <v>5.4587959869725431</v>
      </c>
      <c r="S116" s="17">
        <f t="shared" ca="1" si="79"/>
        <v>5.5676330156006335</v>
      </c>
      <c r="T116" s="17">
        <f t="shared" ca="1" si="79"/>
        <v>5.6838853082058227</v>
      </c>
      <c r="U116" s="17">
        <f t="shared" ca="1" si="79"/>
        <v>5.8138144022245051</v>
      </c>
      <c r="V116" s="17">
        <f t="shared" ca="1" si="79"/>
        <v>5.9485249835940843</v>
      </c>
      <c r="W116" s="17">
        <f t="shared" ca="1" si="79"/>
        <v>6.0883837921757511</v>
      </c>
      <c r="X116" s="17">
        <f t="shared" ca="1" si="79"/>
        <v>6.2445461350025164</v>
      </c>
      <c r="Y116" s="17">
        <f t="shared" ca="1" si="79"/>
        <v>6.4091487647122811</v>
      </c>
      <c r="Z116" s="17">
        <f t="shared" ca="1" si="79"/>
        <v>6.5904537808961381</v>
      </c>
      <c r="AA116" s="17">
        <f t="shared" ca="1" si="79"/>
        <v>6.7664438529280559</v>
      </c>
      <c r="AB116" s="17">
        <f t="shared" ca="1" si="79"/>
        <v>6.9408685738337228</v>
      </c>
      <c r="AC116" s="17">
        <f t="shared" ca="1" si="79"/>
        <v>7.1221230609910489</v>
      </c>
      <c r="AD116" s="17">
        <f t="shared" ca="1" si="79"/>
        <v>7.2996058012048222</v>
      </c>
      <c r="AE116" s="17">
        <f t="shared" ca="1" si="79"/>
        <v>7.4863158127396687</v>
      </c>
      <c r="AF116" s="17">
        <f t="shared" ca="1" si="79"/>
        <v>7.6811145895999102</v>
      </c>
      <c r="AG116" s="17">
        <f t="shared" ca="1" si="79"/>
        <v>7.8627987461083206</v>
      </c>
      <c r="AH116" s="17">
        <f t="shared" ca="1" si="79"/>
        <v>8.0370504286864186</v>
      </c>
      <c r="AI116" s="17">
        <f t="shared" ca="1" si="79"/>
        <v>8.2030835195545482</v>
      </c>
      <c r="AJ116" s="17">
        <f t="shared" ca="1" si="79"/>
        <v>8.9906627538912929</v>
      </c>
      <c r="AK116" s="17">
        <f t="shared" ca="1" si="79"/>
        <v>9.7112959836799799</v>
      </c>
      <c r="AL116" s="17">
        <f t="shared" ca="1" si="79"/>
        <v>10.406609805413311</v>
      </c>
      <c r="AM116" s="17">
        <f t="shared" ca="1" si="79"/>
        <v>11.056034705904498</v>
      </c>
      <c r="AN116" s="3"/>
      <c r="AO116" s="3"/>
      <c r="AP116" s="3"/>
      <c r="AR116" s="3"/>
      <c r="AS116" s="3"/>
      <c r="AY116">
        <f t="shared" si="71"/>
        <v>3</v>
      </c>
    </row>
    <row r="117" spans="1:51">
      <c r="A117" s="15" t="str">
        <f>'[12]TS BYDem'!A35</f>
        <v/>
      </c>
      <c r="B117" s="15" t="str">
        <f>'[12]TS BYDem'!B35</f>
        <v>COM_PROJ</v>
      </c>
      <c r="C117" s="15" t="str">
        <f>'[12]TS BYDem'!C35</f>
        <v>-</v>
      </c>
      <c r="D117" s="15" t="str">
        <f>'[12]TS BYDem'!D35</f>
        <v>RHEWG</v>
      </c>
      <c r="E117" s="94" t="s">
        <v>125</v>
      </c>
      <c r="F117" s="94" t="s">
        <v>125</v>
      </c>
      <c r="G117" s="94" t="s">
        <v>125</v>
      </c>
      <c r="H117" s="94" t="s">
        <v>125</v>
      </c>
      <c r="I117" s="94">
        <v>0</v>
      </c>
      <c r="J117" s="94"/>
      <c r="K117" s="94"/>
      <c r="L117" s="278">
        <f>INDEX('BY-DMD'!$I$5:$I$138,MATCH(D117,'BY-DMD'!$H$5:$H$138,0))</f>
        <v>34.754847546913702</v>
      </c>
      <c r="M117" s="17">
        <f t="shared" ref="M117:AM117" ca="1" si="80">OFFSET(M$33,$AY117,$L$95)/OFFSET(L$33,$AY117,$L$95)*L117</f>
        <v>36.039636958318582</v>
      </c>
      <c r="N117" s="17">
        <f t="shared" ca="1" si="80"/>
        <v>36.572590519570682</v>
      </c>
      <c r="O117" s="17">
        <f t="shared" ca="1" si="80"/>
        <v>30.886710433375583</v>
      </c>
      <c r="P117" s="17">
        <f t="shared" ca="1" si="80"/>
        <v>35.326499865672751</v>
      </c>
      <c r="Q117" s="17">
        <f t="shared" ca="1" si="80"/>
        <v>36.286449637013639</v>
      </c>
      <c r="R117" s="17">
        <f t="shared" ca="1" si="80"/>
        <v>36.672990324200619</v>
      </c>
      <c r="S117" s="17">
        <f t="shared" ca="1" si="80"/>
        <v>37.404173410602482</v>
      </c>
      <c r="T117" s="17">
        <f t="shared" ca="1" si="80"/>
        <v>38.185173325611338</v>
      </c>
      <c r="U117" s="17">
        <f t="shared" ca="1" si="80"/>
        <v>39.058055994088186</v>
      </c>
      <c r="V117" s="17">
        <f t="shared" ca="1" si="80"/>
        <v>39.963061394349332</v>
      </c>
      <c r="W117" s="17">
        <f t="shared" ca="1" si="80"/>
        <v>40.902653338453888</v>
      </c>
      <c r="X117" s="17">
        <f t="shared" ca="1" si="80"/>
        <v>41.951774811606185</v>
      </c>
      <c r="Y117" s="17">
        <f t="shared" ca="1" si="80"/>
        <v>43.057599367257332</v>
      </c>
      <c r="Z117" s="17">
        <f t="shared" ca="1" si="80"/>
        <v>44.275632999601811</v>
      </c>
      <c r="AA117" s="17">
        <f t="shared" ca="1" si="80"/>
        <v>45.457960059302266</v>
      </c>
      <c r="AB117" s="17">
        <f t="shared" ca="1" si="80"/>
        <v>46.629770861050609</v>
      </c>
      <c r="AC117" s="17">
        <f t="shared" ca="1" si="80"/>
        <v>47.847465032000031</v>
      </c>
      <c r="AD117" s="17">
        <f t="shared" ca="1" si="80"/>
        <v>49.039820054995154</v>
      </c>
      <c r="AE117" s="17">
        <f t="shared" ca="1" si="80"/>
        <v>50.294165237117681</v>
      </c>
      <c r="AF117" s="17">
        <f t="shared" ca="1" si="80"/>
        <v>51.602851928470614</v>
      </c>
      <c r="AG117" s="17">
        <f t="shared" ca="1" si="80"/>
        <v>52.823432681001862</v>
      </c>
      <c r="AH117" s="17">
        <f t="shared" ca="1" si="80"/>
        <v>53.994080985941785</v>
      </c>
      <c r="AI117" s="17">
        <f t="shared" ca="1" si="80"/>
        <v>55.109515588999912</v>
      </c>
      <c r="AJ117" s="17">
        <f t="shared" ca="1" si="80"/>
        <v>60.400588145897444</v>
      </c>
      <c r="AK117" s="17">
        <f t="shared" ca="1" si="80"/>
        <v>65.241907646829162</v>
      </c>
      <c r="AL117" s="17">
        <f t="shared" ca="1" si="80"/>
        <v>69.913127659000992</v>
      </c>
      <c r="AM117" s="17">
        <f t="shared" ca="1" si="80"/>
        <v>74.276059182517557</v>
      </c>
      <c r="AN117" s="3"/>
      <c r="AO117" s="3"/>
      <c r="AP117" s="3"/>
      <c r="AR117" s="3"/>
      <c r="AS117" s="3"/>
      <c r="AY117">
        <f t="shared" si="71"/>
        <v>3</v>
      </c>
    </row>
    <row r="118" spans="1:51">
      <c r="A118" s="15" t="str">
        <f>'[12]TS BYDem'!A37</f>
        <v/>
      </c>
      <c r="B118" s="15" t="str">
        <f>'[12]TS BYDem'!B37</f>
        <v>COM_PROJ</v>
      </c>
      <c r="C118" s="15" t="str">
        <f>'[12]TS BYDem'!C37</f>
        <v>-</v>
      </c>
      <c r="D118" s="15" t="str">
        <f>'[12]TS BYDem'!D37</f>
        <v>RHER</v>
      </c>
      <c r="E118" s="94" t="s">
        <v>125</v>
      </c>
      <c r="F118" s="94" t="s">
        <v>125</v>
      </c>
      <c r="G118" s="94" t="s">
        <v>125</v>
      </c>
      <c r="H118" s="94" t="s">
        <v>125</v>
      </c>
      <c r="I118" s="94">
        <v>0</v>
      </c>
      <c r="J118" s="94"/>
      <c r="K118" s="94"/>
      <c r="L118" s="278">
        <f>INDEX('BY-DMD'!$I$5:$I$138,MATCH(D118,'BY-DMD'!$H$5:$H$138,0))</f>
        <v>8.0408397122186805</v>
      </c>
      <c r="M118" s="17">
        <f t="shared" ref="M118:AM118" ca="1" si="81">OFFSET(M$33,$AY118,$L$95)/OFFSET(L$33,$AY118,$L$95)*L118</f>
        <v>8.338087044612168</v>
      </c>
      <c r="N118" s="17">
        <f t="shared" ca="1" si="81"/>
        <v>8.4613905393059543</v>
      </c>
      <c r="O118" s="17">
        <f t="shared" ca="1" si="81"/>
        <v>7.145912163684339</v>
      </c>
      <c r="P118" s="17">
        <f t="shared" ca="1" si="81"/>
        <v>8.1730965048878179</v>
      </c>
      <c r="Q118" s="17">
        <f t="shared" ca="1" si="81"/>
        <v>8.3951893289957038</v>
      </c>
      <c r="R118" s="17">
        <f t="shared" ca="1" si="81"/>
        <v>8.4846189173063973</v>
      </c>
      <c r="S118" s="17">
        <f t="shared" ca="1" si="81"/>
        <v>8.6537845564336173</v>
      </c>
      <c r="T118" s="17">
        <f t="shared" ca="1" si="81"/>
        <v>8.8344757570888852</v>
      </c>
      <c r="U118" s="17">
        <f t="shared" ca="1" si="81"/>
        <v>9.0364248410352861</v>
      </c>
      <c r="V118" s="17">
        <f t="shared" ca="1" si="81"/>
        <v>9.2458058015579692</v>
      </c>
      <c r="W118" s="17">
        <f t="shared" ca="1" si="81"/>
        <v>9.4631886632505271</v>
      </c>
      <c r="X118" s="17">
        <f t="shared" ca="1" si="81"/>
        <v>9.7059121450001538</v>
      </c>
      <c r="Y118" s="17">
        <f t="shared" ca="1" si="81"/>
        <v>9.9617543836928668</v>
      </c>
      <c r="Z118" s="17">
        <f t="shared" ca="1" si="81"/>
        <v>10.243557179361961</v>
      </c>
      <c r="AA118" s="17">
        <f t="shared" ca="1" si="81"/>
        <v>10.517098945345463</v>
      </c>
      <c r="AB118" s="17">
        <f t="shared" ca="1" si="81"/>
        <v>10.788207682542085</v>
      </c>
      <c r="AC118" s="17">
        <f t="shared" ca="1" si="81"/>
        <v>11.069931940831252</v>
      </c>
      <c r="AD118" s="17">
        <f t="shared" ca="1" si="81"/>
        <v>11.345793764337193</v>
      </c>
      <c r="AE118" s="17">
        <f t="shared" ca="1" si="81"/>
        <v>11.635997556473713</v>
      </c>
      <c r="AF118" s="17">
        <f t="shared" ca="1" si="81"/>
        <v>11.938773734803322</v>
      </c>
      <c r="AG118" s="17">
        <f t="shared" ca="1" si="81"/>
        <v>12.22116582913419</v>
      </c>
      <c r="AH118" s="17">
        <f t="shared" ca="1" si="81"/>
        <v>12.492005612467905</v>
      </c>
      <c r="AI118" s="17">
        <f t="shared" ca="1" si="81"/>
        <v>12.750071220166108</v>
      </c>
      <c r="AJ118" s="17">
        <f t="shared" ca="1" si="81"/>
        <v>13.974207400832801</v>
      </c>
      <c r="AK118" s="17">
        <f t="shared" ca="1" si="81"/>
        <v>15.094289255603803</v>
      </c>
      <c r="AL118" s="17">
        <f t="shared" ca="1" si="81"/>
        <v>16.17501709731512</v>
      </c>
      <c r="AM118" s="17">
        <f t="shared" ca="1" si="81"/>
        <v>17.184419685216792</v>
      </c>
      <c r="AN118" s="3"/>
      <c r="AO118" s="3"/>
      <c r="AP118" s="3"/>
      <c r="AR118" s="3"/>
      <c r="AS118" s="3"/>
      <c r="AY118">
        <f t="shared" si="71"/>
        <v>3</v>
      </c>
    </row>
    <row r="119" spans="1:51">
      <c r="A119" s="15" t="str">
        <f>'[12]TS BYDem'!A38</f>
        <v/>
      </c>
      <c r="B119" s="15" t="str">
        <f>'[12]TS BYDem'!B38</f>
        <v>COM_PROJ</v>
      </c>
      <c r="C119" s="15" t="str">
        <f>'[12]TS BYDem'!C38</f>
        <v>-</v>
      </c>
      <c r="D119" s="15" t="str">
        <f>'[12]TS BYDem'!D38</f>
        <v>RHEO</v>
      </c>
      <c r="E119" s="94" t="s">
        <v>125</v>
      </c>
      <c r="F119" s="94" t="s">
        <v>125</v>
      </c>
      <c r="G119" s="94" t="s">
        <v>125</v>
      </c>
      <c r="H119" s="94" t="s">
        <v>125</v>
      </c>
      <c r="I119" s="94">
        <v>0</v>
      </c>
      <c r="J119" s="94"/>
      <c r="K119" s="94"/>
      <c r="L119" s="278">
        <f>INDEX('BY-DMD'!$I$5:$I$138,MATCH(D119,'BY-DMD'!$H$5:$H$138,0))</f>
        <v>14.27502736796</v>
      </c>
      <c r="M119" s="17">
        <f t="shared" ref="M119:AM119" ca="1" si="82">IF(OR($E$78=1,$E$78=2,$E$78=3), M93,M85)</f>
        <v>14.80273516426419</v>
      </c>
      <c r="N119" s="17">
        <f t="shared" ca="1" si="82"/>
        <v>15.021637769503817</v>
      </c>
      <c r="O119" s="17">
        <f t="shared" ca="1" si="82"/>
        <v>12.686248620355284</v>
      </c>
      <c r="P119" s="17">
        <f t="shared" ca="1" si="82"/>
        <v>14.50982490186453</v>
      </c>
      <c r="Q119" s="17">
        <f t="shared" ca="1" si="82"/>
        <v>14.904109734771962</v>
      </c>
      <c r="R119" s="17">
        <f t="shared" ca="1" si="82"/>
        <v>15.062875468990072</v>
      </c>
      <c r="S119" s="17">
        <f t="shared" ca="1" si="82"/>
        <v>15.363197850070492</v>
      </c>
      <c r="T119" s="17">
        <f t="shared" ca="1" si="82"/>
        <v>15.683981739169033</v>
      </c>
      <c r="U119" s="17">
        <f t="shared" ca="1" si="82"/>
        <v>16.042505077955237</v>
      </c>
      <c r="V119" s="17">
        <f t="shared" ca="1" si="82"/>
        <v>16.414222342415709</v>
      </c>
      <c r="W119" s="17">
        <f t="shared" ca="1" si="82"/>
        <v>16.800145506046398</v>
      </c>
      <c r="X119" s="17">
        <f t="shared" ca="1" si="82"/>
        <v>17.231056265224609</v>
      </c>
      <c r="Y119" s="17">
        <f t="shared" ca="1" si="82"/>
        <v>17.685256956934566</v>
      </c>
      <c r="Z119" s="17">
        <f t="shared" ca="1" si="82"/>
        <v>18.185545827813449</v>
      </c>
      <c r="AA119" s="17">
        <f t="shared" ca="1" si="82"/>
        <v>18.671168764651867</v>
      </c>
      <c r="AB119" s="17">
        <f t="shared" ca="1" si="82"/>
        <v>19.15247230777485</v>
      </c>
      <c r="AC119" s="17">
        <f t="shared" ca="1" si="82"/>
        <v>19.652621750025876</v>
      </c>
      <c r="AD119" s="17">
        <f t="shared" ca="1" si="82"/>
        <v>20.142363520942993</v>
      </c>
      <c r="AE119" s="17">
        <f t="shared" ca="1" si="82"/>
        <v>20.65756681105951</v>
      </c>
      <c r="AF119" s="17">
        <f t="shared" ca="1" si="82"/>
        <v>21.195090053246975</v>
      </c>
      <c r="AG119" s="17">
        <f t="shared" ca="1" si="82"/>
        <v>21.696425115173785</v>
      </c>
      <c r="AH119" s="17">
        <f t="shared" ca="1" si="82"/>
        <v>22.177251180335372</v>
      </c>
      <c r="AI119" s="17">
        <f t="shared" ca="1" si="82"/>
        <v>22.635399053501292</v>
      </c>
      <c r="AJ119" s="17">
        <f t="shared" ca="1" si="82"/>
        <v>24.808626988212275</v>
      </c>
      <c r="AK119" s="17">
        <f t="shared" ca="1" si="82"/>
        <v>26.797125665398269</v>
      </c>
      <c r="AL119" s="17">
        <f t="shared" ca="1" si="82"/>
        <v>28.715758553242338</v>
      </c>
      <c r="AM119" s="17">
        <f t="shared" ca="1" si="82"/>
        <v>30.507766612511329</v>
      </c>
      <c r="AN119" s="3"/>
      <c r="AO119" s="3"/>
      <c r="AP119" s="3"/>
      <c r="AR119" s="3"/>
      <c r="AS119" s="3"/>
      <c r="AY119">
        <f t="shared" si="71"/>
        <v>3</v>
      </c>
    </row>
    <row r="120" spans="1:51">
      <c r="A120" s="15"/>
      <c r="B120" s="15"/>
      <c r="C120" s="15"/>
      <c r="D120" s="15"/>
      <c r="E120" s="94"/>
      <c r="F120" s="94"/>
      <c r="G120" s="94"/>
      <c r="H120" s="94"/>
      <c r="I120" s="94"/>
      <c r="J120" s="94"/>
      <c r="K120" s="94"/>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3"/>
      <c r="AO120" s="3"/>
      <c r="AP120" s="3"/>
      <c r="AQ120" s="3"/>
      <c r="AR120" s="3"/>
      <c r="AS120" s="3"/>
    </row>
    <row r="121" spans="1:51">
      <c r="A121" s="15"/>
      <c r="B121" s="15"/>
      <c r="C121" s="15"/>
      <c r="D121" s="15"/>
      <c r="E121" s="94"/>
      <c r="F121" s="94"/>
      <c r="G121" s="94"/>
      <c r="H121" s="94"/>
      <c r="I121" s="94"/>
      <c r="J121" s="94"/>
      <c r="K121" s="94"/>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3"/>
      <c r="AO121" s="3"/>
      <c r="AP121" s="3"/>
      <c r="AQ121" s="3"/>
      <c r="AR121" s="3"/>
      <c r="AS121" s="3"/>
    </row>
    <row r="122" spans="1:51">
      <c r="A122" s="15"/>
      <c r="B122" s="15"/>
      <c r="C122" s="15"/>
      <c r="D122" s="15"/>
      <c r="E122" s="94"/>
      <c r="F122" s="94"/>
      <c r="G122" s="94"/>
      <c r="H122" s="94"/>
      <c r="I122" s="94"/>
      <c r="J122" s="94"/>
      <c r="K122" s="94"/>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3"/>
      <c r="AO122" s="3"/>
      <c r="AP122" s="3"/>
      <c r="AQ122" s="3"/>
      <c r="AR122" s="3"/>
      <c r="AS122" s="3"/>
    </row>
    <row r="123" spans="1:51">
      <c r="A123" s="15"/>
      <c r="B123" s="15"/>
      <c r="C123" s="15"/>
      <c r="D123" s="15"/>
      <c r="E123" s="94"/>
      <c r="F123" s="94"/>
      <c r="G123" s="94"/>
      <c r="H123" s="94"/>
      <c r="I123" s="94"/>
      <c r="J123" s="94"/>
      <c r="K123" s="94"/>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3"/>
      <c r="AO123" s="3"/>
      <c r="AP123" s="3"/>
      <c r="AQ123" s="3"/>
      <c r="AR123" s="3"/>
      <c r="AS123" s="3"/>
    </row>
    <row r="124" spans="1:51">
      <c r="A124" s="15"/>
      <c r="B124" s="15"/>
      <c r="C124" s="15"/>
      <c r="D124" s="15"/>
      <c r="E124" s="94"/>
      <c r="F124" s="94"/>
      <c r="G124" s="94"/>
      <c r="H124" s="94"/>
      <c r="I124" s="94"/>
      <c r="J124" s="94"/>
      <c r="K124" s="94"/>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3"/>
      <c r="AO124" s="3"/>
      <c r="AP124" s="3"/>
      <c r="AQ124" s="3"/>
      <c r="AR124" s="3"/>
      <c r="AS124" s="3"/>
    </row>
    <row r="125" spans="1:51">
      <c r="A125" s="15"/>
      <c r="B125" s="15"/>
      <c r="C125" s="15"/>
      <c r="D125" s="15"/>
      <c r="E125" s="94"/>
      <c r="F125" s="94"/>
      <c r="G125" s="94"/>
      <c r="H125" s="94"/>
      <c r="I125" s="94"/>
      <c r="J125" s="94"/>
      <c r="K125" s="94"/>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3"/>
      <c r="AO125" s="3"/>
      <c r="AP125" s="3"/>
      <c r="AQ125" s="3"/>
      <c r="AR125" s="3"/>
      <c r="AS125" s="3"/>
    </row>
    <row r="126" spans="1:51">
      <c r="A126" s="15"/>
      <c r="B126" s="15"/>
      <c r="C126" s="15"/>
      <c r="D126" s="15"/>
      <c r="E126" s="94"/>
      <c r="F126" s="94"/>
      <c r="G126" s="94"/>
      <c r="H126" s="94"/>
      <c r="I126" s="94"/>
      <c r="J126" s="94"/>
      <c r="K126" s="94"/>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3"/>
      <c r="AO126" s="3"/>
      <c r="AP126" s="3"/>
      <c r="AQ126" s="3"/>
      <c r="AR126" s="3"/>
      <c r="AS126" s="3"/>
    </row>
    <row r="127" spans="1:51">
      <c r="A127" s="15"/>
      <c r="B127" s="15"/>
      <c r="C127" s="15"/>
      <c r="D127" s="15"/>
      <c r="E127" s="94"/>
      <c r="F127" s="94"/>
      <c r="G127" s="94"/>
      <c r="H127" s="94"/>
      <c r="I127" s="94"/>
      <c r="J127" s="94"/>
      <c r="K127" s="94"/>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3"/>
      <c r="AO127" s="3"/>
      <c r="AP127" s="3"/>
      <c r="AQ127" s="3"/>
      <c r="AR127" s="3"/>
      <c r="AS127" s="3"/>
    </row>
    <row r="128" spans="1:51">
      <c r="A128" s="15"/>
      <c r="B128" s="15"/>
      <c r="C128" s="15"/>
      <c r="D128" s="15"/>
      <c r="E128" s="94"/>
      <c r="F128" s="94"/>
      <c r="G128" s="94"/>
      <c r="H128" s="94"/>
      <c r="I128" s="94"/>
      <c r="J128" s="94"/>
      <c r="K128" s="94"/>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3"/>
      <c r="AO128" s="3"/>
      <c r="AP128" s="3"/>
      <c r="AQ128" s="3"/>
      <c r="AR128" s="3"/>
      <c r="AS128" s="3"/>
    </row>
    <row r="129" spans="1:45">
      <c r="A129" s="15"/>
      <c r="B129" s="15"/>
      <c r="C129" s="15"/>
      <c r="D129" s="15"/>
      <c r="E129" s="94"/>
      <c r="F129" s="94"/>
      <c r="G129" s="94"/>
      <c r="H129" s="94"/>
      <c r="I129" s="94"/>
      <c r="J129" s="94"/>
      <c r="K129" s="94"/>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3"/>
      <c r="AO129" s="3"/>
      <c r="AP129" s="3"/>
      <c r="AQ129" s="3"/>
      <c r="AR129" s="3"/>
      <c r="AS129" s="3"/>
    </row>
    <row r="130" spans="1:45">
      <c r="A130" s="15"/>
      <c r="B130" s="15"/>
      <c r="C130" s="15"/>
      <c r="D130" s="15"/>
      <c r="E130" s="94"/>
      <c r="F130" s="94"/>
      <c r="G130" s="94"/>
      <c r="H130" s="94"/>
      <c r="I130" s="94"/>
      <c r="J130" s="94"/>
      <c r="K130" s="94"/>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3"/>
      <c r="AO130" s="3"/>
      <c r="AP130" s="3"/>
      <c r="AQ130" s="3"/>
      <c r="AR130" s="3"/>
      <c r="AS130" s="3"/>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977111117893"/>
  </sheetPr>
  <dimension ref="A1:CL269"/>
  <sheetViews>
    <sheetView topLeftCell="A99" zoomScale="70" zoomScaleNormal="70" workbookViewId="0">
      <selection activeCell="H146" sqref="H146"/>
    </sheetView>
  </sheetViews>
  <sheetFormatPr defaultColWidth="9.140625" defaultRowHeight="15"/>
  <cols>
    <col min="1" max="1" width="9.140625" style="70"/>
    <col min="2" max="2" width="32.42578125" style="70" customWidth="1"/>
    <col min="3" max="3" width="31.85546875" style="70" customWidth="1"/>
    <col min="4" max="4" width="12" style="70" customWidth="1"/>
    <col min="5" max="5" width="13.42578125" style="70" customWidth="1"/>
    <col min="6" max="6" width="9.140625" style="70"/>
    <col min="7" max="7" width="12.7109375" style="70" customWidth="1"/>
    <col min="8" max="8" width="8.140625" style="70" customWidth="1"/>
    <col min="9" max="12" width="9.140625" style="70"/>
    <col min="13" max="13" width="6.85546875" style="69" customWidth="1"/>
    <col min="14" max="14" width="6.85546875" style="70" customWidth="1"/>
    <col min="15" max="15" width="8.42578125" style="70" customWidth="1"/>
    <col min="16" max="18" width="16.140625" style="70" customWidth="1"/>
    <col min="19" max="23" width="11.85546875" style="70" customWidth="1"/>
    <col min="24" max="42" width="6.85546875" style="70" customWidth="1"/>
    <col min="43" max="43" width="9.42578125" style="70" customWidth="1"/>
    <col min="44" max="49" width="6.85546875" style="70" customWidth="1"/>
    <col min="50" max="50" width="9.85546875" style="70" customWidth="1"/>
    <col min="51" max="51" width="17.85546875" style="70" bestFit="1" customWidth="1"/>
    <col min="52" max="16384" width="9.140625" style="70"/>
  </cols>
  <sheetData>
    <row r="1" spans="1:70" customFormat="1">
      <c r="A1" t="str">
        <f>IF(COM,"TS DATA","")</f>
        <v>TS DATA</v>
      </c>
      <c r="B1" t="s">
        <v>17</v>
      </c>
      <c r="L1" s="31"/>
    </row>
    <row r="2" spans="1:70" customFormat="1" ht="15.75" thickBot="1">
      <c r="A2" t="s">
        <v>16</v>
      </c>
      <c r="B2" s="369" t="s">
        <v>280</v>
      </c>
      <c r="C2" s="369"/>
      <c r="L2" s="31"/>
    </row>
    <row r="3" spans="1:70">
      <c r="A3" t="s">
        <v>16</v>
      </c>
      <c r="L3" s="69">
        <f>MATCH(L4,Drivers!$C$5:$AG$5,0)</f>
        <v>1</v>
      </c>
      <c r="M3" s="69">
        <f>MATCH(M4,Drivers!$C$5:$AG$5,0)</f>
        <v>2</v>
      </c>
      <c r="N3" s="69">
        <f>MATCH(N4,Drivers!$C$5:$AG$5,0)</f>
        <v>3</v>
      </c>
      <c r="O3" s="69">
        <f>MATCH(O4,Drivers!$C$5:$AG$5,0)</f>
        <v>4</v>
      </c>
      <c r="P3" s="69">
        <f>MATCH(P4,Drivers!$C$5:$AG$5,0)</f>
        <v>5</v>
      </c>
      <c r="Q3" s="69">
        <f>MATCH(Q4,Drivers!$C$5:$AG$5,0)</f>
        <v>6</v>
      </c>
      <c r="R3" s="69">
        <f>MATCH(R4,Drivers!$C$5:$AG$5,0)</f>
        <v>7</v>
      </c>
      <c r="S3" s="69">
        <f>MATCH(S4,Drivers!$C$5:$AG$5,0)</f>
        <v>8</v>
      </c>
      <c r="T3" s="69">
        <f>MATCH(T4,Drivers!$C$5:$AG$5,0)</f>
        <v>9</v>
      </c>
      <c r="U3" s="69">
        <f>MATCH(U4,Drivers!$C$5:$AG$5,0)</f>
        <v>10</v>
      </c>
      <c r="V3" s="69">
        <f>MATCH(V4,Drivers!$C$5:$AG$5,0)</f>
        <v>11</v>
      </c>
      <c r="W3" s="69">
        <f>MATCH(W4,Drivers!$C$5:$AG$5,0)</f>
        <v>12</v>
      </c>
      <c r="X3" s="69">
        <f>MATCH(X4,Drivers!$C$5:$AG$5,0)</f>
        <v>13</v>
      </c>
      <c r="Y3" s="69">
        <f>MATCH(Y4,Drivers!$C$5:$AG$5,0)</f>
        <v>14</v>
      </c>
      <c r="Z3" s="69">
        <f>MATCH(Z4,Drivers!$C$5:$AG$5,0)</f>
        <v>15</v>
      </c>
      <c r="AA3" s="69">
        <f>MATCH(AA4,Drivers!$C$5:$AG$5,0)</f>
        <v>16</v>
      </c>
      <c r="AB3" s="69">
        <f>MATCH(AB4,Drivers!$C$5:$AG$5,0)</f>
        <v>17</v>
      </c>
      <c r="AC3" s="69">
        <f>MATCH(AC4,Drivers!$C$5:$AG$5,0)</f>
        <v>18</v>
      </c>
      <c r="AD3" s="69">
        <f>MATCH(AD4,Drivers!$C$5:$AG$5,0)</f>
        <v>19</v>
      </c>
      <c r="AE3" s="69">
        <f>MATCH(AE4,Drivers!$C$5:$AG$5,0)</f>
        <v>20</v>
      </c>
      <c r="AF3" s="69">
        <f>MATCH(AF4,Drivers!$C$5:$AG$5,0)</f>
        <v>21</v>
      </c>
      <c r="AG3" s="69">
        <f>MATCH(AG4,Drivers!$C$5:$AG$5,0)</f>
        <v>22</v>
      </c>
      <c r="AH3" s="69">
        <f>MATCH(AH4,Drivers!$C$5:$AG$5,0)</f>
        <v>23</v>
      </c>
      <c r="AI3" s="69">
        <f>MATCH(AI4,Drivers!$C$5:$AG$5,0)</f>
        <v>24</v>
      </c>
      <c r="AJ3" s="69">
        <f>MATCH(AJ4,Drivers!$C$5:$AG$5,0)</f>
        <v>25</v>
      </c>
      <c r="AK3" s="69">
        <f>MATCH(AK4,Drivers!$C$5:$AG$5,0)</f>
        <v>26</v>
      </c>
      <c r="AL3" s="69">
        <f>MATCH(AL4,Drivers!$C$5:$AG$5,0)</f>
        <v>27</v>
      </c>
      <c r="AM3" s="69">
        <f>MATCH(AM4,Drivers!$C$5:$AG$5,0)</f>
        <v>28</v>
      </c>
      <c r="AN3" s="69">
        <f>MATCH(AN4,Drivers!$C$5:$AG$5,0)</f>
        <v>29</v>
      </c>
      <c r="AO3" s="69" t="e">
        <f>MATCH(AO4,Drivers!$C$5:$AG$5,0)</f>
        <v>#N/A</v>
      </c>
      <c r="AP3" s="69" t="e">
        <f>MATCH(AP4,Drivers!$C$5:$AG$5,0)</f>
        <v>#N/A</v>
      </c>
      <c r="AQ3" s="69" t="e">
        <f>MATCH(AQ4,Drivers!$C$5:$AG$5,0)</f>
        <v>#N/A</v>
      </c>
      <c r="AR3" s="69" t="e">
        <f>MATCH(AR4,Drivers!$C$5:$AG$5,0)</f>
        <v>#N/A</v>
      </c>
      <c r="AS3" s="69">
        <f>MATCH(AS4,Drivers!$C$5:$AG$5,0)</f>
        <v>30</v>
      </c>
      <c r="AT3" s="69" t="e">
        <f>MATCH(AT4,Drivers!$C$5:$AG$5,0)</f>
        <v>#N/A</v>
      </c>
      <c r="AU3" s="69" t="e">
        <f>MATCH(AU4,Drivers!$C$5:$AG$5,0)</f>
        <v>#N/A</v>
      </c>
      <c r="AV3" s="69" t="e">
        <f>MATCH(AV4,Drivers!$C$5:$AG$5,0)</f>
        <v>#N/A</v>
      </c>
      <c r="AW3" s="69" t="e">
        <f>MATCH(AW4,Drivers!$C$5:$AG$5,0)</f>
        <v>#N/A</v>
      </c>
      <c r="AX3" s="69">
        <f>MATCH(AX4,Drivers!$C$5:$AK$5,0)</f>
        <v>31</v>
      </c>
      <c r="AY3" s="69" t="e">
        <f>MATCH(AY4,Drivers!$C$5:$AK$5,0)</f>
        <v>#N/A</v>
      </c>
      <c r="AZ3" s="69" t="e">
        <f>MATCH(AZ4,Drivers!$C$5:$AK$5,0)</f>
        <v>#N/A</v>
      </c>
      <c r="BA3" s="69" t="e">
        <f>MATCH(BA4,Drivers!$C$5:$AK$5,0)</f>
        <v>#N/A</v>
      </c>
      <c r="BB3" s="69" t="e">
        <f>MATCH(BB4,Drivers!$C$5:$AK$5,0)</f>
        <v>#N/A</v>
      </c>
      <c r="BC3" s="69">
        <f>MATCH(BC4,Drivers!$C$5:$AK$5,0)</f>
        <v>32</v>
      </c>
      <c r="BD3" s="69" t="e">
        <f>MATCH(BD4,Drivers!$C$5:$AK$5,0)</f>
        <v>#N/A</v>
      </c>
      <c r="BE3" s="69" t="e">
        <f>MATCH(BE4,Drivers!$C$5:$AK$5,0)</f>
        <v>#N/A</v>
      </c>
      <c r="BF3" s="69" t="e">
        <f>MATCH(BF4,Drivers!$C$5:$AK$5,0)</f>
        <v>#N/A</v>
      </c>
      <c r="BG3" s="69" t="e">
        <f>MATCH(BG4,Drivers!$C$5:$AK$5,0)</f>
        <v>#N/A</v>
      </c>
      <c r="BH3" s="69">
        <f>MATCH(BH4,Drivers!$C$5:$AK$5,0)</f>
        <v>33</v>
      </c>
      <c r="BI3" s="69" t="e">
        <f>MATCH(BI4,Drivers!$C$5:$AK$5,0)</f>
        <v>#N/A</v>
      </c>
      <c r="BJ3" s="69" t="e">
        <f>MATCH(BJ4,Drivers!$C$5:$AK$5,0)</f>
        <v>#N/A</v>
      </c>
      <c r="BK3" s="69" t="e">
        <f>MATCH(BK4,Drivers!$C$5:$AK$5,0)</f>
        <v>#N/A</v>
      </c>
      <c r="BL3" s="69" t="e">
        <f>MATCH(BL4,Drivers!$C$5:$AK$5,0)</f>
        <v>#N/A</v>
      </c>
      <c r="BM3" s="69">
        <f>MATCH(BM4,Drivers!$C$5:$AK$5,0)</f>
        <v>34</v>
      </c>
      <c r="BN3" s="69" t="e">
        <f>MATCH(BN4,Drivers!$C$5:$AK$5,0)</f>
        <v>#N/A</v>
      </c>
      <c r="BO3" s="69" t="e">
        <f>MATCH(BO4,Drivers!$C$5:$AK$5,0)</f>
        <v>#N/A</v>
      </c>
      <c r="BP3" s="69" t="e">
        <f>MATCH(BP4,Drivers!$C$5:$AK$5,0)</f>
        <v>#N/A</v>
      </c>
      <c r="BQ3" s="69" t="e">
        <f>MATCH(BQ4,Drivers!$C$5:$AK$5,0)</f>
        <v>#N/A</v>
      </c>
      <c r="BR3" s="69">
        <f>MATCH(BR4,Drivers!$C$5:$AK$5,0)</f>
        <v>35</v>
      </c>
    </row>
    <row r="4" spans="1:70" ht="15.75" thickBot="1">
      <c r="A4" t="s">
        <v>16</v>
      </c>
      <c r="B4" s="67" t="s">
        <v>11</v>
      </c>
      <c r="C4" s="67"/>
      <c r="D4" s="67"/>
      <c r="E4" s="68"/>
      <c r="F4" s="68"/>
      <c r="G4" s="68"/>
      <c r="H4" s="68"/>
      <c r="I4" s="68"/>
      <c r="J4" s="68"/>
      <c r="K4" s="68"/>
      <c r="L4" s="69">
        <v>2012</v>
      </c>
      <c r="M4" s="70">
        <f>L4+1</f>
        <v>2013</v>
      </c>
      <c r="N4" s="70">
        <f>M4+1</f>
        <v>2014</v>
      </c>
      <c r="O4" s="70">
        <f t="shared" ref="O4:AT4" si="0">N4+1</f>
        <v>2015</v>
      </c>
      <c r="P4" s="70">
        <f t="shared" si="0"/>
        <v>2016</v>
      </c>
      <c r="Q4" s="70">
        <f t="shared" si="0"/>
        <v>2017</v>
      </c>
      <c r="R4" s="70">
        <f t="shared" si="0"/>
        <v>2018</v>
      </c>
      <c r="S4" s="70">
        <f t="shared" si="0"/>
        <v>2019</v>
      </c>
      <c r="T4" s="70">
        <f t="shared" si="0"/>
        <v>2020</v>
      </c>
      <c r="U4" s="70">
        <f t="shared" si="0"/>
        <v>2021</v>
      </c>
      <c r="V4" s="70">
        <f t="shared" si="0"/>
        <v>2022</v>
      </c>
      <c r="W4" s="70">
        <f t="shared" si="0"/>
        <v>2023</v>
      </c>
      <c r="X4" s="70">
        <f t="shared" si="0"/>
        <v>2024</v>
      </c>
      <c r="Y4" s="70">
        <f t="shared" si="0"/>
        <v>2025</v>
      </c>
      <c r="Z4" s="70">
        <f t="shared" si="0"/>
        <v>2026</v>
      </c>
      <c r="AA4" s="70">
        <f t="shared" si="0"/>
        <v>2027</v>
      </c>
      <c r="AB4" s="70">
        <f t="shared" si="0"/>
        <v>2028</v>
      </c>
      <c r="AC4" s="70">
        <f t="shared" si="0"/>
        <v>2029</v>
      </c>
      <c r="AD4" s="70">
        <f t="shared" si="0"/>
        <v>2030</v>
      </c>
      <c r="AE4" s="70">
        <f t="shared" si="0"/>
        <v>2031</v>
      </c>
      <c r="AF4" s="70">
        <f t="shared" si="0"/>
        <v>2032</v>
      </c>
      <c r="AG4" s="70">
        <f t="shared" si="0"/>
        <v>2033</v>
      </c>
      <c r="AH4" s="70">
        <f t="shared" si="0"/>
        <v>2034</v>
      </c>
      <c r="AI4" s="70">
        <f t="shared" si="0"/>
        <v>2035</v>
      </c>
      <c r="AJ4" s="70">
        <f t="shared" si="0"/>
        <v>2036</v>
      </c>
      <c r="AK4" s="70">
        <f t="shared" si="0"/>
        <v>2037</v>
      </c>
      <c r="AL4" s="70">
        <f t="shared" si="0"/>
        <v>2038</v>
      </c>
      <c r="AM4" s="70">
        <f t="shared" si="0"/>
        <v>2039</v>
      </c>
      <c r="AN4" s="70">
        <f t="shared" si="0"/>
        <v>2040</v>
      </c>
      <c r="AO4" s="70">
        <f t="shared" si="0"/>
        <v>2041</v>
      </c>
      <c r="AP4" s="70">
        <f t="shared" si="0"/>
        <v>2042</v>
      </c>
      <c r="AQ4" s="70">
        <f t="shared" si="0"/>
        <v>2043</v>
      </c>
      <c r="AR4" s="70">
        <f t="shared" si="0"/>
        <v>2044</v>
      </c>
      <c r="AS4" s="70">
        <f t="shared" si="0"/>
        <v>2045</v>
      </c>
      <c r="AT4" s="70">
        <f t="shared" si="0"/>
        <v>2046</v>
      </c>
      <c r="AU4" s="70">
        <f>AT4+1</f>
        <v>2047</v>
      </c>
      <c r="AV4" s="70">
        <f>AU4+1</f>
        <v>2048</v>
      </c>
      <c r="AW4" s="70">
        <f>AV4+1</f>
        <v>2049</v>
      </c>
      <c r="AX4" s="70">
        <f>AW4+1</f>
        <v>2050</v>
      </c>
      <c r="AY4" s="70">
        <f t="shared" ref="AY4:BO4" si="1">AX4+1</f>
        <v>2051</v>
      </c>
      <c r="AZ4" s="70">
        <f t="shared" si="1"/>
        <v>2052</v>
      </c>
      <c r="BA4" s="70">
        <f t="shared" si="1"/>
        <v>2053</v>
      </c>
      <c r="BB4" s="70">
        <f t="shared" si="1"/>
        <v>2054</v>
      </c>
      <c r="BC4" s="70">
        <f t="shared" si="1"/>
        <v>2055</v>
      </c>
      <c r="BD4" s="70">
        <f t="shared" si="1"/>
        <v>2056</v>
      </c>
      <c r="BE4" s="70">
        <f t="shared" si="1"/>
        <v>2057</v>
      </c>
      <c r="BF4" s="70">
        <f t="shared" si="1"/>
        <v>2058</v>
      </c>
      <c r="BG4" s="70">
        <f t="shared" si="1"/>
        <v>2059</v>
      </c>
      <c r="BH4" s="70">
        <f t="shared" si="1"/>
        <v>2060</v>
      </c>
      <c r="BI4" s="70">
        <f t="shared" si="1"/>
        <v>2061</v>
      </c>
      <c r="BJ4" s="70">
        <f t="shared" si="1"/>
        <v>2062</v>
      </c>
      <c r="BK4" s="70">
        <f t="shared" si="1"/>
        <v>2063</v>
      </c>
      <c r="BL4" s="70">
        <f t="shared" si="1"/>
        <v>2064</v>
      </c>
      <c r="BM4" s="70">
        <f t="shared" si="1"/>
        <v>2065</v>
      </c>
      <c r="BN4" s="70">
        <f t="shared" si="1"/>
        <v>2066</v>
      </c>
      <c r="BO4" s="70">
        <f t="shared" si="1"/>
        <v>2067</v>
      </c>
      <c r="BP4" s="70">
        <f>BO4+1</f>
        <v>2068</v>
      </c>
      <c r="BQ4" s="70">
        <f>BP4+1</f>
        <v>2069</v>
      </c>
      <c r="BR4" s="70">
        <f t="shared" ref="BR4" si="2">BQ4+1</f>
        <v>2070</v>
      </c>
    </row>
    <row r="5" spans="1:70" customFormat="1">
      <c r="A5" t="s">
        <v>16</v>
      </c>
      <c r="C5">
        <v>1</v>
      </c>
      <c r="D5">
        <v>2012</v>
      </c>
      <c r="E5">
        <v>2017</v>
      </c>
      <c r="F5">
        <v>2020</v>
      </c>
      <c r="G5">
        <v>2030</v>
      </c>
      <c r="H5">
        <v>2040</v>
      </c>
      <c r="I5" s="70">
        <v>2050</v>
      </c>
      <c r="J5" s="70">
        <v>2070</v>
      </c>
      <c r="K5" t="s">
        <v>376</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377</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0">
        <v>5</v>
      </c>
      <c r="J7" s="70">
        <v>6</v>
      </c>
      <c r="K7" t="s">
        <v>375</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0"/>
      <c r="K8" t="s">
        <v>378</v>
      </c>
      <c r="L8" s="2">
        <f>IF(ISNA(L5),-1,IF(ISNA(L7),99,IF(ISNA(L6),L5,0)))</f>
        <v>0</v>
      </c>
      <c r="M8" s="2">
        <f t="shared" ref="M8:AX8" si="6">IF(ISNA(M5),-1,IF(ISNA(M7),99,IF(ISNA(M6),M5,0)))</f>
        <v>1</v>
      </c>
      <c r="N8" s="2">
        <f t="shared" si="6"/>
        <v>1</v>
      </c>
      <c r="O8" s="2">
        <v>1</v>
      </c>
      <c r="P8" s="2">
        <v>1</v>
      </c>
      <c r="Q8" s="2">
        <v>0</v>
      </c>
      <c r="R8" s="2">
        <f t="shared" si="6"/>
        <v>2</v>
      </c>
      <c r="S8" s="2">
        <f t="shared" si="6"/>
        <v>2</v>
      </c>
      <c r="T8" s="2">
        <f t="shared" si="6"/>
        <v>0</v>
      </c>
      <c r="U8" s="2">
        <f t="shared" si="6"/>
        <v>3</v>
      </c>
      <c r="V8" s="2">
        <f t="shared" si="6"/>
        <v>3</v>
      </c>
      <c r="W8" s="2">
        <f t="shared" si="6"/>
        <v>3</v>
      </c>
      <c r="X8" s="2">
        <f t="shared" si="6"/>
        <v>3</v>
      </c>
      <c r="Y8" s="2">
        <f t="shared" si="6"/>
        <v>3</v>
      </c>
      <c r="Z8" s="2">
        <f t="shared" si="6"/>
        <v>3</v>
      </c>
      <c r="AA8" s="2">
        <f t="shared" si="6"/>
        <v>3</v>
      </c>
      <c r="AB8" s="2">
        <f t="shared" si="6"/>
        <v>3</v>
      </c>
      <c r="AC8" s="2">
        <f t="shared" si="6"/>
        <v>3</v>
      </c>
      <c r="AD8" s="2">
        <f t="shared" si="6"/>
        <v>0</v>
      </c>
      <c r="AE8" s="2">
        <f t="shared" si="6"/>
        <v>4</v>
      </c>
      <c r="AF8" s="2">
        <f t="shared" si="6"/>
        <v>4</v>
      </c>
      <c r="AG8" s="2">
        <f t="shared" si="6"/>
        <v>4</v>
      </c>
      <c r="AH8" s="2">
        <f t="shared" si="6"/>
        <v>4</v>
      </c>
      <c r="AI8" s="2">
        <f t="shared" si="6"/>
        <v>4</v>
      </c>
      <c r="AJ8" s="2">
        <f t="shared" si="6"/>
        <v>4</v>
      </c>
      <c r="AK8" s="2">
        <f t="shared" si="6"/>
        <v>4</v>
      </c>
      <c r="AL8" s="2">
        <f t="shared" si="6"/>
        <v>4</v>
      </c>
      <c r="AM8" s="2">
        <f t="shared" si="6"/>
        <v>4</v>
      </c>
      <c r="AN8" s="2">
        <f t="shared" si="6"/>
        <v>0</v>
      </c>
      <c r="AO8" s="2">
        <f t="shared" si="6"/>
        <v>5</v>
      </c>
      <c r="AP8" s="2">
        <f t="shared" si="6"/>
        <v>5</v>
      </c>
      <c r="AQ8" s="2">
        <f t="shared" si="6"/>
        <v>5</v>
      </c>
      <c r="AR8" s="2">
        <f t="shared" si="6"/>
        <v>5</v>
      </c>
      <c r="AS8" s="2">
        <f t="shared" si="6"/>
        <v>5</v>
      </c>
      <c r="AT8" s="2">
        <f t="shared" si="6"/>
        <v>5</v>
      </c>
      <c r="AU8" s="2">
        <f t="shared" si="6"/>
        <v>5</v>
      </c>
      <c r="AV8" s="2">
        <f t="shared" si="6"/>
        <v>5</v>
      </c>
      <c r="AW8" s="2">
        <f t="shared" si="6"/>
        <v>5</v>
      </c>
      <c r="AX8" s="2">
        <f t="shared" si="6"/>
        <v>5</v>
      </c>
      <c r="AY8" s="2">
        <f t="shared" ref="AY8:BR8" si="7">IF(ISNA(AY5),-1,IF(ISNA(AY7),99,IF(ISNA(AY6),AY5,0)))</f>
        <v>5</v>
      </c>
      <c r="AZ8" s="2">
        <f t="shared" si="7"/>
        <v>5</v>
      </c>
      <c r="BA8" s="2">
        <f t="shared" si="7"/>
        <v>5</v>
      </c>
      <c r="BB8" s="2">
        <f t="shared" si="7"/>
        <v>5</v>
      </c>
      <c r="BC8" s="2">
        <f t="shared" si="7"/>
        <v>5</v>
      </c>
      <c r="BD8" s="2">
        <f t="shared" si="7"/>
        <v>5</v>
      </c>
      <c r="BE8" s="2">
        <f t="shared" si="7"/>
        <v>5</v>
      </c>
      <c r="BF8" s="2">
        <f t="shared" si="7"/>
        <v>5</v>
      </c>
      <c r="BG8" s="2">
        <f t="shared" si="7"/>
        <v>5</v>
      </c>
      <c r="BH8" s="2">
        <f t="shared" si="7"/>
        <v>5</v>
      </c>
      <c r="BI8" s="2">
        <f t="shared" si="7"/>
        <v>5</v>
      </c>
      <c r="BJ8" s="2">
        <f t="shared" si="7"/>
        <v>5</v>
      </c>
      <c r="BK8" s="2">
        <f t="shared" si="7"/>
        <v>5</v>
      </c>
      <c r="BL8" s="2">
        <f t="shared" si="7"/>
        <v>5</v>
      </c>
      <c r="BM8" s="2">
        <f t="shared" si="7"/>
        <v>5</v>
      </c>
      <c r="BN8" s="2">
        <f t="shared" si="7"/>
        <v>5</v>
      </c>
      <c r="BO8" s="2">
        <f t="shared" si="7"/>
        <v>5</v>
      </c>
      <c r="BP8" s="2">
        <f t="shared" si="7"/>
        <v>5</v>
      </c>
      <c r="BQ8" s="2">
        <f t="shared" si="7"/>
        <v>5</v>
      </c>
      <c r="BR8" s="2">
        <f t="shared" si="7"/>
        <v>5</v>
      </c>
    </row>
    <row r="9" spans="1:70">
      <c r="A9" t="s">
        <v>16</v>
      </c>
      <c r="B9" s="70" t="s">
        <v>9</v>
      </c>
      <c r="C9" s="70" t="s">
        <v>10</v>
      </c>
      <c r="L9" s="69"/>
      <c r="M9" s="70"/>
    </row>
    <row r="10" spans="1:70">
      <c r="A10" t="s">
        <v>16</v>
      </c>
      <c r="B10" s="223" t="s">
        <v>4</v>
      </c>
      <c r="C10" s="70" t="s">
        <v>3</v>
      </c>
      <c r="E10" s="70">
        <f>MATCH(B10,Drivers!A7:A25,0)</f>
        <v>2</v>
      </c>
      <c r="L10" s="3" cm="1">
        <f t="array" ref="L10">INDEX(Drivers!$C$7:$AG$25,$E$10,L3)</f>
        <v>2420.5059603282948</v>
      </c>
      <c r="M10" s="3" cm="1">
        <f t="array" ref="M10">INDEX(Drivers!$C$7:$AG$25,$E$10,M3)</f>
        <v>2489.1047071827661</v>
      </c>
      <c r="N10" s="3" cm="1">
        <f t="array" ref="N10">INDEX(Drivers!$C$7:$AG$25,$E$10,N3)</f>
        <v>2551.5982527371866</v>
      </c>
      <c r="O10" s="3" cm="1">
        <f t="array" ref="O10">INDEX(Drivers!$C$7:$AG$25,$E$10,O3)</f>
        <v>2595.1630396206046</v>
      </c>
      <c r="P10" s="3" cm="1">
        <f t="array" ref="P10">INDEX(Drivers!$C$7:$AG$25,$E$10,P3)</f>
        <v>2628.6516711665686</v>
      </c>
      <c r="Q10" s="3" cm="1">
        <f t="array" ref="Q10">INDEX(Drivers!$C$7:$AG$25,$E$10,Q3)</f>
        <v>2667.1308637985835</v>
      </c>
      <c r="R10" s="3" cm="1">
        <f t="array" ref="R10">INDEX(Drivers!$C$7:$AG$25,$E$10,R3)</f>
        <v>2710.4237502366891</v>
      </c>
      <c r="S10" s="3" cm="1">
        <f t="array" ref="S10">INDEX(Drivers!$C$7:$AG$25,$E$10,S3)</f>
        <v>2746.44</v>
      </c>
      <c r="T10" s="3" cm="1">
        <f t="array" ref="T10">INDEX(Drivers!$C$7:$AG$25,$E$10,T3)</f>
        <v>2570.58</v>
      </c>
      <c r="U10" s="3" cm="1">
        <f t="array" ref="U10">INDEX(Drivers!$C$7:$AG$25,$E$10,U3)</f>
        <v>2701.6634132159884</v>
      </c>
      <c r="V10" s="3" cm="1">
        <f t="array" ref="V10">INDEX(Drivers!$C$7:$AG$25,$E$10,V3)</f>
        <v>2753.2761577379706</v>
      </c>
      <c r="W10" s="3" cm="1">
        <f t="array" ref="W10">INDEX(Drivers!$C$7:$AG$25,$E$10,W3)</f>
        <v>2758.7827100534464</v>
      </c>
      <c r="X10" s="3" cm="1">
        <f t="array" ref="X10">INDEX(Drivers!$C$7:$AG$25,$E$10,X3)</f>
        <v>2786.3705371539809</v>
      </c>
      <c r="Y10" s="3" cm="1">
        <f t="array" ref="Y10">INDEX(Drivers!$C$7:$AG$25,$E$10,Y3)</f>
        <v>2817.0206130626743</v>
      </c>
      <c r="Z10" s="3" cm="1">
        <f t="array" ref="Z10">INDEX(Drivers!$C$7:$AG$25,$E$10,Z3)</f>
        <v>2856.4589016455516</v>
      </c>
      <c r="AA10" s="3" cm="1">
        <f t="array" ref="AA10">INDEX(Drivers!$C$7:$AG$25,$E$10,AA3)</f>
        <v>2902.1622440718807</v>
      </c>
      <c r="AB10" s="3" cm="1">
        <f t="array" ref="AB10">INDEX(Drivers!$C$7:$AG$25,$E$10,AB3)</f>
        <v>2954.4011644651746</v>
      </c>
      <c r="AC10" s="3" cm="1">
        <f t="array" ref="AC10">INDEX(Drivers!$C$7:$AG$25,$E$10,AC3)</f>
        <v>3019.4917101814099</v>
      </c>
      <c r="AD10" s="3" cm="1">
        <f t="array" ref="AD10">INDEX(Drivers!$C$7:$AG$25,$E$10,AD3)</f>
        <v>3098.6578143357187</v>
      </c>
      <c r="AE10" s="3" cm="1">
        <f t="array" ref="AE10">INDEX(Drivers!$C$7:$AG$25,$E$10,AE3)</f>
        <v>3189.6914736349381</v>
      </c>
      <c r="AF10" s="3" cm="1">
        <f t="array" ref="AF10">INDEX(Drivers!$C$7:$AG$25,$E$10,AF3)</f>
        <v>3285.6295440723929</v>
      </c>
      <c r="AG10" s="3" cm="1">
        <f t="array" ref="AG10">INDEX(Drivers!$C$7:$AG$25,$E$10,AG3)</f>
        <v>3387.4108076665748</v>
      </c>
      <c r="AH10" s="3" cm="1">
        <f t="array" ref="AH10">INDEX(Drivers!$C$7:$AG$25,$E$10,AH3)</f>
        <v>3503.822316485358</v>
      </c>
      <c r="AI10" s="3" cm="1">
        <f t="array" ref="AI10">INDEX(Drivers!$C$7:$AG$25,$E$10,AI3)</f>
        <v>3627.1733086751424</v>
      </c>
      <c r="AJ10" s="3" cm="1">
        <f t="array" ref="AJ10">INDEX(Drivers!$C$7:$AG$25,$E$10,AJ3)</f>
        <v>3757.9091917406686</v>
      </c>
      <c r="AK10" s="3" cm="1">
        <f t="array" ref="AK10">INDEX(Drivers!$C$7:$AG$25,$E$10,AK3)</f>
        <v>3896.9782058681149</v>
      </c>
      <c r="AL10" s="3" cm="1">
        <f t="array" ref="AL10">INDEX(Drivers!$C$7:$AG$25,$E$10,AL3)</f>
        <v>4042.5535023498846</v>
      </c>
      <c r="AM10" s="3" cm="1">
        <f t="array" ref="AM10">INDEX(Drivers!$C$7:$AG$25,$E$10,AM3)</f>
        <v>4190.3715224582984</v>
      </c>
      <c r="AN10" s="3" cm="1">
        <f t="array" ref="AN10">INDEX(Drivers!$C$7:$AG$25,$E$10,AN3)</f>
        <v>4338.746729551779</v>
      </c>
      <c r="AO10" s="3">
        <f>(AS10-AN10)/5+AN10</f>
        <v>4500.4150913986259</v>
      </c>
      <c r="AP10" s="3">
        <f>(AS10-AN10)/5+AO10</f>
        <v>4662.0834532454728</v>
      </c>
      <c r="AQ10" s="3">
        <f>(AS10-AN10)/5+AP10</f>
        <v>4823.7518150923197</v>
      </c>
      <c r="AR10" s="3">
        <f>(AS10-AN10)/5+AQ10</f>
        <v>4985.4201769391666</v>
      </c>
      <c r="AS10" s="3" cm="1">
        <f t="array" ref="AS10">INDEX(Drivers!$C$7:$AG$25,$E$10,AS3)</f>
        <v>5147.0885387860135</v>
      </c>
      <c r="AT10" s="3">
        <f>(AX10-AS10)/5+AS10</f>
        <v>5341.9153126973715</v>
      </c>
      <c r="AU10" s="3">
        <f>(AX10-AS10)/5+AT10</f>
        <v>5536.7420866087296</v>
      </c>
      <c r="AV10" s="3">
        <f>(AX10-AS10)/5+AU10</f>
        <v>5731.5688605200876</v>
      </c>
      <c r="AW10" s="3">
        <f>(AX10-AS10)/5+AV10</f>
        <v>5926.3956344314456</v>
      </c>
      <c r="AX10" s="3" cm="1">
        <f t="array" ref="AX10">INDEX(Drivers!$C$7:$AG$25,$E$10,AX3)</f>
        <v>6121.2224083428055</v>
      </c>
      <c r="AY10" s="3">
        <f>($BH10-$AX10)/10+AX10</f>
        <v>6305.2553447561231</v>
      </c>
      <c r="AZ10" s="3">
        <f t="shared" ref="AZ10:BG10" si="8">($BH10-$AX10)/10+AY10</f>
        <v>6489.2882811694408</v>
      </c>
      <c r="BA10" s="3">
        <f t="shared" si="8"/>
        <v>6673.3212175827584</v>
      </c>
      <c r="BB10" s="3">
        <f t="shared" si="8"/>
        <v>6857.3541539960761</v>
      </c>
      <c r="BC10" s="3">
        <f t="shared" si="8"/>
        <v>7041.3870904093937</v>
      </c>
      <c r="BD10" s="3">
        <f t="shared" si="8"/>
        <v>7225.4200268227114</v>
      </c>
      <c r="BE10" s="3">
        <f t="shared" si="8"/>
        <v>7409.4529632360291</v>
      </c>
      <c r="BF10" s="3">
        <f t="shared" si="8"/>
        <v>7593.4858996493467</v>
      </c>
      <c r="BG10" s="3">
        <f t="shared" si="8"/>
        <v>7777.5188360626644</v>
      </c>
      <c r="BH10" s="3" cm="1">
        <f t="array" ref="BH10">INDEX(Drivers!$C$7:$AK$25,$E$10,BH3)</f>
        <v>7961.5517724759829</v>
      </c>
      <c r="BI10" s="3">
        <f>($BR10-$BH10)/10+BH10</f>
        <v>8032.8863323830847</v>
      </c>
      <c r="BJ10" s="3">
        <f t="shared" ref="BJ10:BQ10" si="9">($BR10-$BH10)/10+BI10</f>
        <v>8104.2208922901864</v>
      </c>
      <c r="BK10" s="3">
        <f t="shared" si="9"/>
        <v>8175.5554521972881</v>
      </c>
      <c r="BL10" s="3">
        <f t="shared" si="9"/>
        <v>8246.8900121043898</v>
      </c>
      <c r="BM10" s="3">
        <f t="shared" si="9"/>
        <v>8318.2245720114915</v>
      </c>
      <c r="BN10" s="3">
        <f t="shared" si="9"/>
        <v>8389.5591319185933</v>
      </c>
      <c r="BO10" s="3">
        <f t="shared" si="9"/>
        <v>8460.893691825695</v>
      </c>
      <c r="BP10" s="3">
        <f t="shared" si="9"/>
        <v>8532.2282517327967</v>
      </c>
      <c r="BQ10" s="3">
        <f t="shared" si="9"/>
        <v>8603.5628116398984</v>
      </c>
      <c r="BR10" s="3" cm="1">
        <f t="array" ref="BR10">INDEX(Drivers!$C$7:$AK$25,$E$10,BR3)</f>
        <v>8674.8973715470001</v>
      </c>
    </row>
    <row r="11" spans="1:70">
      <c r="A11" t="s">
        <v>16</v>
      </c>
      <c r="B11" s="73" t="s">
        <v>213</v>
      </c>
      <c r="C11" s="74"/>
      <c r="D11" s="74"/>
      <c r="E11" s="74"/>
      <c r="F11" s="74"/>
      <c r="G11" s="74"/>
      <c r="H11" s="74"/>
      <c r="I11" s="74"/>
      <c r="J11" s="74"/>
      <c r="K11" s="74"/>
      <c r="L11" s="224" t="str">
        <f t="shared" ref="L11:BR11" si="10">INDEX($C$14:$C$18,MATCH(L$12,$B$14:$B$18,0))</f>
        <v>A</v>
      </c>
      <c r="M11" s="224" t="str">
        <f t="shared" si="10"/>
        <v>A</v>
      </c>
      <c r="N11" s="224" t="str">
        <f t="shared" si="10"/>
        <v>A</v>
      </c>
      <c r="O11" s="224" t="str">
        <f t="shared" si="10"/>
        <v>A</v>
      </c>
      <c r="P11" s="224" t="str">
        <f t="shared" si="10"/>
        <v>A</v>
      </c>
      <c r="Q11" s="224" t="str">
        <f t="shared" si="10"/>
        <v>A</v>
      </c>
      <c r="R11" s="224" t="str">
        <f t="shared" si="10"/>
        <v>B</v>
      </c>
      <c r="S11" s="224" t="str">
        <f t="shared" si="10"/>
        <v>B</v>
      </c>
      <c r="T11" s="224" t="str">
        <f t="shared" si="10"/>
        <v>B</v>
      </c>
      <c r="U11" s="224" t="str">
        <f t="shared" si="10"/>
        <v>B</v>
      </c>
      <c r="V11" s="224" t="str">
        <f t="shared" si="10"/>
        <v>B</v>
      </c>
      <c r="W11" s="224" t="str">
        <f t="shared" si="10"/>
        <v>B</v>
      </c>
      <c r="X11" s="224" t="str">
        <f t="shared" si="10"/>
        <v>B</v>
      </c>
      <c r="Y11" s="224" t="str">
        <f t="shared" si="10"/>
        <v>B</v>
      </c>
      <c r="Z11" s="224" t="str">
        <f t="shared" si="10"/>
        <v>B</v>
      </c>
      <c r="AA11" s="224" t="str">
        <f t="shared" si="10"/>
        <v>B</v>
      </c>
      <c r="AB11" s="224" t="str">
        <f t="shared" si="10"/>
        <v>B</v>
      </c>
      <c r="AC11" s="224" t="str">
        <f t="shared" si="10"/>
        <v>B</v>
      </c>
      <c r="AD11" s="224" t="str">
        <f t="shared" si="10"/>
        <v>B</v>
      </c>
      <c r="AE11" s="224" t="str">
        <f t="shared" si="10"/>
        <v>C</v>
      </c>
      <c r="AF11" s="224" t="str">
        <f t="shared" si="10"/>
        <v>C</v>
      </c>
      <c r="AG11" s="224" t="str">
        <f t="shared" si="10"/>
        <v>C</v>
      </c>
      <c r="AH11" s="224" t="str">
        <f t="shared" si="10"/>
        <v>C</v>
      </c>
      <c r="AI11" s="224" t="str">
        <f t="shared" si="10"/>
        <v>C</v>
      </c>
      <c r="AJ11" s="224" t="str">
        <f t="shared" si="10"/>
        <v>C</v>
      </c>
      <c r="AK11" s="224" t="str">
        <f t="shared" si="10"/>
        <v>C</v>
      </c>
      <c r="AL11" s="224" t="str">
        <f t="shared" si="10"/>
        <v>C</v>
      </c>
      <c r="AM11" s="224" t="str">
        <f t="shared" si="10"/>
        <v>C</v>
      </c>
      <c r="AN11" s="224" t="str">
        <f t="shared" si="10"/>
        <v>C</v>
      </c>
      <c r="AO11" s="224" t="str">
        <f t="shared" si="10"/>
        <v>D</v>
      </c>
      <c r="AP11" s="224" t="str">
        <f t="shared" si="10"/>
        <v>D</v>
      </c>
      <c r="AQ11" s="224" t="str">
        <f t="shared" si="10"/>
        <v>D</v>
      </c>
      <c r="AR11" s="224" t="str">
        <f t="shared" si="10"/>
        <v>D</v>
      </c>
      <c r="AS11" s="224" t="str">
        <f t="shared" si="10"/>
        <v>D</v>
      </c>
      <c r="AT11" s="224" t="str">
        <f t="shared" si="10"/>
        <v>D</v>
      </c>
      <c r="AU11" s="224" t="str">
        <f t="shared" si="10"/>
        <v>D</v>
      </c>
      <c r="AV11" s="224" t="str">
        <f t="shared" si="10"/>
        <v>D</v>
      </c>
      <c r="AW11" s="224" t="str">
        <f t="shared" si="10"/>
        <v>D</v>
      </c>
      <c r="AX11" s="224" t="str">
        <f t="shared" si="10"/>
        <v>D</v>
      </c>
      <c r="AY11" s="224" t="str">
        <f t="shared" si="10"/>
        <v>D</v>
      </c>
      <c r="AZ11" s="224" t="str">
        <f t="shared" si="10"/>
        <v>D</v>
      </c>
      <c r="BA11" s="224" t="str">
        <f t="shared" si="10"/>
        <v>D</v>
      </c>
      <c r="BB11" s="224" t="str">
        <f t="shared" si="10"/>
        <v>D</v>
      </c>
      <c r="BC11" s="224" t="str">
        <f t="shared" si="10"/>
        <v>D</v>
      </c>
      <c r="BD11" s="224" t="str">
        <f t="shared" si="10"/>
        <v>D</v>
      </c>
      <c r="BE11" s="224" t="str">
        <f t="shared" si="10"/>
        <v>D</v>
      </c>
      <c r="BF11" s="224" t="str">
        <f t="shared" si="10"/>
        <v>D</v>
      </c>
      <c r="BG11" s="224" t="str">
        <f t="shared" si="10"/>
        <v>D</v>
      </c>
      <c r="BH11" s="224" t="str">
        <f t="shared" si="10"/>
        <v>D</v>
      </c>
      <c r="BI11" s="224" t="str">
        <f t="shared" si="10"/>
        <v>D</v>
      </c>
      <c r="BJ11" s="224" t="str">
        <f t="shared" si="10"/>
        <v>D</v>
      </c>
      <c r="BK11" s="224" t="str">
        <f t="shared" si="10"/>
        <v>D</v>
      </c>
      <c r="BL11" s="224" t="str">
        <f t="shared" si="10"/>
        <v>D</v>
      </c>
      <c r="BM11" s="224" t="str">
        <f t="shared" si="10"/>
        <v>D</v>
      </c>
      <c r="BN11" s="224" t="str">
        <f t="shared" si="10"/>
        <v>D</v>
      </c>
      <c r="BO11" s="224" t="str">
        <f t="shared" si="10"/>
        <v>D</v>
      </c>
      <c r="BP11" s="224" t="str">
        <f t="shared" si="10"/>
        <v>D</v>
      </c>
      <c r="BQ11" s="224" t="str">
        <f t="shared" si="10"/>
        <v>D</v>
      </c>
      <c r="BR11" s="224" t="str">
        <f t="shared" si="10"/>
        <v>D</v>
      </c>
    </row>
    <row r="12" spans="1:70">
      <c r="A12" t="s">
        <v>16</v>
      </c>
      <c r="B12" s="223"/>
      <c r="L12" s="69">
        <f t="array" ref="L12">SUM($B$14:$B$18*(L4&gt;=$D$14:$D$18)*(L4&lt;=$E$14:$E$18))</f>
        <v>1</v>
      </c>
      <c r="M12" s="69">
        <f t="array" ref="M12">SUM($B$14:$B$17*(M4&gt;=$D$14:$D$17)*(M4&lt;=$E$14:$E$17))</f>
        <v>1</v>
      </c>
      <c r="N12" s="69">
        <f t="array" ref="N12">SUM($B$14:$B$17*(N4&gt;=$D$14:$D$17)*(N4&lt;=$E$14:$E$17))</f>
        <v>1</v>
      </c>
      <c r="O12" s="69">
        <f t="array" ref="O12">SUM($B$14:$B$17*(O4&gt;=$D$14:$D$17)*(O4&lt;=$E$14:$E$17))</f>
        <v>1</v>
      </c>
      <c r="P12" s="69">
        <f t="array" ref="P12">SUM($B$14:$B$17*(P4&gt;=$D$14:$D$17)*(P4&lt;=$E$14:$E$17))</f>
        <v>1</v>
      </c>
      <c r="Q12" s="69">
        <f t="array" ref="Q12">SUM($B$14:$B$17*(Q4&gt;=$D$14:$D$17)*(Q4&lt;=$E$14:$E$17))</f>
        <v>1</v>
      </c>
      <c r="R12" s="69">
        <f t="array" ref="R12">SUM($B$14:$B$17*(R4&gt;=$D$14:$D$17)*(R4&lt;=$E$14:$E$17))</f>
        <v>2</v>
      </c>
      <c r="S12" s="69">
        <f t="array" ref="S12">SUM($B$14:$B$17*(S4&gt;=$D$14:$D$17)*(S4&lt;=$E$14:$E$17))</f>
        <v>2</v>
      </c>
      <c r="T12" s="69">
        <f t="array" ref="T12">SUM($B$14:$B$17*(T4&gt;=$D$14:$D$17)*(T4&lt;=$E$14:$E$17))</f>
        <v>2</v>
      </c>
      <c r="U12" s="69">
        <f t="array" ref="U12">SUM($B$14:$B$17*(U4&gt;=$D$14:$D$17)*(U4&lt;=$E$14:$E$17))</f>
        <v>2</v>
      </c>
      <c r="V12" s="69">
        <f t="array" ref="V12">SUM($B$14:$B$17*(V4&gt;=$D$14:$D$17)*(V4&lt;=$E$14:$E$17))</f>
        <v>2</v>
      </c>
      <c r="W12" s="69">
        <f t="array" ref="W12">SUM($B$14:$B$17*(W4&gt;=$D$14:$D$17)*(W4&lt;=$E$14:$E$17))</f>
        <v>2</v>
      </c>
      <c r="X12" s="69">
        <f t="array" ref="X12">SUM($B$14:$B$17*(X4&gt;=$D$14:$D$17)*(X4&lt;=$E$14:$E$17))</f>
        <v>2</v>
      </c>
      <c r="Y12" s="69">
        <f t="array" ref="Y12">SUM($B$14:$B$17*(Y4&gt;=$D$14:$D$17)*(Y4&lt;=$E$14:$E$17))</f>
        <v>2</v>
      </c>
      <c r="Z12" s="69">
        <f t="array" ref="Z12">SUM($B$14:$B$17*(Z4&gt;=$D$14:$D$17)*(Z4&lt;=$E$14:$E$17))</f>
        <v>2</v>
      </c>
      <c r="AA12" s="69">
        <f t="array" ref="AA12">SUM($B$14:$B$17*(AA4&gt;=$D$14:$D$17)*(AA4&lt;=$E$14:$E$17))</f>
        <v>2</v>
      </c>
      <c r="AB12" s="69">
        <f t="array" ref="AB12">SUM($B$14:$B$17*(AB4&gt;=$D$14:$D$17)*(AB4&lt;=$E$14:$E$17))</f>
        <v>2</v>
      </c>
      <c r="AC12" s="69">
        <f t="array" ref="AC12">SUM($B$14:$B$17*(AC4&gt;=$D$14:$D$17)*(AC4&lt;=$E$14:$E$17))</f>
        <v>2</v>
      </c>
      <c r="AD12" s="69">
        <f t="array" ref="AD12">SUM($B$14:$B$17*(AD4&gt;=$D$14:$D$17)*(AD4&lt;=$E$14:$E$17))</f>
        <v>2</v>
      </c>
      <c r="AE12" s="69">
        <f t="array" ref="AE12">SUM($B$14:$B$17*(AE4&gt;=$D$14:$D$17)*(AE4&lt;=$E$14:$E$17))</f>
        <v>3</v>
      </c>
      <c r="AF12" s="69">
        <f t="array" ref="AF12">SUM($B$14:$B$17*(AF4&gt;=$D$14:$D$17)*(AF4&lt;=$E$14:$E$17))</f>
        <v>3</v>
      </c>
      <c r="AG12" s="69">
        <f t="array" ref="AG12">SUM($B$14:$B$17*(AG4&gt;=$D$14:$D$17)*(AG4&lt;=$E$14:$E$17))</f>
        <v>3</v>
      </c>
      <c r="AH12" s="69">
        <f t="array" ref="AH12">SUM($B$14:$B$17*(AH4&gt;=$D$14:$D$17)*(AH4&lt;=$E$14:$E$17))</f>
        <v>3</v>
      </c>
      <c r="AI12" s="69">
        <f t="array" ref="AI12">SUM($B$14:$B$17*(AI4&gt;=$D$14:$D$17)*(AI4&lt;=$E$14:$E$17))</f>
        <v>3</v>
      </c>
      <c r="AJ12" s="69">
        <f t="array" ref="AJ12">SUM($B$14:$B$17*(AJ4&gt;=$D$14:$D$17)*(AJ4&lt;=$E$14:$E$17))</f>
        <v>3</v>
      </c>
      <c r="AK12" s="69">
        <f t="array" ref="AK12">SUM($B$14:$B$17*(AK4&gt;=$D$14:$D$17)*(AK4&lt;=$E$14:$E$17))</f>
        <v>3</v>
      </c>
      <c r="AL12" s="69">
        <f t="array" ref="AL12">SUM($B$14:$B$17*(AL4&gt;=$D$14:$D$17)*(AL4&lt;=$E$14:$E$17))</f>
        <v>3</v>
      </c>
      <c r="AM12" s="69">
        <f t="array" ref="AM12">SUM($B$14:$B$17*(AM4&gt;=$D$14:$D$17)*(AM4&lt;=$E$14:$E$17))</f>
        <v>3</v>
      </c>
      <c r="AN12" s="69">
        <f t="array" ref="AN12">SUM($B$14:$B$17*(AN4&gt;=$D$14:$D$17)*(AN4&lt;=$E$14:$E$17))</f>
        <v>3</v>
      </c>
      <c r="AO12" s="69">
        <f t="array" ref="AO12">SUM($B$14:$B$17*(AO4&gt;=$D$14:$D$17)*(AO4&lt;=$E$14:$E$17))</f>
        <v>4</v>
      </c>
      <c r="AP12" s="69">
        <f t="array" ref="AP12">SUM($B$14:$B$17*(AP4&gt;=$D$14:$D$17)*(AP4&lt;=$E$14:$E$17))</f>
        <v>4</v>
      </c>
      <c r="AQ12" s="69">
        <f t="array" ref="AQ12">SUM($B$14:$B$17*(AQ4&gt;=$D$14:$D$17)*(AQ4&lt;=$E$14:$E$17))</f>
        <v>4</v>
      </c>
      <c r="AR12" s="69">
        <f t="array" ref="AR12">SUM($B$14:$B$17*(AR4&gt;=$D$14:$D$17)*(AR4&lt;=$E$14:$E$17))</f>
        <v>4</v>
      </c>
      <c r="AS12" s="69">
        <f t="array" ref="AS12">SUM($B$14:$B$17*(AS4&gt;=$D$14:$D$17)*(AS4&lt;=$E$14:$E$17))</f>
        <v>4</v>
      </c>
      <c r="AT12" s="69">
        <f t="array" ref="AT12">SUM($B$14:$B$17*(AT4&gt;=$D$14:$D$17)*(AT4&lt;=$E$14:$E$17))</f>
        <v>4</v>
      </c>
      <c r="AU12" s="69">
        <f t="array" ref="AU12">SUM($B$14:$B$17*(AU4&gt;=$D$14:$D$17)*(AU4&lt;=$E$14:$E$17))</f>
        <v>4</v>
      </c>
      <c r="AV12" s="69">
        <f t="array" ref="AV12">SUM($B$14:$B$17*(AV4&gt;=$D$14:$D$17)*(AV4&lt;=$E$14:$E$17))</f>
        <v>4</v>
      </c>
      <c r="AW12" s="69">
        <f t="array" ref="AW12">SUM($B$14:$B$17*(AW4&gt;=$D$14:$D$17)*(AW4&lt;=$E$14:$E$17))</f>
        <v>4</v>
      </c>
      <c r="AX12" s="69">
        <f t="array" ref="AX12">SUM($B$14:$B$17*(AX4&gt;=$D$14:$D$17)*(AX4&lt;=$E$14:$E$17))</f>
        <v>4</v>
      </c>
      <c r="AY12" s="69">
        <f t="array" ref="AY12">SUM($B$14:$B$17*(AY4&gt;=$D$14:$D$17)*(AY4&lt;=$E$14:$E$17))</f>
        <v>4</v>
      </c>
      <c r="AZ12" s="69">
        <f t="array" ref="AZ12">SUM($B$14:$B$17*(AZ4&gt;=$D$14:$D$17)*(AZ4&lt;=$E$14:$E$17))</f>
        <v>4</v>
      </c>
      <c r="BA12" s="69">
        <f t="array" ref="BA12">SUM($B$14:$B$17*(BA4&gt;=$D$14:$D$17)*(BA4&lt;=$E$14:$E$17))</f>
        <v>4</v>
      </c>
      <c r="BB12" s="69">
        <f t="array" ref="BB12">SUM($B$14:$B$17*(BB4&gt;=$D$14:$D$17)*(BB4&lt;=$E$14:$E$17))</f>
        <v>4</v>
      </c>
      <c r="BC12" s="69">
        <f t="array" ref="BC12">SUM($B$14:$B$17*(BC4&gt;=$D$14:$D$17)*(BC4&lt;=$E$14:$E$17))</f>
        <v>4</v>
      </c>
      <c r="BD12" s="69">
        <f t="array" ref="BD12">SUM($B$14:$B$17*(BD4&gt;=$D$14:$D$17)*(BD4&lt;=$E$14:$E$17))</f>
        <v>4</v>
      </c>
      <c r="BE12" s="69">
        <f t="array" ref="BE12">SUM($B$14:$B$17*(BE4&gt;=$D$14:$D$17)*(BE4&lt;=$E$14:$E$17))</f>
        <v>4</v>
      </c>
      <c r="BF12" s="69">
        <f t="array" ref="BF12">SUM($B$14:$B$17*(BF4&gt;=$D$14:$D$17)*(BF4&lt;=$E$14:$E$17))</f>
        <v>4</v>
      </c>
      <c r="BG12" s="69">
        <f t="array" ref="BG12">SUM($B$14:$B$17*(BG4&gt;=$D$14:$D$17)*(BG4&lt;=$E$14:$E$17))</f>
        <v>4</v>
      </c>
      <c r="BH12" s="69">
        <f t="array" ref="BH12">SUM($B$14:$B$17*(BH4&gt;=$D$14:$D$17)*(BH4&lt;=$E$14:$E$17))</f>
        <v>4</v>
      </c>
      <c r="BI12" s="69">
        <f t="array" ref="BI12">SUM($B$14:$B$17*(BI4&gt;=$D$14:$D$17)*(BI4&lt;=$E$14:$E$17))</f>
        <v>4</v>
      </c>
      <c r="BJ12" s="69">
        <f t="array" ref="BJ12">SUM($B$14:$B$17*(BJ4&gt;=$D$14:$D$17)*(BJ4&lt;=$E$14:$E$17))</f>
        <v>4</v>
      </c>
      <c r="BK12" s="69">
        <f t="array" ref="BK12">SUM($B$14:$B$17*(BK4&gt;=$D$14:$D$17)*(BK4&lt;=$E$14:$E$17))</f>
        <v>4</v>
      </c>
      <c r="BL12" s="69">
        <f t="array" ref="BL12">SUM($B$14:$B$17*(BL4&gt;=$D$14:$D$17)*(BL4&lt;=$E$14:$E$17))</f>
        <v>4</v>
      </c>
      <c r="BM12" s="69">
        <f t="array" ref="BM12">SUM($B$14:$B$17*(BM4&gt;=$D$14:$D$17)*(BM4&lt;=$E$14:$E$17))</f>
        <v>4</v>
      </c>
      <c r="BN12" s="69">
        <f t="array" ref="BN12">SUM($B$14:$B$17*(BN4&gt;=$D$14:$D$17)*(BN4&lt;=$E$14:$E$17))</f>
        <v>4</v>
      </c>
      <c r="BO12" s="69">
        <f t="array" ref="BO12">SUM($B$14:$B$17*(BO4&gt;=$D$14:$D$17)*(BO4&lt;=$E$14:$E$17))</f>
        <v>4</v>
      </c>
      <c r="BP12" s="69">
        <f t="array" ref="BP12">SUM($B$14:$B$17*(BP4&gt;=$D$14:$D$17)*(BP4&lt;=$E$14:$E$17))</f>
        <v>4</v>
      </c>
      <c r="BQ12" s="69">
        <f t="array" ref="BQ12">SUM($B$14:$B$17*(BQ4&gt;=$D$14:$D$17)*(BQ4&lt;=$E$14:$E$17))</f>
        <v>4</v>
      </c>
      <c r="BR12" s="69">
        <f t="array" ref="BR12">SUM($B$14:$B$17*(BR4&gt;=$D$14:$D$17)*(BR4&lt;=$E$14:$E$17))</f>
        <v>4</v>
      </c>
    </row>
    <row r="13" spans="1:70">
      <c r="A13" t="s">
        <v>16</v>
      </c>
      <c r="B13" s="370" t="s">
        <v>214</v>
      </c>
      <c r="C13" s="371"/>
      <c r="D13" s="70" t="s">
        <v>215</v>
      </c>
      <c r="E13" s="70" t="s">
        <v>216</v>
      </c>
      <c r="L13" s="69"/>
      <c r="M13" s="70"/>
    </row>
    <row r="14" spans="1:70">
      <c r="A14" t="s">
        <v>16</v>
      </c>
      <c r="B14" s="223">
        <v>1</v>
      </c>
      <c r="C14" s="70" t="s">
        <v>97</v>
      </c>
      <c r="D14" s="75">
        <v>2012</v>
      </c>
      <c r="E14" s="75">
        <f>D14+5</f>
        <v>2017</v>
      </c>
      <c r="L14" s="69"/>
      <c r="M14" s="70"/>
      <c r="R14" s="70">
        <f>R10/Q10</f>
        <v>1.016232006845156</v>
      </c>
      <c r="S14" s="70">
        <f t="shared" ref="S14:V14" si="11">S10/R10</f>
        <v>1.0132880512724867</v>
      </c>
      <c r="T14" s="70">
        <f t="shared" si="11"/>
        <v>0.93596801677808361</v>
      </c>
      <c r="U14" s="70">
        <f t="shared" si="11"/>
        <v>1.0509937108419067</v>
      </c>
      <c r="V14" s="70">
        <f t="shared" si="11"/>
        <v>1.0191040616938081</v>
      </c>
    </row>
    <row r="15" spans="1:70">
      <c r="A15" t="s">
        <v>16</v>
      </c>
      <c r="B15" s="223">
        <v>2</v>
      </c>
      <c r="C15" s="70" t="s">
        <v>217</v>
      </c>
      <c r="D15" s="75">
        <f>E14+1</f>
        <v>2018</v>
      </c>
      <c r="E15" s="75">
        <v>2030</v>
      </c>
      <c r="L15" s="69"/>
      <c r="M15" s="70"/>
    </row>
    <row r="16" spans="1:70">
      <c r="A16" t="s">
        <v>16</v>
      </c>
      <c r="B16" s="223">
        <v>3</v>
      </c>
      <c r="C16" s="70" t="s">
        <v>100</v>
      </c>
      <c r="D16" s="75">
        <v>2031</v>
      </c>
      <c r="E16" s="75">
        <v>2040</v>
      </c>
      <c r="L16" s="69"/>
      <c r="M16" s="70"/>
    </row>
    <row r="17" spans="1:70">
      <c r="A17" t="s">
        <v>16</v>
      </c>
      <c r="B17" s="223">
        <v>4</v>
      </c>
      <c r="C17" s="70" t="s">
        <v>218</v>
      </c>
      <c r="D17" s="75">
        <v>2041</v>
      </c>
      <c r="E17" s="75">
        <v>2070</v>
      </c>
      <c r="L17" s="69"/>
      <c r="M17" s="70"/>
    </row>
    <row r="18" spans="1:70">
      <c r="A18" t="s">
        <v>16</v>
      </c>
      <c r="B18" s="223"/>
      <c r="L18" s="69"/>
      <c r="M18" s="70"/>
    </row>
    <row r="19" spans="1:70" ht="15.75" thickBot="1">
      <c r="A19" t="s">
        <v>16</v>
      </c>
      <c r="B19" s="67" t="s">
        <v>494</v>
      </c>
      <c r="C19" s="67" t="s">
        <v>219</v>
      </c>
      <c r="D19" s="67"/>
      <c r="E19" s="68"/>
      <c r="F19" s="68"/>
      <c r="G19" s="68"/>
      <c r="H19" s="68"/>
      <c r="I19" s="68"/>
      <c r="J19" s="68"/>
      <c r="K19" s="68"/>
      <c r="L19" s="69"/>
      <c r="M19" s="70"/>
    </row>
    <row r="20" spans="1:70">
      <c r="A20" t="s">
        <v>16</v>
      </c>
      <c r="B20" s="72">
        <f>'[13]SA GDP'!$I$30</f>
        <v>0.44318133021912642</v>
      </c>
      <c r="C20" s="76">
        <v>0.01</v>
      </c>
      <c r="L20" s="69"/>
      <c r="M20" s="70"/>
      <c r="N20" s="77"/>
      <c r="O20" s="77"/>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row>
    <row r="21" spans="1:70">
      <c r="A21" t="s">
        <v>16</v>
      </c>
      <c r="B21" s="223"/>
      <c r="L21" s="78"/>
      <c r="M21" s="79"/>
      <c r="N21" s="77"/>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row>
    <row r="22" spans="1:70" ht="19.5" thickBot="1">
      <c r="A22" t="s">
        <v>16</v>
      </c>
      <c r="B22" s="146" t="s">
        <v>61</v>
      </c>
      <c r="C22" s="67"/>
      <c r="D22" s="67"/>
      <c r="E22" s="80">
        <v>2006</v>
      </c>
      <c r="F22" s="80">
        <v>2010</v>
      </c>
      <c r="G22" s="80">
        <v>2020</v>
      </c>
      <c r="H22" s="80">
        <v>2030</v>
      </c>
      <c r="I22" s="80">
        <v>2050</v>
      </c>
      <c r="L22" s="69">
        <f t="shared" ref="L22:BR22" si="12">L4</f>
        <v>2012</v>
      </c>
      <c r="M22" s="70">
        <f t="shared" si="12"/>
        <v>2013</v>
      </c>
      <c r="N22" s="70">
        <f t="shared" si="12"/>
        <v>2014</v>
      </c>
      <c r="O22" s="70">
        <f t="shared" si="12"/>
        <v>2015</v>
      </c>
      <c r="P22" s="70">
        <f t="shared" si="12"/>
        <v>2016</v>
      </c>
      <c r="Q22" s="70">
        <f t="shared" si="12"/>
        <v>2017</v>
      </c>
      <c r="R22" s="70">
        <f t="shared" si="12"/>
        <v>2018</v>
      </c>
      <c r="S22" s="70">
        <f t="shared" si="12"/>
        <v>2019</v>
      </c>
      <c r="T22" s="70">
        <f t="shared" si="12"/>
        <v>2020</v>
      </c>
      <c r="U22" s="70">
        <f t="shared" si="12"/>
        <v>2021</v>
      </c>
      <c r="V22" s="70">
        <f t="shared" si="12"/>
        <v>2022</v>
      </c>
      <c r="W22" s="70">
        <f t="shared" si="12"/>
        <v>2023</v>
      </c>
      <c r="X22" s="70">
        <f t="shared" si="12"/>
        <v>2024</v>
      </c>
      <c r="Y22" s="70">
        <f t="shared" si="12"/>
        <v>2025</v>
      </c>
      <c r="Z22" s="70">
        <f t="shared" si="12"/>
        <v>2026</v>
      </c>
      <c r="AA22" s="70">
        <f t="shared" si="12"/>
        <v>2027</v>
      </c>
      <c r="AB22" s="70">
        <f t="shared" si="12"/>
        <v>2028</v>
      </c>
      <c r="AC22" s="70">
        <f t="shared" si="12"/>
        <v>2029</v>
      </c>
      <c r="AD22" s="70">
        <f t="shared" si="12"/>
        <v>2030</v>
      </c>
      <c r="AE22" s="70">
        <f t="shared" si="12"/>
        <v>2031</v>
      </c>
      <c r="AF22" s="70">
        <f t="shared" si="12"/>
        <v>2032</v>
      </c>
      <c r="AG22" s="70">
        <f t="shared" si="12"/>
        <v>2033</v>
      </c>
      <c r="AH22" s="70">
        <f t="shared" si="12"/>
        <v>2034</v>
      </c>
      <c r="AI22" s="70">
        <f t="shared" si="12"/>
        <v>2035</v>
      </c>
      <c r="AJ22" s="70">
        <f t="shared" si="12"/>
        <v>2036</v>
      </c>
      <c r="AK22" s="70">
        <f t="shared" si="12"/>
        <v>2037</v>
      </c>
      <c r="AL22" s="70">
        <f t="shared" si="12"/>
        <v>2038</v>
      </c>
      <c r="AM22" s="70">
        <f t="shared" si="12"/>
        <v>2039</v>
      </c>
      <c r="AN22" s="70">
        <f t="shared" si="12"/>
        <v>2040</v>
      </c>
      <c r="AO22" s="70">
        <f t="shared" si="12"/>
        <v>2041</v>
      </c>
      <c r="AP22" s="70">
        <f t="shared" si="12"/>
        <v>2042</v>
      </c>
      <c r="AQ22" s="70">
        <f t="shared" si="12"/>
        <v>2043</v>
      </c>
      <c r="AR22" s="70">
        <f t="shared" si="12"/>
        <v>2044</v>
      </c>
      <c r="AS22" s="70">
        <f t="shared" si="12"/>
        <v>2045</v>
      </c>
      <c r="AT22" s="70">
        <f t="shared" si="12"/>
        <v>2046</v>
      </c>
      <c r="AU22" s="70">
        <f t="shared" si="12"/>
        <v>2047</v>
      </c>
      <c r="AV22" s="70">
        <f t="shared" si="12"/>
        <v>2048</v>
      </c>
      <c r="AW22" s="70">
        <f t="shared" si="12"/>
        <v>2049</v>
      </c>
      <c r="AX22" s="70">
        <f t="shared" si="12"/>
        <v>2050</v>
      </c>
      <c r="AY22" s="70">
        <f t="shared" si="12"/>
        <v>2051</v>
      </c>
      <c r="AZ22" s="70">
        <f t="shared" si="12"/>
        <v>2052</v>
      </c>
      <c r="BA22" s="70">
        <f t="shared" si="12"/>
        <v>2053</v>
      </c>
      <c r="BB22" s="70">
        <f t="shared" si="12"/>
        <v>2054</v>
      </c>
      <c r="BC22" s="70">
        <f t="shared" si="12"/>
        <v>2055</v>
      </c>
      <c r="BD22" s="70">
        <f t="shared" si="12"/>
        <v>2056</v>
      </c>
      <c r="BE22" s="70">
        <f t="shared" si="12"/>
        <v>2057</v>
      </c>
      <c r="BF22" s="70">
        <f t="shared" si="12"/>
        <v>2058</v>
      </c>
      <c r="BG22" s="70">
        <f t="shared" si="12"/>
        <v>2059</v>
      </c>
      <c r="BH22" s="70">
        <f t="shared" si="12"/>
        <v>2060</v>
      </c>
      <c r="BI22" s="70">
        <f t="shared" si="12"/>
        <v>2061</v>
      </c>
      <c r="BJ22" s="70">
        <f t="shared" si="12"/>
        <v>2062</v>
      </c>
      <c r="BK22" s="70">
        <f t="shared" si="12"/>
        <v>2063</v>
      </c>
      <c r="BL22" s="70">
        <f t="shared" si="12"/>
        <v>2064</v>
      </c>
      <c r="BM22" s="70">
        <f t="shared" si="12"/>
        <v>2065</v>
      </c>
      <c r="BN22" s="70">
        <f t="shared" si="12"/>
        <v>2066</v>
      </c>
      <c r="BO22" s="70">
        <f t="shared" si="12"/>
        <v>2067</v>
      </c>
      <c r="BP22" s="70">
        <f t="shared" si="12"/>
        <v>2068</v>
      </c>
      <c r="BQ22" s="70">
        <f t="shared" si="12"/>
        <v>2069</v>
      </c>
      <c r="BR22" s="70">
        <f t="shared" si="12"/>
        <v>2070</v>
      </c>
    </row>
    <row r="23" spans="1:70">
      <c r="A23" t="s">
        <v>16</v>
      </c>
      <c r="B23" s="223" t="str">
        <f>B10</f>
        <v>COM</v>
      </c>
      <c r="C23" s="70" t="str">
        <f>C10</f>
        <v>Commercial</v>
      </c>
      <c r="D23" s="70" t="s">
        <v>62</v>
      </c>
      <c r="L23" s="185">
        <f>[13]Forecast!I$8</f>
        <v>132.81548999999998</v>
      </c>
      <c r="M23" s="185">
        <f>[13]Forecast!J$8</f>
        <v>134.00787499999998</v>
      </c>
      <c r="N23" s="185">
        <f>[13]Forecast!K$8</f>
        <v>135.598851</v>
      </c>
      <c r="O23" s="185">
        <f>[13]Forecast!L$8</f>
        <v>136.99421599999999</v>
      </c>
      <c r="P23" s="185">
        <f>[13]Forecast!M$8</f>
        <v>138.328236</v>
      </c>
      <c r="Q23" s="186">
        <f>IF(Q10/P10&lt;1,P23,(1+$B$20*(Q10/P10-1))*P23)</f>
        <v>139.22563422464734</v>
      </c>
      <c r="R23" s="271">
        <f t="shared" ref="R23:AQ23" si="13">IF(R10/Q10&lt;1,Q23,(1+$B$20*(R10/Q10-1))*Q23)</f>
        <v>140.22718478624111</v>
      </c>
      <c r="S23" s="271">
        <f t="shared" si="13"/>
        <v>141.05298495459101</v>
      </c>
      <c r="T23" s="271">
        <f t="shared" si="13"/>
        <v>141.05298495459101</v>
      </c>
      <c r="U23" s="271">
        <f t="shared" si="13"/>
        <v>144.2407063311102</v>
      </c>
      <c r="V23" s="271">
        <f t="shared" si="13"/>
        <v>145.46192942680437</v>
      </c>
      <c r="W23" s="186">
        <f t="shared" si="13"/>
        <v>145.59086144956359</v>
      </c>
      <c r="X23" s="186">
        <f t="shared" si="13"/>
        <v>146.23609296601325</v>
      </c>
      <c r="Y23" s="186">
        <f t="shared" si="13"/>
        <v>146.94899313428721</v>
      </c>
      <c r="Z23" s="186">
        <f t="shared" si="13"/>
        <v>147.86074383780982</v>
      </c>
      <c r="AA23" s="186">
        <f t="shared" si="13"/>
        <v>148.9092097760695</v>
      </c>
      <c r="AB23" s="186">
        <f t="shared" si="13"/>
        <v>150.09709784613739</v>
      </c>
      <c r="AC23" s="186">
        <f t="shared" si="13"/>
        <v>151.56265310675622</v>
      </c>
      <c r="AD23" s="186">
        <f t="shared" si="13"/>
        <v>153.32373311689403</v>
      </c>
      <c r="AE23" s="186">
        <f t="shared" si="13"/>
        <v>155.32000285140711</v>
      </c>
      <c r="AF23" s="186">
        <f t="shared" si="13"/>
        <v>157.39038802288925</v>
      </c>
      <c r="AG23" s="186">
        <f t="shared" si="13"/>
        <v>159.55115983647553</v>
      </c>
      <c r="AH23" s="186">
        <f t="shared" si="13"/>
        <v>161.98117773056944</v>
      </c>
      <c r="AI23" s="186">
        <f t="shared" si="13"/>
        <v>164.50841828327606</v>
      </c>
      <c r="AJ23" s="186">
        <f t="shared" si="13"/>
        <v>167.13624111210763</v>
      </c>
      <c r="AK23" s="186">
        <f t="shared" si="13"/>
        <v>169.87741244882298</v>
      </c>
      <c r="AL23" s="186">
        <f t="shared" si="13"/>
        <v>172.68981057721783</v>
      </c>
      <c r="AM23" s="186">
        <f t="shared" si="13"/>
        <v>175.48827489925748</v>
      </c>
      <c r="AN23" s="186">
        <f t="shared" si="13"/>
        <v>178.24211278190532</v>
      </c>
      <c r="AO23" s="186">
        <f t="shared" si="13"/>
        <v>181.18553467962417</v>
      </c>
      <c r="AP23" s="186">
        <f t="shared" si="13"/>
        <v>184.07008051312263</v>
      </c>
      <c r="AQ23" s="186">
        <f t="shared" si="13"/>
        <v>186.89892877932769</v>
      </c>
      <c r="AR23" s="81">
        <f t="shared" ref="AR23:AX23" si="14">(1+$B$20*(AR10/AQ10-1))*AQ23</f>
        <v>189.67498560357549</v>
      </c>
      <c r="AS23" s="81">
        <f t="shared" si="14"/>
        <v>192.40091615531574</v>
      </c>
      <c r="AT23" s="81">
        <f t="shared" si="14"/>
        <v>195.62848558000229</v>
      </c>
      <c r="AU23" s="81">
        <f t="shared" si="14"/>
        <v>198.7905097852715</v>
      </c>
      <c r="AV23" s="81">
        <f t="shared" si="14"/>
        <v>201.89057942380379</v>
      </c>
      <c r="AW23" s="81">
        <f t="shared" si="14"/>
        <v>204.93197308084413</v>
      </c>
      <c r="AX23" s="81">
        <f t="shared" si="14"/>
        <v>207.91769376372429</v>
      </c>
      <c r="AY23" s="81">
        <f t="shared" ref="AY23" si="15">(1+$B$20*(AY10/AX10-1))*AX23</f>
        <v>210.68801609161227</v>
      </c>
      <c r="AZ23" s="81">
        <f t="shared" ref="AZ23" si="16">(1+$B$20*(AZ10/AY10-1))*AY23</f>
        <v>213.41331515641122</v>
      </c>
      <c r="BA23" s="81">
        <f t="shared" ref="BA23" si="17">(1+$B$20*(BA10/AZ10-1))*AZ23</f>
        <v>216.09557876178462</v>
      </c>
      <c r="BB23" s="81">
        <f t="shared" ref="BB23" si="18">(1+$B$20*(BB10/BA10-1))*BA23</f>
        <v>218.73665455047552</v>
      </c>
      <c r="BC23" s="81">
        <f t="shared" ref="BC23" si="19">(1+$B$20*(BC10/BB10-1))*BB23</f>
        <v>221.33826338342922</v>
      </c>
      <c r="BD23" s="81">
        <f t="shared" ref="BD23" si="20">(1+$B$20*(BD10/BC10-1))*BC23</f>
        <v>223.90201112550909</v>
      </c>
      <c r="BE23" s="81">
        <f t="shared" ref="BE23" si="21">(1+$B$20*(BE10/BD10-1))*BD23</f>
        <v>226.4293990633258</v>
      </c>
      <c r="BF23" s="81">
        <f t="shared" ref="BF23" si="22">(1+$B$20*(BF10/BE10-1))*BE23</f>
        <v>228.92183314397221</v>
      </c>
      <c r="BG23" s="81">
        <f t="shared" ref="BG23" si="23">(1+$B$20*(BG10/BF10-1))*BF23</f>
        <v>231.38063219345699</v>
      </c>
      <c r="BH23" s="81">
        <f t="shared" ref="BH23" si="24">(1+$B$20*(BH10/BG10-1))*BG23</f>
        <v>233.80703524899192</v>
      </c>
      <c r="BI23" s="81">
        <f t="shared" ref="BI23" si="25">(1+$B$20*(BI10/BH10-1))*BH23</f>
        <v>234.73544842279796</v>
      </c>
      <c r="BJ23" s="81">
        <f t="shared" ref="BJ23" si="26">(1+$B$20*(BJ10/BI10-1))*BI23</f>
        <v>235.65927084867062</v>
      </c>
      <c r="BK23" s="81">
        <f t="shared" ref="BK23" si="27">(1+$B$20*(BK10/BJ10-1))*BJ23</f>
        <v>236.57856543523519</v>
      </c>
      <c r="BL23" s="81">
        <f t="shared" ref="BL23" si="28">(1+$B$20*(BL10/BK10-1))*BK23</f>
        <v>237.49339368768025</v>
      </c>
      <c r="BM23" s="81">
        <f t="shared" ref="BM23" si="29">(1+$B$20*(BM10/BL10-1))*BL23</f>
        <v>238.40381575093585</v>
      </c>
      <c r="BN23" s="81">
        <f t="shared" ref="BN23" si="30">(1+$B$20*(BN10/BM10-1))*BM23</f>
        <v>239.30989045116419</v>
      </c>
      <c r="BO23" s="81">
        <f t="shared" ref="BO23" si="31">(1+$B$20*(BO10/BN10-1))*BN23</f>
        <v>240.21167533564326</v>
      </c>
      <c r="BP23" s="81">
        <f t="shared" ref="BP23" si="32">(1+$B$20*(BP10/BO10-1))*BO23</f>
        <v>241.10922671111754</v>
      </c>
      <c r="BQ23" s="81">
        <f t="shared" ref="BQ23" si="33">(1+$B$20*(BQ10/BP10-1))*BP23</f>
        <v>242.00259968068804</v>
      </c>
      <c r="BR23" s="81">
        <f t="shared" ref="BR23" si="34">(1+$B$20*(BR10/BQ10-1))*BQ23</f>
        <v>242.89184817930843</v>
      </c>
    </row>
    <row r="24" spans="1:70">
      <c r="A24" t="s">
        <v>16</v>
      </c>
      <c r="B24" s="223" t="str">
        <f>B23 &amp; "-" &amp; "indexed"</f>
        <v>COM-indexed</v>
      </c>
      <c r="C24" s="70" t="str">
        <f>C23 &amp;"-" &amp; "indexed"</f>
        <v>Commercial-indexed</v>
      </c>
      <c r="I24" s="132"/>
      <c r="L24" s="72">
        <f>M24*(1+((L23-M23)/M23))</f>
        <v>0.95395859203410593</v>
      </c>
      <c r="M24" s="72">
        <f>N24*(1+((M23-N23)/N23))</f>
        <v>0.96252299906044436</v>
      </c>
      <c r="N24" s="72">
        <f>O24*(1+((N23-O23)/O23))</f>
        <v>0.97395031996194503</v>
      </c>
      <c r="O24" s="72">
        <f>P24*(1+((O23-P23)/P23))</f>
        <v>0.98397264816156749</v>
      </c>
      <c r="P24" s="72">
        <f>Q24*(1+((P23-Q23)/Q23))</f>
        <v>0.99355436066321423</v>
      </c>
      <c r="Q24" s="72">
        <v>1</v>
      </c>
      <c r="R24" s="72">
        <f t="shared" ref="R24:AX24" si="35">Q24*(1+((R23-Q23)/Q23))</f>
        <v>1.0071937223857621</v>
      </c>
      <c r="S24" s="72">
        <f t="shared" si="35"/>
        <v>1.0131251025726711</v>
      </c>
      <c r="T24" s="72">
        <f t="shared" si="35"/>
        <v>1.0131251025726711</v>
      </c>
      <c r="U24" s="72">
        <f t="shared" si="35"/>
        <v>1.0360211834149076</v>
      </c>
      <c r="V24" s="72">
        <f t="shared" si="35"/>
        <v>1.0447927225247504</v>
      </c>
      <c r="W24" s="72">
        <f t="shared" si="35"/>
        <v>1.0457187877818941</v>
      </c>
      <c r="X24" s="72">
        <f t="shared" si="35"/>
        <v>1.0503532182159372</v>
      </c>
      <c r="Y24" s="72">
        <f t="shared" si="35"/>
        <v>1.0554736845168746</v>
      </c>
      <c r="Z24" s="72">
        <f t="shared" si="35"/>
        <v>1.0620224117580912</v>
      </c>
      <c r="AA24" s="72">
        <f t="shared" si="35"/>
        <v>1.069553107840739</v>
      </c>
      <c r="AB24" s="72">
        <f t="shared" si="35"/>
        <v>1.0780852152840505</v>
      </c>
      <c r="AC24" s="72">
        <f t="shared" si="35"/>
        <v>1.0886116910209402</v>
      </c>
      <c r="AD24" s="72">
        <f t="shared" si="35"/>
        <v>1.1012607984927456</v>
      </c>
      <c r="AE24" s="72">
        <f t="shared" si="35"/>
        <v>1.115599176232092</v>
      </c>
      <c r="AF24" s="72">
        <f t="shared" si="35"/>
        <v>1.1304698944228346</v>
      </c>
      <c r="AG24" s="72">
        <f t="shared" si="35"/>
        <v>1.1459898223845186</v>
      </c>
      <c r="AH24" s="72">
        <f t="shared" si="35"/>
        <v>1.1634436332981968</v>
      </c>
      <c r="AI24" s="72">
        <f t="shared" si="35"/>
        <v>1.1815957542548075</v>
      </c>
      <c r="AJ24" s="72">
        <f t="shared" si="35"/>
        <v>1.2004703159938579</v>
      </c>
      <c r="AK24" s="72">
        <f t="shared" si="35"/>
        <v>1.2201590130644875</v>
      </c>
      <c r="AL24" s="72">
        <f t="shared" si="35"/>
        <v>1.24035930264519</v>
      </c>
      <c r="AM24" s="72">
        <f t="shared" si="35"/>
        <v>1.2604595114725685</v>
      </c>
      <c r="AN24" s="72">
        <f t="shared" si="35"/>
        <v>1.2802391870903818</v>
      </c>
      <c r="AO24" s="72">
        <f t="shared" si="35"/>
        <v>1.301380566076449</v>
      </c>
      <c r="AP24" s="72">
        <f t="shared" si="35"/>
        <v>1.3220990627064886</v>
      </c>
      <c r="AQ24" s="72">
        <f t="shared" si="35"/>
        <v>1.3424175068059465</v>
      </c>
      <c r="AR24" s="72">
        <f t="shared" si="35"/>
        <v>1.3623567718680722</v>
      </c>
      <c r="AS24" s="72">
        <f t="shared" si="35"/>
        <v>1.3819360006998966</v>
      </c>
      <c r="AT24" s="72">
        <f t="shared" si="35"/>
        <v>1.4051182935489184</v>
      </c>
      <c r="AU24" s="72">
        <f t="shared" si="35"/>
        <v>1.4278298022655325</v>
      </c>
      <c r="AV24" s="72">
        <f t="shared" si="35"/>
        <v>1.4500963170190597</v>
      </c>
      <c r="AW24" s="72">
        <f t="shared" si="35"/>
        <v>1.4719413865278321</v>
      </c>
      <c r="AX24" s="72">
        <f t="shared" si="35"/>
        <v>1.4933865801483011</v>
      </c>
      <c r="AY24" s="72">
        <f t="shared" ref="AY24" si="36">AX24*(1+((AY23-AX23)/AX23))</f>
        <v>1.5132846567009131</v>
      </c>
      <c r="AZ24" s="72">
        <f t="shared" ref="AZ24" si="37">AY24*(1+((AZ23-AY23)/AY23))</f>
        <v>1.5328593498238874</v>
      </c>
      <c r="BA24" s="72">
        <f t="shared" ref="BA24" si="38">AZ24*(1+((BA23-AZ23)/AZ23))</f>
        <v>1.5521249370866859</v>
      </c>
      <c r="BB24" s="72">
        <f t="shared" ref="BB24" si="39">BA24*(1+((BB23-BA23)/BA23))</f>
        <v>1.5710946893409969</v>
      </c>
      <c r="BC24" s="72">
        <f t="shared" ref="BC24" si="40">BB24*(1+((BC23-BB23)/BB23))</f>
        <v>1.589780966817427</v>
      </c>
      <c r="BD24" s="72">
        <f t="shared" ref="BD24" si="41">BC24*(1+((BD23-BC23)/BC23))</f>
        <v>1.608195303777409</v>
      </c>
      <c r="BE24" s="72">
        <f t="shared" ref="BE24" si="42">BD24*(1+((BE23-BD23)/BD23))</f>
        <v>1.6263484833401514</v>
      </c>
      <c r="BF24" s="72">
        <f t="shared" ref="BF24" si="43">BE24*(1+((BF23-BE23)/BE23))</f>
        <v>1.6442506038406388</v>
      </c>
      <c r="BG24" s="72">
        <f t="shared" ref="BG24" si="44">BF24*(1+((BG23-BF23)/BF23))</f>
        <v>1.6619111378592333</v>
      </c>
      <c r="BH24" s="72">
        <f t="shared" ref="BH24" si="45">BG24*(1+((BH23-BG23)/BG23))</f>
        <v>1.6793389848864542</v>
      </c>
      <c r="BI24" s="72">
        <f t="shared" ref="BI24" si="46">BH24*(1+((BI23-BH23)/BH23))</f>
        <v>1.6860073917425364</v>
      </c>
      <c r="BJ24" s="72">
        <f t="shared" ref="BJ24" si="47">BI24*(1+((BJ23-BI23)/BI23))</f>
        <v>1.6926428251597909</v>
      </c>
      <c r="BK24" s="72">
        <f t="shared" ref="BK24" si="48">BJ24*(1+((BK23-BJ23)/BJ23))</f>
        <v>1.6992457369847875</v>
      </c>
      <c r="BL24" s="72">
        <f t="shared" ref="BL24" si="49">BK24*(1+((BL23-BK23)/BK23))</f>
        <v>1.7058165689837925</v>
      </c>
      <c r="BM24" s="72">
        <f t="shared" ref="BM24" si="50">BL24*(1+((BM23-BL23)/BL23))</f>
        <v>1.7123557531528988</v>
      </c>
      <c r="BN24" s="72">
        <f t="shared" ref="BN24" si="51">BM24*(1+((BN23-BM23)/BM23))</f>
        <v>1.7188637120160373</v>
      </c>
      <c r="BO24" s="72">
        <f t="shared" ref="BO24" si="52">BN24*(1+((BO23-BN23)/BN23))</f>
        <v>1.725340858911443</v>
      </c>
      <c r="BP24" s="72">
        <f t="shared" ref="BP24" si="53">BO24*(1+((BP23-BO23)/BO23))</f>
        <v>1.731787598267114</v>
      </c>
      <c r="BQ24" s="72">
        <f t="shared" ref="BQ24" si="54">BP24*(1+((BQ23-BP23)/BP23))</f>
        <v>1.738204325865776</v>
      </c>
      <c r="BR24" s="72">
        <f t="shared" ref="BR24" si="55">BQ24*(1+((BR23-BQ23)/BQ23))</f>
        <v>1.7445914290998366</v>
      </c>
    </row>
    <row r="25" spans="1:70">
      <c r="A25" t="s">
        <v>16</v>
      </c>
      <c r="B25" s="223" t="str">
        <f>B10 &amp; "-" &amp; "EXISTING"</f>
        <v>COM-EXISTING</v>
      </c>
      <c r="C25" s="70" t="str">
        <f>C10 &amp; "-" &amp; "existing"</f>
        <v>Commercial-existing</v>
      </c>
      <c r="D25" s="70" t="s">
        <v>44</v>
      </c>
      <c r="E25" s="82">
        <v>1</v>
      </c>
      <c r="I25" s="132"/>
      <c r="L25" s="184">
        <f>E25</f>
        <v>1</v>
      </c>
      <c r="M25" s="184">
        <v>1</v>
      </c>
      <c r="N25" s="184">
        <v>1</v>
      </c>
      <c r="O25" s="184">
        <v>1</v>
      </c>
      <c r="P25" s="184">
        <v>1</v>
      </c>
      <c r="Q25" s="184">
        <f>E25</f>
        <v>1</v>
      </c>
      <c r="R25" s="72">
        <f t="shared" ref="R25:AX25" si="56">IF(Q25-$C$20*(R22-Q22)&lt;0,0,Q25-$C$20*(R22-Q22))</f>
        <v>0.99</v>
      </c>
      <c r="S25" s="72">
        <f t="shared" si="56"/>
        <v>0.98</v>
      </c>
      <c r="T25" s="72">
        <f t="shared" si="56"/>
        <v>0.97</v>
      </c>
      <c r="U25" s="72">
        <f t="shared" si="56"/>
        <v>0.96</v>
      </c>
      <c r="V25" s="72">
        <f t="shared" si="56"/>
        <v>0.95</v>
      </c>
      <c r="W25" s="72">
        <f t="shared" si="56"/>
        <v>0.94</v>
      </c>
      <c r="X25" s="72">
        <f t="shared" si="56"/>
        <v>0.92999999999999994</v>
      </c>
      <c r="Y25" s="72">
        <f t="shared" si="56"/>
        <v>0.91999999999999993</v>
      </c>
      <c r="Z25" s="72">
        <f t="shared" si="56"/>
        <v>0.90999999999999992</v>
      </c>
      <c r="AA25" s="72">
        <f t="shared" si="56"/>
        <v>0.89999999999999991</v>
      </c>
      <c r="AB25" s="72">
        <f t="shared" si="56"/>
        <v>0.8899999999999999</v>
      </c>
      <c r="AC25" s="72">
        <f t="shared" si="56"/>
        <v>0.87999999999999989</v>
      </c>
      <c r="AD25" s="72">
        <f t="shared" si="56"/>
        <v>0.86999999999999988</v>
      </c>
      <c r="AE25" s="72">
        <f t="shared" si="56"/>
        <v>0.85999999999999988</v>
      </c>
      <c r="AF25" s="72">
        <f t="shared" si="56"/>
        <v>0.84999999999999987</v>
      </c>
      <c r="AG25" s="72">
        <f t="shared" si="56"/>
        <v>0.83999999999999986</v>
      </c>
      <c r="AH25" s="72">
        <f t="shared" si="56"/>
        <v>0.82999999999999985</v>
      </c>
      <c r="AI25" s="72">
        <f t="shared" si="56"/>
        <v>0.81999999999999984</v>
      </c>
      <c r="AJ25" s="72">
        <f t="shared" si="56"/>
        <v>0.80999999999999983</v>
      </c>
      <c r="AK25" s="72">
        <f t="shared" si="56"/>
        <v>0.79999999999999982</v>
      </c>
      <c r="AL25" s="72">
        <f t="shared" si="56"/>
        <v>0.78999999999999981</v>
      </c>
      <c r="AM25" s="72">
        <f t="shared" si="56"/>
        <v>0.7799999999999998</v>
      </c>
      <c r="AN25" s="72">
        <f t="shared" si="56"/>
        <v>0.7699999999999998</v>
      </c>
      <c r="AO25" s="72">
        <f t="shared" si="56"/>
        <v>0.75999999999999979</v>
      </c>
      <c r="AP25" s="72">
        <f t="shared" si="56"/>
        <v>0.74999999999999978</v>
      </c>
      <c r="AQ25" s="72">
        <f t="shared" si="56"/>
        <v>0.73999999999999977</v>
      </c>
      <c r="AR25" s="72">
        <f t="shared" si="56"/>
        <v>0.72999999999999976</v>
      </c>
      <c r="AS25" s="72">
        <f t="shared" si="56"/>
        <v>0.71999999999999975</v>
      </c>
      <c r="AT25" s="72">
        <f t="shared" si="56"/>
        <v>0.70999999999999974</v>
      </c>
      <c r="AU25" s="72">
        <f t="shared" si="56"/>
        <v>0.69999999999999973</v>
      </c>
      <c r="AV25" s="72">
        <f t="shared" si="56"/>
        <v>0.68999999999999972</v>
      </c>
      <c r="AW25" s="72">
        <f t="shared" si="56"/>
        <v>0.67999999999999972</v>
      </c>
      <c r="AX25" s="72">
        <f t="shared" si="56"/>
        <v>0.66999999999999971</v>
      </c>
      <c r="AY25" s="72">
        <f t="shared" ref="AY25" si="57">IF(AX25-$C$20*(AY22-AX22)&lt;0,0,AX25-$C$20*(AY22-AX22))</f>
        <v>0.6599999999999997</v>
      </c>
      <c r="AZ25" s="72">
        <f t="shared" ref="AZ25" si="58">IF(AY25-$C$20*(AZ22-AY22)&lt;0,0,AY25-$C$20*(AZ22-AY22))</f>
        <v>0.64999999999999969</v>
      </c>
      <c r="BA25" s="72">
        <f t="shared" ref="BA25" si="59">IF(AZ25-$C$20*(BA22-AZ22)&lt;0,0,AZ25-$C$20*(BA22-AZ22))</f>
        <v>0.63999999999999968</v>
      </c>
      <c r="BB25" s="72">
        <f t="shared" ref="BB25" si="60">IF(BA25-$C$20*(BB22-BA22)&lt;0,0,BA25-$C$20*(BB22-BA22))</f>
        <v>0.62999999999999967</v>
      </c>
      <c r="BC25" s="72">
        <f t="shared" ref="BC25" si="61">IF(BB25-$C$20*(BC22-BB22)&lt;0,0,BB25-$C$20*(BC22-BB22))</f>
        <v>0.61999999999999966</v>
      </c>
      <c r="BD25" s="72">
        <f t="shared" ref="BD25" si="62">IF(BC25-$C$20*(BD22-BC22)&lt;0,0,BC25-$C$20*(BD22-BC22))</f>
        <v>0.60999999999999965</v>
      </c>
      <c r="BE25" s="72">
        <f t="shared" ref="BE25" si="63">IF(BD25-$C$20*(BE22-BD22)&lt;0,0,BD25-$C$20*(BE22-BD22))</f>
        <v>0.59999999999999964</v>
      </c>
      <c r="BF25" s="72">
        <f t="shared" ref="BF25" si="64">IF(BE25-$C$20*(BF22-BE22)&lt;0,0,BE25-$C$20*(BF22-BE22))</f>
        <v>0.58999999999999964</v>
      </c>
      <c r="BG25" s="72">
        <f t="shared" ref="BG25" si="65">IF(BF25-$C$20*(BG22-BF22)&lt;0,0,BF25-$C$20*(BG22-BF22))</f>
        <v>0.57999999999999963</v>
      </c>
      <c r="BH25" s="72">
        <f t="shared" ref="BH25" si="66">IF(BG25-$C$20*(BH22-BG22)&lt;0,0,BG25-$C$20*(BH22-BG22))</f>
        <v>0.56999999999999962</v>
      </c>
      <c r="BI25" s="72">
        <f t="shared" ref="BI25" si="67">IF(BH25-$C$20*(BI22-BH22)&lt;0,0,BH25-$C$20*(BI22-BH22))</f>
        <v>0.55999999999999961</v>
      </c>
      <c r="BJ25" s="72">
        <f t="shared" ref="BJ25" si="68">IF(BI25-$C$20*(BJ22-BI22)&lt;0,0,BI25-$C$20*(BJ22-BI22))</f>
        <v>0.5499999999999996</v>
      </c>
      <c r="BK25" s="72">
        <f t="shared" ref="BK25" si="69">IF(BJ25-$C$20*(BK22-BJ22)&lt;0,0,BJ25-$C$20*(BK22-BJ22))</f>
        <v>0.53999999999999959</v>
      </c>
      <c r="BL25" s="72">
        <f t="shared" ref="BL25" si="70">IF(BK25-$C$20*(BL22-BK22)&lt;0,0,BK25-$C$20*(BL22-BK22))</f>
        <v>0.52999999999999958</v>
      </c>
      <c r="BM25" s="72">
        <f t="shared" ref="BM25" si="71">IF(BL25-$C$20*(BM22-BL22)&lt;0,0,BL25-$C$20*(BM22-BL22))</f>
        <v>0.51999999999999957</v>
      </c>
      <c r="BN25" s="72">
        <f t="shared" ref="BN25" si="72">IF(BM25-$C$20*(BN22-BM22)&lt;0,0,BM25-$C$20*(BN22-BM22))</f>
        <v>0.50999999999999956</v>
      </c>
      <c r="BO25" s="72">
        <f t="shared" ref="BO25" si="73">IF(BN25-$C$20*(BO22-BN22)&lt;0,0,BN25-$C$20*(BO22-BN22))</f>
        <v>0.49999999999999956</v>
      </c>
      <c r="BP25" s="72">
        <f t="shared" ref="BP25" si="74">IF(BO25-$C$20*(BP22-BO22)&lt;0,0,BO25-$C$20*(BP22-BO22))</f>
        <v>0.48999999999999955</v>
      </c>
      <c r="BQ25" s="72">
        <f t="shared" ref="BQ25" si="75">IF(BP25-$C$20*(BQ22-BP22)&lt;0,0,BP25-$C$20*(BQ22-BP22))</f>
        <v>0.47999999999999954</v>
      </c>
      <c r="BR25" s="72">
        <f t="shared" ref="BR25" si="76">IF(BQ25-$C$20*(BR22-BQ22)&lt;0,0,BQ25-$C$20*(BR22-BQ22))</f>
        <v>0.46999999999999953</v>
      </c>
    </row>
    <row r="26" spans="1:70">
      <c r="A26" t="s">
        <v>16</v>
      </c>
      <c r="B26" s="223"/>
      <c r="I26" s="13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row>
    <row r="27" spans="1:70">
      <c r="A27" t="s">
        <v>16</v>
      </c>
      <c r="B27" s="223" t="s">
        <v>470</v>
      </c>
      <c r="C27" s="225">
        <v>0.2</v>
      </c>
      <c r="I27" s="132"/>
      <c r="L27" s="72"/>
      <c r="M27" s="72"/>
      <c r="N27" s="72"/>
      <c r="O27" s="72"/>
      <c r="P27" s="72"/>
      <c r="Q27" s="72"/>
      <c r="R27" s="72"/>
      <c r="S27" s="72"/>
      <c r="T27" s="72"/>
      <c r="U27" s="72"/>
      <c r="V27" s="72"/>
      <c r="W27" s="72"/>
      <c r="X27" s="72"/>
      <c r="Y27" s="72"/>
      <c r="Z27" s="72"/>
      <c r="AA27" s="72"/>
      <c r="AB27" s="72"/>
      <c r="AJ27" s="72"/>
      <c r="AK27" s="72"/>
      <c r="AL27" s="72"/>
      <c r="AM27" s="72"/>
      <c r="AN27" s="72"/>
      <c r="AO27" s="72"/>
      <c r="AP27" s="72"/>
      <c r="AQ27" s="72"/>
      <c r="AR27" s="72"/>
      <c r="AS27" s="72"/>
      <c r="AT27" s="72"/>
      <c r="AU27" s="72"/>
      <c r="AV27" s="72"/>
      <c r="AW27" s="72"/>
      <c r="AX27" s="72"/>
    </row>
    <row r="28" spans="1:70">
      <c r="A28" t="s">
        <v>16</v>
      </c>
      <c r="B28" s="223"/>
      <c r="I28" s="13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row>
    <row r="29" spans="1:70">
      <c r="A29" t="s">
        <v>16</v>
      </c>
      <c r="B29" s="226" t="s">
        <v>474</v>
      </c>
      <c r="C29" s="144"/>
      <c r="D29" s="144"/>
      <c r="I29" s="13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row>
    <row r="30" spans="1:70">
      <c r="A30" t="s">
        <v>16</v>
      </c>
      <c r="B30" s="223" t="s">
        <v>471</v>
      </c>
      <c r="D30" s="70" t="s">
        <v>62</v>
      </c>
      <c r="I30" s="132"/>
      <c r="L30" s="184">
        <f>L23</f>
        <v>132.81548999999998</v>
      </c>
      <c r="M30" s="184">
        <f t="shared" ref="M30:Q30" si="77">M23</f>
        <v>134.00787499999998</v>
      </c>
      <c r="N30" s="184">
        <f t="shared" si="77"/>
        <v>135.598851</v>
      </c>
      <c r="O30" s="184">
        <f t="shared" si="77"/>
        <v>136.99421599999999</v>
      </c>
      <c r="P30" s="184">
        <f t="shared" si="77"/>
        <v>138.328236</v>
      </c>
      <c r="Q30" s="184">
        <f t="shared" si="77"/>
        <v>139.22563422464734</v>
      </c>
      <c r="R30" s="72">
        <f>R25*$Q$23</f>
        <v>137.83337788240087</v>
      </c>
      <c r="S30" s="72">
        <f t="shared" ref="S30:AX30" si="78">S25*$Q$23</f>
        <v>136.4411215401544</v>
      </c>
      <c r="T30" s="72">
        <f t="shared" si="78"/>
        <v>135.0488651979079</v>
      </c>
      <c r="U30" s="72">
        <f t="shared" si="78"/>
        <v>133.65660885566143</v>
      </c>
      <c r="V30" s="72">
        <f t="shared" si="78"/>
        <v>132.26435251341496</v>
      </c>
      <c r="W30" s="72">
        <f t="shared" si="78"/>
        <v>130.87209617116849</v>
      </c>
      <c r="X30" s="72">
        <f t="shared" si="78"/>
        <v>129.47983982892202</v>
      </c>
      <c r="Y30" s="72">
        <f t="shared" si="78"/>
        <v>128.08758348667553</v>
      </c>
      <c r="Z30" s="72">
        <f t="shared" si="78"/>
        <v>126.69532714442907</v>
      </c>
      <c r="AA30" s="72">
        <f t="shared" si="78"/>
        <v>125.30307080218259</v>
      </c>
      <c r="AB30" s="72">
        <f t="shared" si="78"/>
        <v>123.91081445993612</v>
      </c>
      <c r="AC30" s="72">
        <f t="shared" si="78"/>
        <v>122.51855811768964</v>
      </c>
      <c r="AD30" s="72">
        <f t="shared" si="78"/>
        <v>121.12630177544317</v>
      </c>
      <c r="AE30" s="72">
        <f t="shared" si="78"/>
        <v>119.7340454331967</v>
      </c>
      <c r="AF30" s="72">
        <f t="shared" si="78"/>
        <v>118.34178909095021</v>
      </c>
      <c r="AG30" s="72">
        <f t="shared" si="78"/>
        <v>116.94953274870375</v>
      </c>
      <c r="AH30" s="72">
        <f t="shared" si="78"/>
        <v>115.55727640645726</v>
      </c>
      <c r="AI30" s="72">
        <f t="shared" si="78"/>
        <v>114.16502006421079</v>
      </c>
      <c r="AJ30" s="72">
        <f t="shared" si="78"/>
        <v>112.77276372196432</v>
      </c>
      <c r="AK30" s="72">
        <f t="shared" si="78"/>
        <v>111.38050737971784</v>
      </c>
      <c r="AL30" s="72">
        <f t="shared" si="78"/>
        <v>109.98825103747137</v>
      </c>
      <c r="AM30" s="72">
        <f t="shared" si="78"/>
        <v>108.59599469522489</v>
      </c>
      <c r="AN30" s="72">
        <f t="shared" si="78"/>
        <v>107.20373835297842</v>
      </c>
      <c r="AO30" s="72">
        <f t="shared" si="78"/>
        <v>105.81148201073195</v>
      </c>
      <c r="AP30" s="72">
        <f t="shared" si="78"/>
        <v>104.41922566848547</v>
      </c>
      <c r="AQ30" s="72">
        <f t="shared" si="78"/>
        <v>103.026969326239</v>
      </c>
      <c r="AR30" s="72">
        <f t="shared" si="78"/>
        <v>101.63471298399253</v>
      </c>
      <c r="AS30" s="72">
        <f t="shared" si="78"/>
        <v>100.24245664174605</v>
      </c>
      <c r="AT30" s="72">
        <f t="shared" si="78"/>
        <v>98.850200299499576</v>
      </c>
      <c r="AU30" s="72">
        <f t="shared" si="78"/>
        <v>97.457943957253093</v>
      </c>
      <c r="AV30" s="72">
        <f t="shared" si="78"/>
        <v>96.065687615006624</v>
      </c>
      <c r="AW30" s="72">
        <f t="shared" si="78"/>
        <v>94.673431272760155</v>
      </c>
      <c r="AX30" s="72">
        <f t="shared" si="78"/>
        <v>93.281174930513671</v>
      </c>
      <c r="AY30" s="72">
        <f t="shared" ref="AY30:BR30" si="79">AY25*$Q$23</f>
        <v>91.888918588267202</v>
      </c>
      <c r="AZ30" s="72">
        <f t="shared" si="79"/>
        <v>90.496662246020719</v>
      </c>
      <c r="BA30" s="72">
        <f t="shared" si="79"/>
        <v>89.10440590377425</v>
      </c>
      <c r="BB30" s="72">
        <f t="shared" si="79"/>
        <v>87.712149561527781</v>
      </c>
      <c r="BC30" s="72">
        <f t="shared" si="79"/>
        <v>86.319893219281298</v>
      </c>
      <c r="BD30" s="72">
        <f t="shared" si="79"/>
        <v>84.927636877034828</v>
      </c>
      <c r="BE30" s="72">
        <f t="shared" si="79"/>
        <v>83.535380534788359</v>
      </c>
      <c r="BF30" s="72">
        <f t="shared" si="79"/>
        <v>82.143124192541876</v>
      </c>
      <c r="BG30" s="72">
        <f t="shared" si="79"/>
        <v>80.750867850295407</v>
      </c>
      <c r="BH30" s="72">
        <f t="shared" si="79"/>
        <v>79.358611508048924</v>
      </c>
      <c r="BI30" s="72">
        <f t="shared" si="79"/>
        <v>77.966355165802455</v>
      </c>
      <c r="BJ30" s="72">
        <f t="shared" si="79"/>
        <v>76.574098823555985</v>
      </c>
      <c r="BK30" s="72">
        <f t="shared" si="79"/>
        <v>75.181842481309502</v>
      </c>
      <c r="BL30" s="72">
        <f t="shared" si="79"/>
        <v>73.789586139063033</v>
      </c>
      <c r="BM30" s="72">
        <f t="shared" si="79"/>
        <v>72.39732979681655</v>
      </c>
      <c r="BN30" s="72">
        <f t="shared" si="79"/>
        <v>71.005073454570081</v>
      </c>
      <c r="BO30" s="72">
        <f t="shared" si="79"/>
        <v>69.612817112323611</v>
      </c>
      <c r="BP30" s="72">
        <f t="shared" si="79"/>
        <v>68.220560770077128</v>
      </c>
      <c r="BQ30" s="72">
        <f t="shared" si="79"/>
        <v>66.828304427830659</v>
      </c>
      <c r="BR30" s="72">
        <f t="shared" si="79"/>
        <v>65.436048085584176</v>
      </c>
    </row>
    <row r="31" spans="1:70">
      <c r="A31" t="s">
        <v>16</v>
      </c>
      <c r="B31" s="223" t="s">
        <v>472</v>
      </c>
      <c r="D31" s="70" t="s">
        <v>62</v>
      </c>
      <c r="I31" s="132"/>
      <c r="L31" s="72">
        <f>L23-L30</f>
        <v>0</v>
      </c>
      <c r="M31" s="72">
        <f t="shared" ref="M31:AX31" si="80">M23-M30</f>
        <v>0</v>
      </c>
      <c r="N31" s="72">
        <f t="shared" si="80"/>
        <v>0</v>
      </c>
      <c r="O31" s="72">
        <f t="shared" si="80"/>
        <v>0</v>
      </c>
      <c r="P31" s="72">
        <f t="shared" si="80"/>
        <v>0</v>
      </c>
      <c r="Q31" s="72">
        <f t="shared" si="80"/>
        <v>0</v>
      </c>
      <c r="R31" s="72">
        <f t="shared" si="80"/>
        <v>2.3938069038402432</v>
      </c>
      <c r="S31" s="72">
        <f t="shared" si="80"/>
        <v>4.6118634144366126</v>
      </c>
      <c r="T31" s="72">
        <f t="shared" si="80"/>
        <v>6.0041197566831102</v>
      </c>
      <c r="U31" s="72">
        <f t="shared" si="80"/>
        <v>10.584097475448772</v>
      </c>
      <c r="V31" s="72">
        <f t="shared" si="80"/>
        <v>13.197576913389412</v>
      </c>
      <c r="W31" s="72">
        <f t="shared" si="80"/>
        <v>14.718765278395097</v>
      </c>
      <c r="X31" s="72">
        <f t="shared" si="80"/>
        <v>16.756253137091221</v>
      </c>
      <c r="Y31" s="72">
        <f t="shared" si="80"/>
        <v>18.86140964761168</v>
      </c>
      <c r="Z31" s="72">
        <f t="shared" si="80"/>
        <v>21.165416693380749</v>
      </c>
      <c r="AA31" s="72">
        <f t="shared" si="80"/>
        <v>23.606138973886914</v>
      </c>
      <c r="AB31" s="72">
        <f t="shared" si="80"/>
        <v>26.186283386201268</v>
      </c>
      <c r="AC31" s="72">
        <f t="shared" si="80"/>
        <v>29.044094989066579</v>
      </c>
      <c r="AD31" s="72">
        <f t="shared" si="80"/>
        <v>32.197431341450866</v>
      </c>
      <c r="AE31" s="72">
        <f t="shared" si="80"/>
        <v>35.585957418210413</v>
      </c>
      <c r="AF31" s="72">
        <f t="shared" si="80"/>
        <v>39.04859893193904</v>
      </c>
      <c r="AG31" s="72">
        <f t="shared" si="80"/>
        <v>42.601627087771789</v>
      </c>
      <c r="AH31" s="72">
        <f t="shared" si="80"/>
        <v>46.42390132411218</v>
      </c>
      <c r="AI31" s="72">
        <f t="shared" si="80"/>
        <v>50.343398219065264</v>
      </c>
      <c r="AJ31" s="72">
        <f t="shared" si="80"/>
        <v>54.363477390143302</v>
      </c>
      <c r="AK31" s="72">
        <f t="shared" si="80"/>
        <v>58.496905069105139</v>
      </c>
      <c r="AL31" s="72">
        <f t="shared" si="80"/>
        <v>62.701559539746455</v>
      </c>
      <c r="AM31" s="72">
        <f t="shared" si="80"/>
        <v>66.892280204032588</v>
      </c>
      <c r="AN31" s="72">
        <f t="shared" si="80"/>
        <v>71.0383744289269</v>
      </c>
      <c r="AO31" s="72">
        <f t="shared" si="80"/>
        <v>75.374052668892219</v>
      </c>
      <c r="AP31" s="72">
        <f t="shared" si="80"/>
        <v>79.650854844637166</v>
      </c>
      <c r="AQ31" s="72">
        <f t="shared" si="80"/>
        <v>83.871959453088692</v>
      </c>
      <c r="AR31" s="72">
        <f t="shared" si="80"/>
        <v>88.040272619582964</v>
      </c>
      <c r="AS31" s="72">
        <f t="shared" si="80"/>
        <v>92.158459513569696</v>
      </c>
      <c r="AT31" s="72">
        <f t="shared" si="80"/>
        <v>96.778285280502715</v>
      </c>
      <c r="AU31" s="72">
        <f t="shared" si="80"/>
        <v>101.3325658280184</v>
      </c>
      <c r="AV31" s="72">
        <f t="shared" si="80"/>
        <v>105.82489180879716</v>
      </c>
      <c r="AW31" s="72">
        <f t="shared" si="80"/>
        <v>110.25854180808398</v>
      </c>
      <c r="AX31" s="72">
        <f t="shared" si="80"/>
        <v>114.63651883321062</v>
      </c>
      <c r="AY31" s="72">
        <f t="shared" ref="AY31:BR31" si="81">AY23-AY30</f>
        <v>118.79909750334507</v>
      </c>
      <c r="AZ31" s="72">
        <f t="shared" si="81"/>
        <v>122.9166529103905</v>
      </c>
      <c r="BA31" s="72">
        <f t="shared" si="81"/>
        <v>126.99117285801037</v>
      </c>
      <c r="BB31" s="72">
        <f t="shared" si="81"/>
        <v>131.02450498894774</v>
      </c>
      <c r="BC31" s="72">
        <f t="shared" si="81"/>
        <v>135.01837016414794</v>
      </c>
      <c r="BD31" s="72">
        <f t="shared" si="81"/>
        <v>138.97437424847425</v>
      </c>
      <c r="BE31" s="72">
        <f t="shared" si="81"/>
        <v>142.89401852853746</v>
      </c>
      <c r="BF31" s="72">
        <f t="shared" si="81"/>
        <v>146.77870895143033</v>
      </c>
      <c r="BG31" s="72">
        <f t="shared" si="81"/>
        <v>150.62976434316158</v>
      </c>
      <c r="BH31" s="72">
        <f t="shared" si="81"/>
        <v>154.44842374094299</v>
      </c>
      <c r="BI31" s="72">
        <f t="shared" si="81"/>
        <v>156.76909325699552</v>
      </c>
      <c r="BJ31" s="72">
        <f t="shared" si="81"/>
        <v>159.08517202511462</v>
      </c>
      <c r="BK31" s="72">
        <f t="shared" si="81"/>
        <v>161.39672295392569</v>
      </c>
      <c r="BL31" s="72">
        <f t="shared" si="81"/>
        <v>163.70380754861722</v>
      </c>
      <c r="BM31" s="72">
        <f t="shared" si="81"/>
        <v>166.00648595411928</v>
      </c>
      <c r="BN31" s="72">
        <f t="shared" si="81"/>
        <v>168.30481699659413</v>
      </c>
      <c r="BO31" s="72">
        <f t="shared" si="81"/>
        <v>170.59885822331967</v>
      </c>
      <c r="BP31" s="72">
        <f t="shared" si="81"/>
        <v>172.88866594104041</v>
      </c>
      <c r="BQ31" s="72">
        <f t="shared" si="81"/>
        <v>175.17429525285738</v>
      </c>
      <c r="BR31" s="72">
        <f t="shared" si="81"/>
        <v>177.45580009372424</v>
      </c>
    </row>
    <row r="32" spans="1:70">
      <c r="A32" t="s">
        <v>16</v>
      </c>
      <c r="B32" s="223"/>
      <c r="I32" s="13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row>
    <row r="33" spans="1:70">
      <c r="A33" t="s">
        <v>16</v>
      </c>
      <c r="B33" s="226" t="s">
        <v>479</v>
      </c>
      <c r="C33" s="144"/>
      <c r="D33" s="144"/>
      <c r="I33" s="13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row>
    <row r="34" spans="1:70">
      <c r="A34" t="s">
        <v>16</v>
      </c>
      <c r="B34" s="223" t="s">
        <v>473</v>
      </c>
      <c r="D34" s="70" t="s">
        <v>62</v>
      </c>
      <c r="I34" s="132"/>
      <c r="L34" s="72">
        <f>SUM(L30:L31)*$C$27</f>
        <v>26.563097999999997</v>
      </c>
      <c r="M34" s="72">
        <f t="shared" ref="M34:AX34" si="82">SUM(M30:M31)*$C$27</f>
        <v>26.801575</v>
      </c>
      <c r="N34" s="72">
        <f t="shared" si="82"/>
        <v>27.119770200000001</v>
      </c>
      <c r="O34" s="72">
        <f t="shared" si="82"/>
        <v>27.398843200000002</v>
      </c>
      <c r="P34" s="72">
        <f t="shared" si="82"/>
        <v>27.665647200000002</v>
      </c>
      <c r="Q34" s="72">
        <f t="shared" si="82"/>
        <v>27.845126844929467</v>
      </c>
      <c r="R34" s="187">
        <f t="shared" si="82"/>
        <v>28.045436957248224</v>
      </c>
      <c r="S34" s="72">
        <f t="shared" si="82"/>
        <v>28.210596990918205</v>
      </c>
      <c r="T34" s="72">
        <f t="shared" si="82"/>
        <v>28.210596990918205</v>
      </c>
      <c r="U34" s="72">
        <f t="shared" si="82"/>
        <v>28.848141266222044</v>
      </c>
      <c r="V34" s="72">
        <f t="shared" si="82"/>
        <v>29.092385885360876</v>
      </c>
      <c r="W34" s="72">
        <f t="shared" si="82"/>
        <v>29.118172289912721</v>
      </c>
      <c r="X34" s="72">
        <f t="shared" si="82"/>
        <v>29.24721859320265</v>
      </c>
      <c r="Y34" s="72">
        <f t="shared" si="82"/>
        <v>29.389798626857441</v>
      </c>
      <c r="Z34" s="72">
        <f t="shared" si="82"/>
        <v>29.572148767561966</v>
      </c>
      <c r="AA34" s="72">
        <f t="shared" si="82"/>
        <v>29.781841955213903</v>
      </c>
      <c r="AB34" s="72">
        <f t="shared" si="82"/>
        <v>30.01941956922748</v>
      </c>
      <c r="AC34" s="72">
        <f t="shared" si="82"/>
        <v>30.312530621351243</v>
      </c>
      <c r="AD34" s="72">
        <f t="shared" si="82"/>
        <v>30.664746623378807</v>
      </c>
      <c r="AE34" s="72">
        <f t="shared" si="82"/>
        <v>31.064000570281422</v>
      </c>
      <c r="AF34" s="72">
        <f t="shared" si="82"/>
        <v>31.478077604577852</v>
      </c>
      <c r="AG34" s="72">
        <f t="shared" si="82"/>
        <v>31.910231967295108</v>
      </c>
      <c r="AH34" s="72">
        <f t="shared" si="82"/>
        <v>32.396235546113893</v>
      </c>
      <c r="AI34" s="72">
        <f t="shared" si="82"/>
        <v>32.901683656655216</v>
      </c>
      <c r="AJ34" s="72">
        <f t="shared" si="82"/>
        <v>33.427248222421525</v>
      </c>
      <c r="AK34" s="72">
        <f t="shared" si="82"/>
        <v>33.975482489764595</v>
      </c>
      <c r="AL34" s="72">
        <f t="shared" si="82"/>
        <v>34.53796211544357</v>
      </c>
      <c r="AM34" s="72">
        <f t="shared" si="82"/>
        <v>35.097654979851498</v>
      </c>
      <c r="AN34" s="72">
        <f t="shared" si="82"/>
        <v>35.648422556381064</v>
      </c>
      <c r="AO34" s="72">
        <f t="shared" si="82"/>
        <v>36.237106935924835</v>
      </c>
      <c r="AP34" s="72">
        <f t="shared" si="82"/>
        <v>36.814016102624528</v>
      </c>
      <c r="AQ34" s="72">
        <f t="shared" si="82"/>
        <v>37.379785755865541</v>
      </c>
      <c r="AR34" s="72">
        <f t="shared" si="82"/>
        <v>37.934997120715103</v>
      </c>
      <c r="AS34" s="72">
        <f t="shared" si="82"/>
        <v>38.480183231063151</v>
      </c>
      <c r="AT34" s="72">
        <f t="shared" si="82"/>
        <v>39.12569711600046</v>
      </c>
      <c r="AU34" s="72">
        <f t="shared" si="82"/>
        <v>39.758101957054301</v>
      </c>
      <c r="AV34" s="72">
        <f t="shared" si="82"/>
        <v>40.37811588476076</v>
      </c>
      <c r="AW34" s="72">
        <f t="shared" si="82"/>
        <v>40.98639461616883</v>
      </c>
      <c r="AX34" s="72">
        <f t="shared" si="82"/>
        <v>41.583538752744857</v>
      </c>
      <c r="AY34" s="72">
        <f t="shared" ref="AY34:BR34" si="83">SUM(AY30:AY31)*$C$27</f>
        <v>42.137603218322454</v>
      </c>
      <c r="AZ34" s="72">
        <f t="shared" si="83"/>
        <v>42.682663031282246</v>
      </c>
      <c r="BA34" s="72">
        <f t="shared" si="83"/>
        <v>43.219115752356927</v>
      </c>
      <c r="BB34" s="72">
        <f t="shared" si="83"/>
        <v>43.747330910095108</v>
      </c>
      <c r="BC34" s="72">
        <f t="shared" si="83"/>
        <v>44.267652676685856</v>
      </c>
      <c r="BD34" s="72">
        <f t="shared" si="83"/>
        <v>44.780402225101824</v>
      </c>
      <c r="BE34" s="72">
        <f t="shared" si="83"/>
        <v>45.285879812665172</v>
      </c>
      <c r="BF34" s="72">
        <f t="shared" si="83"/>
        <v>45.784366628794444</v>
      </c>
      <c r="BG34" s="72">
        <f t="shared" si="83"/>
        <v>46.276126438691399</v>
      </c>
      <c r="BH34" s="72">
        <f t="shared" si="83"/>
        <v>46.761407049798379</v>
      </c>
      <c r="BI34" s="72">
        <f t="shared" si="83"/>
        <v>46.947089684559593</v>
      </c>
      <c r="BJ34" s="72">
        <f t="shared" si="83"/>
        <v>47.131854169734119</v>
      </c>
      <c r="BK34" s="72">
        <f t="shared" si="83"/>
        <v>47.315713087047044</v>
      </c>
      <c r="BL34" s="72">
        <f t="shared" si="83"/>
        <v>47.498678737536054</v>
      </c>
      <c r="BM34" s="72">
        <f t="shared" si="83"/>
        <v>47.680763150187175</v>
      </c>
      <c r="BN34" s="72">
        <f t="shared" si="83"/>
        <v>47.861978090232846</v>
      </c>
      <c r="BO34" s="72">
        <f t="shared" si="83"/>
        <v>48.042335067128661</v>
      </c>
      <c r="BP34" s="72">
        <f t="shared" si="83"/>
        <v>48.22184534222351</v>
      </c>
      <c r="BQ34" s="72">
        <f t="shared" si="83"/>
        <v>48.400519936137613</v>
      </c>
      <c r="BR34" s="72">
        <f t="shared" si="83"/>
        <v>48.578369635861684</v>
      </c>
    </row>
    <row r="35" spans="1:70">
      <c r="A35" t="s">
        <v>16</v>
      </c>
      <c r="B35" s="223" t="s">
        <v>475</v>
      </c>
      <c r="C35" s="223"/>
      <c r="D35" s="70" t="s">
        <v>62</v>
      </c>
      <c r="E35" s="72"/>
      <c r="F35" s="72"/>
      <c r="G35" s="72"/>
      <c r="H35" s="72"/>
      <c r="I35" s="132"/>
      <c r="L35" s="72">
        <f>L30-L34*(L30/SUM(L30:L31))</f>
        <v>106.25239199999999</v>
      </c>
      <c r="M35" s="72">
        <f t="shared" ref="M35:AX35" si="84">M30-M34*(M30/SUM(M30:M31))</f>
        <v>107.20629999999998</v>
      </c>
      <c r="N35" s="72">
        <f t="shared" si="84"/>
        <v>108.47908079999999</v>
      </c>
      <c r="O35" s="72">
        <f t="shared" si="84"/>
        <v>109.59537279999999</v>
      </c>
      <c r="P35" s="72">
        <f t="shared" si="84"/>
        <v>110.66258880000001</v>
      </c>
      <c r="Q35" s="72">
        <f t="shared" si="84"/>
        <v>111.38050737971787</v>
      </c>
      <c r="R35" s="187">
        <f t="shared" si="84"/>
        <v>110.26670230592069</v>
      </c>
      <c r="S35" s="72">
        <f t="shared" si="84"/>
        <v>109.15289723212351</v>
      </c>
      <c r="T35" s="72">
        <f t="shared" si="84"/>
        <v>108.03909215832633</v>
      </c>
      <c r="U35" s="72">
        <f t="shared" si="84"/>
        <v>106.92528708452915</v>
      </c>
      <c r="V35" s="72">
        <f t="shared" si="84"/>
        <v>105.81148201073196</v>
      </c>
      <c r="W35" s="72">
        <f t="shared" si="84"/>
        <v>104.6976769369348</v>
      </c>
      <c r="X35" s="72">
        <f t="shared" si="84"/>
        <v>103.58387186313762</v>
      </c>
      <c r="Y35" s="72">
        <f t="shared" si="84"/>
        <v>102.47006678934042</v>
      </c>
      <c r="Z35" s="72">
        <f t="shared" si="84"/>
        <v>101.35626171554325</v>
      </c>
      <c r="AA35" s="72">
        <f t="shared" si="84"/>
        <v>100.24245664174606</v>
      </c>
      <c r="AB35" s="72">
        <f t="shared" si="84"/>
        <v>99.128651567948893</v>
      </c>
      <c r="AC35" s="72">
        <f t="shared" si="84"/>
        <v>98.014846494151712</v>
      </c>
      <c r="AD35" s="72">
        <f t="shared" si="84"/>
        <v>96.901041420354531</v>
      </c>
      <c r="AE35" s="72">
        <f t="shared" si="84"/>
        <v>95.787236346557364</v>
      </c>
      <c r="AF35" s="72">
        <f t="shared" si="84"/>
        <v>94.673431272760169</v>
      </c>
      <c r="AG35" s="72">
        <f t="shared" si="84"/>
        <v>93.559626198963002</v>
      </c>
      <c r="AH35" s="72">
        <f t="shared" si="84"/>
        <v>92.445821125165807</v>
      </c>
      <c r="AI35" s="72">
        <f t="shared" si="84"/>
        <v>91.33201605136864</v>
      </c>
      <c r="AJ35" s="72">
        <f t="shared" si="84"/>
        <v>90.218210977571459</v>
      </c>
      <c r="AK35" s="72">
        <f t="shared" si="84"/>
        <v>89.104405903774278</v>
      </c>
      <c r="AL35" s="72">
        <f t="shared" si="84"/>
        <v>87.990600829977097</v>
      </c>
      <c r="AM35" s="72">
        <f t="shared" si="84"/>
        <v>86.876795756179916</v>
      </c>
      <c r="AN35" s="72">
        <f t="shared" si="84"/>
        <v>85.762990682382735</v>
      </c>
      <c r="AO35" s="72">
        <f t="shared" si="84"/>
        <v>84.649185608585555</v>
      </c>
      <c r="AP35" s="72">
        <f t="shared" si="84"/>
        <v>83.535380534788374</v>
      </c>
      <c r="AQ35" s="72">
        <f t="shared" si="84"/>
        <v>82.421575460991193</v>
      </c>
      <c r="AR35" s="72">
        <f t="shared" si="84"/>
        <v>81.307770387194012</v>
      </c>
      <c r="AS35" s="72">
        <f t="shared" si="84"/>
        <v>80.193965313396831</v>
      </c>
      <c r="AT35" s="72">
        <f t="shared" si="84"/>
        <v>79.080160239599664</v>
      </c>
      <c r="AU35" s="72">
        <f t="shared" si="84"/>
        <v>77.966355165802469</v>
      </c>
      <c r="AV35" s="72">
        <f t="shared" si="84"/>
        <v>76.852550092005302</v>
      </c>
      <c r="AW35" s="72">
        <f t="shared" si="84"/>
        <v>75.738745018208121</v>
      </c>
      <c r="AX35" s="72">
        <f t="shared" si="84"/>
        <v>74.62493994441094</v>
      </c>
      <c r="AY35" s="72">
        <f t="shared" ref="AY35:BR35" si="85">AY30-AY34*(AY30/SUM(AY30:AY31))</f>
        <v>73.511134870613759</v>
      </c>
      <c r="AZ35" s="72">
        <f t="shared" si="85"/>
        <v>72.397329796816578</v>
      </c>
      <c r="BA35" s="72">
        <f t="shared" si="85"/>
        <v>71.283524723019397</v>
      </c>
      <c r="BB35" s="72">
        <f t="shared" si="85"/>
        <v>70.16971964922223</v>
      </c>
      <c r="BC35" s="72">
        <f t="shared" si="85"/>
        <v>69.055914575425035</v>
      </c>
      <c r="BD35" s="72">
        <f t="shared" si="85"/>
        <v>67.942109501627868</v>
      </c>
      <c r="BE35" s="72">
        <f t="shared" si="85"/>
        <v>66.828304427830687</v>
      </c>
      <c r="BF35" s="72">
        <f t="shared" si="85"/>
        <v>65.714499354033507</v>
      </c>
      <c r="BG35" s="72">
        <f t="shared" si="85"/>
        <v>64.600694280236326</v>
      </c>
      <c r="BH35" s="72">
        <f t="shared" si="85"/>
        <v>63.486889206439137</v>
      </c>
      <c r="BI35" s="72">
        <f t="shared" si="85"/>
        <v>62.373084132641964</v>
      </c>
      <c r="BJ35" s="72">
        <f t="shared" si="85"/>
        <v>61.25927905884479</v>
      </c>
      <c r="BK35" s="72">
        <f t="shared" si="85"/>
        <v>60.145473985047602</v>
      </c>
      <c r="BL35" s="72">
        <f t="shared" si="85"/>
        <v>59.031668911250428</v>
      </c>
      <c r="BM35" s="72">
        <f t="shared" si="85"/>
        <v>57.91786383745324</v>
      </c>
      <c r="BN35" s="72">
        <f t="shared" si="85"/>
        <v>56.804058763656059</v>
      </c>
      <c r="BO35" s="72">
        <f t="shared" si="85"/>
        <v>55.690253689858892</v>
      </c>
      <c r="BP35" s="72">
        <f t="shared" si="85"/>
        <v>54.576448616061704</v>
      </c>
      <c r="BQ35" s="72">
        <f t="shared" si="85"/>
        <v>53.46264354226453</v>
      </c>
      <c r="BR35" s="72">
        <f t="shared" si="85"/>
        <v>52.348838468467342</v>
      </c>
    </row>
    <row r="36" spans="1:70">
      <c r="A36" t="s">
        <v>16</v>
      </c>
      <c r="B36" s="223" t="s">
        <v>476</v>
      </c>
      <c r="C36" s="223"/>
      <c r="D36" s="70" t="s">
        <v>62</v>
      </c>
      <c r="E36" s="72"/>
      <c r="F36" s="72"/>
      <c r="G36" s="72"/>
      <c r="H36" s="72"/>
      <c r="I36" s="132"/>
      <c r="L36" s="72">
        <f>L23-L35-L34</f>
        <v>0</v>
      </c>
      <c r="M36" s="72">
        <f t="shared" ref="M36:AX36" si="86">M23-M35-M34</f>
        <v>0</v>
      </c>
      <c r="N36" s="72">
        <f t="shared" si="86"/>
        <v>0</v>
      </c>
      <c r="O36" s="72">
        <f t="shared" si="86"/>
        <v>0</v>
      </c>
      <c r="P36" s="72">
        <f t="shared" si="86"/>
        <v>0</v>
      </c>
      <c r="Q36" s="72">
        <f t="shared" si="86"/>
        <v>0</v>
      </c>
      <c r="R36" s="187">
        <f t="shared" si="86"/>
        <v>1.9150455230721981</v>
      </c>
      <c r="S36" s="72">
        <f t="shared" si="86"/>
        <v>3.6894907315492986</v>
      </c>
      <c r="T36" s="72">
        <f t="shared" si="86"/>
        <v>4.8032958053464796</v>
      </c>
      <c r="U36" s="72">
        <f t="shared" si="86"/>
        <v>8.4672779803590146</v>
      </c>
      <c r="V36" s="72">
        <f t="shared" si="86"/>
        <v>10.558061530711534</v>
      </c>
      <c r="W36" s="72">
        <f t="shared" si="86"/>
        <v>11.775012222716072</v>
      </c>
      <c r="X36" s="72">
        <f t="shared" si="86"/>
        <v>13.405002509672979</v>
      </c>
      <c r="Y36" s="72">
        <f t="shared" si="86"/>
        <v>15.089127718089344</v>
      </c>
      <c r="Z36" s="72">
        <f t="shared" si="86"/>
        <v>16.9323333547046</v>
      </c>
      <c r="AA36" s="72">
        <f t="shared" si="86"/>
        <v>18.88491117910954</v>
      </c>
      <c r="AB36" s="72">
        <f t="shared" si="86"/>
        <v>20.949026708961014</v>
      </c>
      <c r="AC36" s="72">
        <f t="shared" si="86"/>
        <v>23.23527599125326</v>
      </c>
      <c r="AD36" s="72">
        <f t="shared" si="86"/>
        <v>25.757945073160695</v>
      </c>
      <c r="AE36" s="72">
        <f t="shared" si="86"/>
        <v>28.468765934568324</v>
      </c>
      <c r="AF36" s="72">
        <f t="shared" si="86"/>
        <v>31.238879145551234</v>
      </c>
      <c r="AG36" s="72">
        <f t="shared" si="86"/>
        <v>34.081301670217428</v>
      </c>
      <c r="AH36" s="72">
        <f t="shared" si="86"/>
        <v>37.139121059289742</v>
      </c>
      <c r="AI36" s="72">
        <f t="shared" si="86"/>
        <v>40.274718575252201</v>
      </c>
      <c r="AJ36" s="72">
        <f t="shared" si="86"/>
        <v>43.490781912114642</v>
      </c>
      <c r="AK36" s="72">
        <f t="shared" si="86"/>
        <v>46.797524055284107</v>
      </c>
      <c r="AL36" s="72">
        <f t="shared" si="86"/>
        <v>50.16124763179716</v>
      </c>
      <c r="AM36" s="72">
        <f t="shared" si="86"/>
        <v>53.513824163226062</v>
      </c>
      <c r="AN36" s="72">
        <f t="shared" si="86"/>
        <v>56.83069954314152</v>
      </c>
      <c r="AO36" s="72">
        <f t="shared" si="86"/>
        <v>60.299242135113779</v>
      </c>
      <c r="AP36" s="72">
        <f t="shared" si="86"/>
        <v>63.720683875709732</v>
      </c>
      <c r="AQ36" s="72">
        <f t="shared" si="86"/>
        <v>67.097567562470957</v>
      </c>
      <c r="AR36" s="72">
        <f t="shared" si="86"/>
        <v>70.432218095666371</v>
      </c>
      <c r="AS36" s="72">
        <f t="shared" si="86"/>
        <v>73.726767610855759</v>
      </c>
      <c r="AT36" s="72">
        <f t="shared" si="86"/>
        <v>77.42262822440216</v>
      </c>
      <c r="AU36" s="72">
        <f t="shared" si="86"/>
        <v>81.066052662414734</v>
      </c>
      <c r="AV36" s="72">
        <f t="shared" si="86"/>
        <v>84.659913447037724</v>
      </c>
      <c r="AW36" s="72">
        <f t="shared" si="86"/>
        <v>88.206833446467186</v>
      </c>
      <c r="AX36" s="72">
        <f t="shared" si="86"/>
        <v>91.709215066568504</v>
      </c>
      <c r="AY36" s="72">
        <f t="shared" ref="AY36:BR36" si="87">AY23-AY35-AY34</f>
        <v>95.039278002676042</v>
      </c>
      <c r="AZ36" s="72">
        <f t="shared" si="87"/>
        <v>98.333322328312406</v>
      </c>
      <c r="BA36" s="72">
        <f t="shared" si="87"/>
        <v>101.59293828640828</v>
      </c>
      <c r="BB36" s="72">
        <f t="shared" si="87"/>
        <v>104.81960399115817</v>
      </c>
      <c r="BC36" s="72">
        <f t="shared" si="87"/>
        <v>108.01469613131835</v>
      </c>
      <c r="BD36" s="72">
        <f t="shared" si="87"/>
        <v>111.1794993987794</v>
      </c>
      <c r="BE36" s="72">
        <f t="shared" si="87"/>
        <v>114.31521482282994</v>
      </c>
      <c r="BF36" s="72">
        <f t="shared" si="87"/>
        <v>117.42296716114426</v>
      </c>
      <c r="BG36" s="72">
        <f t="shared" si="87"/>
        <v>120.50381147452927</v>
      </c>
      <c r="BH36" s="72">
        <f t="shared" si="87"/>
        <v>123.5587389927544</v>
      </c>
      <c r="BI36" s="72">
        <f t="shared" si="87"/>
        <v>125.41527460559641</v>
      </c>
      <c r="BJ36" s="72">
        <f t="shared" si="87"/>
        <v>127.26813762009172</v>
      </c>
      <c r="BK36" s="72">
        <f t="shared" si="87"/>
        <v>129.11737836314055</v>
      </c>
      <c r="BL36" s="72">
        <f t="shared" si="87"/>
        <v>130.96304603889376</v>
      </c>
      <c r="BM36" s="72">
        <f t="shared" si="87"/>
        <v>132.80518876329543</v>
      </c>
      <c r="BN36" s="72">
        <f t="shared" si="87"/>
        <v>134.6438535972753</v>
      </c>
      <c r="BO36" s="72">
        <f t="shared" si="87"/>
        <v>136.47908657865571</v>
      </c>
      <c r="BP36" s="72">
        <f t="shared" si="87"/>
        <v>138.31093275283234</v>
      </c>
      <c r="BQ36" s="72">
        <f t="shared" si="87"/>
        <v>140.13943620228591</v>
      </c>
      <c r="BR36" s="72">
        <f t="shared" si="87"/>
        <v>141.9646400749794</v>
      </c>
    </row>
    <row r="37" spans="1:70">
      <c r="A37" t="s">
        <v>16</v>
      </c>
      <c r="B37" s="223"/>
      <c r="C37" s="223"/>
      <c r="E37" s="72"/>
      <c r="F37" s="72"/>
      <c r="G37" s="72"/>
      <c r="H37" s="72"/>
      <c r="I37" s="13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row>
    <row r="38" spans="1:70">
      <c r="A38" t="s">
        <v>16</v>
      </c>
      <c r="E38" s="72"/>
      <c r="F38" s="72"/>
      <c r="G38" s="72"/>
      <c r="H38" s="72"/>
      <c r="I38" s="13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row>
    <row r="39" spans="1:70" ht="15.75">
      <c r="A39" t="s">
        <v>16</v>
      </c>
      <c r="B39" s="227" t="s">
        <v>477</v>
      </c>
      <c r="C39" s="223"/>
      <c r="E39" s="72"/>
      <c r="F39" s="72"/>
      <c r="G39" s="72"/>
      <c r="H39" s="72"/>
      <c r="I39" s="13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row>
    <row r="40" spans="1:70">
      <c r="A40" t="s">
        <v>16</v>
      </c>
      <c r="B40" s="228" t="s">
        <v>482</v>
      </c>
      <c r="C40" s="223"/>
      <c r="E40" s="72"/>
      <c r="F40" s="72"/>
      <c r="G40" s="72"/>
      <c r="H40" s="72"/>
      <c r="I40" s="72"/>
      <c r="J40" s="72"/>
      <c r="K40" s="72"/>
      <c r="L40" s="71"/>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row>
    <row r="41" spans="1:70">
      <c r="A41" t="s">
        <v>16</v>
      </c>
      <c r="B41" s="73" t="s">
        <v>220</v>
      </c>
      <c r="C41" s="73"/>
      <c r="D41" s="74" t="s">
        <v>221</v>
      </c>
      <c r="E41" s="83"/>
      <c r="F41" s="83"/>
      <c r="G41" s="83"/>
      <c r="H41" s="83"/>
      <c r="I41" s="83"/>
      <c r="J41" s="83"/>
      <c r="K41" s="83"/>
      <c r="L41" s="84">
        <v>0</v>
      </c>
      <c r="M41" s="83">
        <f t="shared" ref="M41:AX41" si="88">M36-L36</f>
        <v>0</v>
      </c>
      <c r="N41" s="83">
        <f t="shared" si="88"/>
        <v>0</v>
      </c>
      <c r="O41" s="83">
        <f t="shared" si="88"/>
        <v>0</v>
      </c>
      <c r="P41" s="83">
        <f t="shared" si="88"/>
        <v>0</v>
      </c>
      <c r="Q41" s="83">
        <f t="shared" si="88"/>
        <v>0</v>
      </c>
      <c r="R41" s="83">
        <f t="shared" si="88"/>
        <v>1.9150455230721981</v>
      </c>
      <c r="S41" s="83">
        <f t="shared" si="88"/>
        <v>1.7744452084771005</v>
      </c>
      <c r="T41" s="83">
        <f t="shared" si="88"/>
        <v>1.113805073797181</v>
      </c>
      <c r="U41" s="83">
        <f t="shared" si="88"/>
        <v>3.663982175012535</v>
      </c>
      <c r="V41" s="83">
        <f t="shared" si="88"/>
        <v>2.0907835503525192</v>
      </c>
      <c r="W41" s="83">
        <f t="shared" si="88"/>
        <v>1.2169506920045379</v>
      </c>
      <c r="X41" s="83">
        <f t="shared" si="88"/>
        <v>1.6299902869569074</v>
      </c>
      <c r="Y41" s="83">
        <f t="shared" si="88"/>
        <v>1.6841252084163649</v>
      </c>
      <c r="Z41" s="83">
        <f t="shared" si="88"/>
        <v>1.8432056366152558</v>
      </c>
      <c r="AA41" s="83">
        <f t="shared" si="88"/>
        <v>1.9525778244049405</v>
      </c>
      <c r="AB41" s="83">
        <f t="shared" si="88"/>
        <v>2.064115529851474</v>
      </c>
      <c r="AC41" s="83">
        <f t="shared" si="88"/>
        <v>2.2862492822922462</v>
      </c>
      <c r="AD41" s="83">
        <f t="shared" si="88"/>
        <v>2.5226690819074342</v>
      </c>
      <c r="AE41" s="83">
        <f t="shared" si="88"/>
        <v>2.7108208614076297</v>
      </c>
      <c r="AF41" s="83">
        <f t="shared" si="88"/>
        <v>2.7701132109829096</v>
      </c>
      <c r="AG41" s="83">
        <f t="shared" si="88"/>
        <v>2.8424225246661941</v>
      </c>
      <c r="AH41" s="83">
        <f t="shared" si="88"/>
        <v>3.0578193890723142</v>
      </c>
      <c r="AI41" s="83">
        <f t="shared" si="88"/>
        <v>3.1355975159624592</v>
      </c>
      <c r="AJ41" s="83">
        <f t="shared" si="88"/>
        <v>3.2160633368624403</v>
      </c>
      <c r="AK41" s="83">
        <f t="shared" si="88"/>
        <v>3.3067421431694655</v>
      </c>
      <c r="AL41" s="83">
        <f t="shared" si="88"/>
        <v>3.3637235765130526</v>
      </c>
      <c r="AM41" s="83">
        <f t="shared" si="88"/>
        <v>3.3525765314289018</v>
      </c>
      <c r="AN41" s="83">
        <f t="shared" si="88"/>
        <v>3.3168753799154587</v>
      </c>
      <c r="AO41" s="83">
        <f t="shared" si="88"/>
        <v>3.468542591972259</v>
      </c>
      <c r="AP41" s="83">
        <f t="shared" si="88"/>
        <v>3.4214417405959523</v>
      </c>
      <c r="AQ41" s="83">
        <f t="shared" si="88"/>
        <v>3.3768836867612251</v>
      </c>
      <c r="AR41" s="83">
        <f t="shared" si="88"/>
        <v>3.3346505331954148</v>
      </c>
      <c r="AS41" s="83">
        <f t="shared" si="88"/>
        <v>3.294549515189388</v>
      </c>
      <c r="AT41" s="83">
        <f t="shared" si="88"/>
        <v>3.6958606135464009</v>
      </c>
      <c r="AU41" s="83">
        <f t="shared" si="88"/>
        <v>3.6434244380125733</v>
      </c>
      <c r="AV41" s="83">
        <f t="shared" si="88"/>
        <v>3.59386078462299</v>
      </c>
      <c r="AW41" s="83">
        <f t="shared" si="88"/>
        <v>3.5469199994294627</v>
      </c>
      <c r="AX41" s="83">
        <f t="shared" si="88"/>
        <v>3.5023816201013176</v>
      </c>
      <c r="AY41" s="83">
        <f t="shared" ref="AY41" si="89">AY36-AX36</f>
        <v>3.330062936107538</v>
      </c>
      <c r="AZ41" s="83">
        <f t="shared" ref="AZ41" si="90">AZ36-AY36</f>
        <v>3.2940443256363636</v>
      </c>
      <c r="BA41" s="83">
        <f t="shared" ref="BA41" si="91">BA36-AZ36</f>
        <v>3.2596159580958783</v>
      </c>
      <c r="BB41" s="83">
        <f t="shared" ref="BB41" si="92">BB36-BA36</f>
        <v>3.226665704749891</v>
      </c>
      <c r="BC41" s="83">
        <f t="shared" ref="BC41" si="93">BC36-BB36</f>
        <v>3.1950921401601704</v>
      </c>
      <c r="BD41" s="83">
        <f t="shared" ref="BD41" si="94">BD36-BC36</f>
        <v>3.1648032674610533</v>
      </c>
      <c r="BE41" s="83">
        <f t="shared" ref="BE41" si="95">BE36-BD36</f>
        <v>3.1357154240505452</v>
      </c>
      <c r="BF41" s="83">
        <f t="shared" ref="BF41" si="96">BF36-BE36</f>
        <v>3.1077523383143131</v>
      </c>
      <c r="BG41" s="83">
        <f t="shared" ref="BG41" si="97">BG36-BF36</f>
        <v>3.0808443133850147</v>
      </c>
      <c r="BH41" s="83">
        <f t="shared" ref="BH41" si="98">BH36-BG36</f>
        <v>3.0549275182251279</v>
      </c>
      <c r="BI41" s="83">
        <f t="shared" ref="BI41" si="99">BI36-BH36</f>
        <v>1.8565356128420092</v>
      </c>
      <c r="BJ41" s="83">
        <f t="shared" ref="BJ41" si="100">BJ36-BI36</f>
        <v>1.8528630144953127</v>
      </c>
      <c r="BK41" s="83">
        <f t="shared" ref="BK41" si="101">BK36-BJ36</f>
        <v>1.8492407430488242</v>
      </c>
      <c r="BL41" s="83">
        <f t="shared" ref="BL41" si="102">BL36-BK36</f>
        <v>1.8456676757532193</v>
      </c>
      <c r="BM41" s="83">
        <f t="shared" ref="BM41" si="103">BM36-BL36</f>
        <v>1.8421427244016684</v>
      </c>
      <c r="BN41" s="83">
        <f t="shared" ref="BN41" si="104">BN36-BM36</f>
        <v>1.8386648339798626</v>
      </c>
      <c r="BO41" s="83">
        <f t="shared" ref="BO41" si="105">BO36-BN36</f>
        <v>1.8352329813804147</v>
      </c>
      <c r="BP41" s="83">
        <f t="shared" ref="BP41" si="106">BP36-BO36</f>
        <v>1.8318461741766328</v>
      </c>
      <c r="BQ41" s="83">
        <f t="shared" ref="BQ41" si="107">BQ36-BP36</f>
        <v>1.8285034494535637</v>
      </c>
      <c r="BR41" s="83">
        <f t="shared" ref="BR41" si="108">BR36-BQ36</f>
        <v>1.8252038726934927</v>
      </c>
    </row>
    <row r="42" spans="1:70">
      <c r="A42" t="s">
        <v>16</v>
      </c>
      <c r="B42" s="223" t="s">
        <v>222</v>
      </c>
      <c r="C42" s="223"/>
      <c r="E42" s="72"/>
      <c r="F42" s="72"/>
      <c r="G42" s="72"/>
      <c r="H42" s="72"/>
      <c r="I42" s="72"/>
      <c r="J42" s="72"/>
      <c r="K42" s="72"/>
      <c r="L42" s="71"/>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row>
    <row r="43" spans="1:70">
      <c r="A43" t="s">
        <v>16</v>
      </c>
      <c r="B43" s="228" t="str">
        <f>C14</f>
        <v>A</v>
      </c>
      <c r="C43" s="223"/>
      <c r="E43" s="72"/>
      <c r="F43" s="72"/>
      <c r="G43" s="72"/>
      <c r="H43" s="72"/>
      <c r="I43" s="145"/>
      <c r="J43" s="72"/>
      <c r="K43" s="72"/>
      <c r="L43" s="72" cm="1">
        <f t="array" ref="L43">SUM($L$41:$AX$41*(L$4=$L$4:$AX$4)*($B43=$L$11:$AX$11))</f>
        <v>0</v>
      </c>
      <c r="M43" s="72" cm="1">
        <f t="array" ref="M43">SUM($L$41:$AX$41*(M$4=$L$4:$AX$4)*($B43=$L$11:$AX$11))</f>
        <v>0</v>
      </c>
      <c r="N43" s="72" cm="1">
        <f t="array" ref="N43">SUM($L$41:$AX$41*(N$4=$L$4:$AX$4)*($B43=$L$11:$AX$11))</f>
        <v>0</v>
      </c>
      <c r="O43" s="72" cm="1">
        <f t="array" ref="O43">SUM($L$41:$AX$41*(O$4=$L$4:$AX$4)*($B43=$L$11:$AX$11))</f>
        <v>0</v>
      </c>
      <c r="P43" s="72" cm="1">
        <f t="array" ref="P43">SUM($L$41:$AX$41*(P$4=$L$4:$AX$4)*($B43=$L$11:$AX$11))</f>
        <v>0</v>
      </c>
      <c r="Q43" s="72" cm="1">
        <f t="array" ref="Q43">SUM($L$41:$AX$41*(Q$4=$L$4:$AX$4)*($B43=$L$11:$AX$11))</f>
        <v>0</v>
      </c>
      <c r="R43" s="72" cm="1">
        <f t="array" ref="R43">SUM($L$41:$AX$41*(R$4=$L$4:$AX$4)*($B43=$L$11:$AX$11))</f>
        <v>0</v>
      </c>
      <c r="S43" s="72" cm="1">
        <f t="array" ref="S43">SUM($L$41:$AX$41*(S$4=$L$4:$AX$4)*($B43=$L$11:$AX$11))</f>
        <v>0</v>
      </c>
      <c r="T43" s="72" cm="1">
        <f t="array" ref="T43">SUM($L$41:$AX$41*(T$4=$L$4:$AX$4)*($B43=$L$11:$AX$11))</f>
        <v>0</v>
      </c>
      <c r="U43" s="72" cm="1">
        <f t="array" ref="U43">SUM($L$41:$AX$41*(U$4=$L$4:$AX$4)*($B43=$L$11:$AX$11))</f>
        <v>0</v>
      </c>
      <c r="V43" s="72" cm="1">
        <f t="array" ref="V43">SUM($L$41:$AX$41*(V$4=$L$4:$AX$4)*($B43=$L$11:$AX$11))</f>
        <v>0</v>
      </c>
      <c r="W43" s="72" cm="1">
        <f t="array" ref="W43">SUM($L$41:$AX$41*(W$4=$L$4:$AX$4)*($B43=$L$11:$AX$11))</f>
        <v>0</v>
      </c>
      <c r="X43" s="72" cm="1">
        <f t="array" ref="X43">SUM($L$41:$AX$41*(X$4=$L$4:$AX$4)*($B43=$L$11:$AX$11))</f>
        <v>0</v>
      </c>
      <c r="Y43" s="72" cm="1">
        <f t="array" ref="Y43">SUM($L$41:$AX$41*(Y$4=$L$4:$AX$4)*($B43=$L$11:$AX$11))</f>
        <v>0</v>
      </c>
      <c r="Z43" s="72" cm="1">
        <f t="array" ref="Z43">SUM($L$41:$AX$41*(Z$4=$L$4:$AX$4)*($B43=$L$11:$AX$11))</f>
        <v>0</v>
      </c>
      <c r="AA43" s="72" cm="1">
        <f t="array" ref="AA43">SUM($L$41:$AX$41*(AA$4=$L$4:$AX$4)*($B43=$L$11:$AX$11))</f>
        <v>0</v>
      </c>
      <c r="AB43" s="72" cm="1">
        <f t="array" ref="AB43">SUM($L$41:$AX$41*(AB$4=$L$4:$AX$4)*($B43=$L$11:$AX$11))</f>
        <v>0</v>
      </c>
      <c r="AC43" s="72" cm="1">
        <f t="array" ref="AC43">SUM($L$41:$AX$41*(AC$4=$L$4:$AX$4)*($B43=$L$11:$AX$11))</f>
        <v>0</v>
      </c>
      <c r="AD43" s="72" cm="1">
        <f t="array" ref="AD43">SUM($L$41:$AX$41*(AD$4=$L$4:$AX$4)*($B43=$L$11:$AX$11))</f>
        <v>0</v>
      </c>
      <c r="AE43" s="72" cm="1">
        <f t="array" ref="AE43">SUM($L$41:$AX$41*(AE$4=$L$4:$AX$4)*($B43=$L$11:$AX$11))</f>
        <v>0</v>
      </c>
      <c r="AF43" s="72" cm="1">
        <f t="array" ref="AF43">SUM($L$41:$AX$41*(AF$4=$L$4:$AX$4)*($B43=$L$11:$AX$11))</f>
        <v>0</v>
      </c>
      <c r="AG43" s="72" cm="1">
        <f t="array" ref="AG43">SUM($L$41:$AX$41*(AG$4=$L$4:$AX$4)*($B43=$L$11:$AX$11))</f>
        <v>0</v>
      </c>
      <c r="AH43" s="72" cm="1">
        <f t="array" ref="AH43">SUM($L$41:$AX$41*(AH$4=$L$4:$AX$4)*($B43=$L$11:$AX$11))</f>
        <v>0</v>
      </c>
      <c r="AI43" s="72" cm="1">
        <f t="array" ref="AI43">SUM($L$41:$AX$41*(AI$4=$L$4:$AX$4)*($B43=$L$11:$AX$11))</f>
        <v>0</v>
      </c>
      <c r="AJ43" s="72" cm="1">
        <f t="array" ref="AJ43">SUM($L$41:$AX$41*(AJ$4=$L$4:$AX$4)*($B43=$L$11:$AX$11))</f>
        <v>0</v>
      </c>
      <c r="AK43" s="72" cm="1">
        <f t="array" ref="AK43">SUM($L$41:$AX$41*(AK$4=$L$4:$AX$4)*($B43=$L$11:$AX$11))</f>
        <v>0</v>
      </c>
      <c r="AL43" s="72" cm="1">
        <f t="array" ref="AL43">SUM($L$41:$AX$41*(AL$4=$L$4:$AX$4)*($B43=$L$11:$AX$11))</f>
        <v>0</v>
      </c>
      <c r="AM43" s="72" cm="1">
        <f t="array" ref="AM43">SUM($L$41:$AX$41*(AM$4=$L$4:$AX$4)*($B43=$L$11:$AX$11))</f>
        <v>0</v>
      </c>
      <c r="AN43" s="72" cm="1">
        <f t="array" ref="AN43">SUM($L$41:$AX$41*(AN$4=$L$4:$AX$4)*($B43=$L$11:$AX$11))</f>
        <v>0</v>
      </c>
      <c r="AO43" s="72" cm="1">
        <f t="array" ref="AO43">SUM($L$41:$AX$41*(AO$4=$L$4:$AX$4)*($B43=$L$11:$AX$11))</f>
        <v>0</v>
      </c>
      <c r="AP43" s="72" cm="1">
        <f t="array" ref="AP43">SUM($L$41:$AX$41*(AP$4=$L$4:$AX$4)*($B43=$L$11:$AX$11))</f>
        <v>0</v>
      </c>
      <c r="AQ43" s="72" cm="1">
        <f t="array" ref="AQ43">SUM($L$41:$AX$41*(AQ$4=$L$4:$AX$4)*($B43=$L$11:$AX$11))</f>
        <v>0</v>
      </c>
      <c r="AR43" s="72" cm="1">
        <f t="array" ref="AR43">SUM($L$41:$AX$41*(AR$4=$L$4:$AX$4)*($B43=$L$11:$AX$11))</f>
        <v>0</v>
      </c>
      <c r="AS43" s="72" cm="1">
        <f t="array" ref="AS43">SUM($L$41:$AX$41*(AS$4=$L$4:$AX$4)*($B43=$L$11:$AX$11))</f>
        <v>0</v>
      </c>
      <c r="AT43" s="72" cm="1">
        <f t="array" ref="AT43">SUM($L$41:$AX$41*(AT$4=$L$4:$AX$4)*($B43=$L$11:$AX$11))</f>
        <v>0</v>
      </c>
      <c r="AU43" s="72" cm="1">
        <f t="array" ref="AU43">SUM($L$41:$AX$41*(AU$4=$L$4:$AX$4)*($B43=$L$11:$AX$11))</f>
        <v>0</v>
      </c>
      <c r="AV43" s="72" cm="1">
        <f t="array" ref="AV43">SUM($L$41:$AX$41*(AV$4=$L$4:$AX$4)*($B43=$L$11:$AX$11))</f>
        <v>0</v>
      </c>
      <c r="AW43" s="72" cm="1">
        <f t="array" ref="AW43">SUM($L$41:$AX$41*(AW$4=$L$4:$AX$4)*($B43=$L$11:$AX$11))</f>
        <v>0</v>
      </c>
      <c r="AX43" s="72" cm="1">
        <f t="array" ref="AX43">SUM($L$41:$AX$41*(AX$4=$L$4:$AX$4)*($B43=$L$11:$AX$11))</f>
        <v>0</v>
      </c>
      <c r="AY43" s="72" cm="1">
        <f t="array" ref="AY43">SUM($L$41:$AX$41*(AY$4=$L$4:$AX$4)*($B43=$L$11:$AX$11))</f>
        <v>0</v>
      </c>
      <c r="AZ43" s="72" cm="1">
        <f t="array" ref="AZ43">SUM($L$41:$AX$41*(AZ$4=$L$4:$AX$4)*($B43=$L$11:$AX$11))</f>
        <v>0</v>
      </c>
      <c r="BA43" s="72" cm="1">
        <f t="array" ref="BA43">SUM($L$41:$AX$41*(BA$4=$L$4:$AX$4)*($B43=$L$11:$AX$11))</f>
        <v>0</v>
      </c>
      <c r="BB43" s="72" cm="1">
        <f t="array" ref="BB43">SUM($L$41:$AX$41*(BB$4=$L$4:$AX$4)*($B43=$L$11:$AX$11))</f>
        <v>0</v>
      </c>
      <c r="BC43" s="72" cm="1">
        <f t="array" ref="BC43">SUM($L$41:$AX$41*(BC$4=$L$4:$AX$4)*($B43=$L$11:$AX$11))</f>
        <v>0</v>
      </c>
      <c r="BD43" s="72" cm="1">
        <f t="array" ref="BD43">SUM($L$41:$AX$41*(BD$4=$L$4:$AX$4)*($B43=$L$11:$AX$11))</f>
        <v>0</v>
      </c>
      <c r="BE43" s="72" cm="1">
        <f t="array" ref="BE43">SUM($L$41:$AX$41*(BE$4=$L$4:$AX$4)*($B43=$L$11:$AX$11))</f>
        <v>0</v>
      </c>
      <c r="BF43" s="72" cm="1">
        <f t="array" ref="BF43">SUM($L$41:$AX$41*(BF$4=$L$4:$AX$4)*($B43=$L$11:$AX$11))</f>
        <v>0</v>
      </c>
      <c r="BG43" s="72" cm="1">
        <f t="array" ref="BG43">SUM($L$41:$AX$41*(BG$4=$L$4:$AX$4)*($B43=$L$11:$AX$11))</f>
        <v>0</v>
      </c>
      <c r="BH43" s="72" cm="1">
        <f t="array" ref="BH43">SUM($L$41:$AX$41*(BH$4=$L$4:$AX$4)*($B43=$L$11:$AX$11))</f>
        <v>0</v>
      </c>
      <c r="BI43" s="72" cm="1">
        <f t="array" ref="BI43">SUM($L$41:$AX$41*(BI$4=$L$4:$AX$4)*($B43=$L$11:$AX$11))</f>
        <v>0</v>
      </c>
      <c r="BJ43" s="72" cm="1">
        <f t="array" ref="BJ43">SUM($L$41:$AX$41*(BJ$4=$L$4:$AX$4)*($B43=$L$11:$AX$11))</f>
        <v>0</v>
      </c>
      <c r="BK43" s="72" cm="1">
        <f t="array" ref="BK43">SUM($L$41:$AX$41*(BK$4=$L$4:$AX$4)*($B43=$L$11:$AX$11))</f>
        <v>0</v>
      </c>
      <c r="BL43" s="72" cm="1">
        <f t="array" ref="BL43">SUM($L$41:$AX$41*(BL$4=$L$4:$AX$4)*($B43=$L$11:$AX$11))</f>
        <v>0</v>
      </c>
      <c r="BM43" s="72" cm="1">
        <f t="array" ref="BM43">SUM($L$41:$AX$41*(BM$4=$L$4:$AX$4)*($B43=$L$11:$AX$11))</f>
        <v>0</v>
      </c>
      <c r="BN43" s="72" cm="1">
        <f t="array" ref="BN43">SUM($L$41:$AX$41*(BN$4=$L$4:$AX$4)*($B43=$L$11:$AX$11))</f>
        <v>0</v>
      </c>
      <c r="BO43" s="72" cm="1">
        <f t="array" ref="BO43">SUM($L$41:$AX$41*(BO$4=$L$4:$AX$4)*($B43=$L$11:$AX$11))</f>
        <v>0</v>
      </c>
      <c r="BP43" s="72" cm="1">
        <f t="array" ref="BP43">SUM($L$41:$AX$41*(BP$4=$L$4:$AX$4)*($B43=$L$11:$AX$11))</f>
        <v>0</v>
      </c>
      <c r="BQ43" s="72" cm="1">
        <f t="array" ref="BQ43">SUM($L$41:$AX$41*(BQ$4=$L$4:$AX$4)*($B43=$L$11:$AX$11))</f>
        <v>0</v>
      </c>
      <c r="BR43" s="72" cm="1">
        <f t="array" ref="BR43">SUM($L$41:$AX$41*(BR$4=$L$4:$AX$4)*($B43=$L$11:$AX$11))</f>
        <v>0</v>
      </c>
    </row>
    <row r="44" spans="1:70">
      <c r="A44" t="s">
        <v>16</v>
      </c>
      <c r="B44" s="228" t="str">
        <f>C15</f>
        <v>B</v>
      </c>
      <c r="C44" s="223"/>
      <c r="E44" s="72"/>
      <c r="F44" s="72"/>
      <c r="G44" s="72"/>
      <c r="H44" s="72"/>
      <c r="I44" s="145"/>
      <c r="J44" s="72"/>
      <c r="K44" s="72"/>
      <c r="L44" s="72" cm="1">
        <f t="array" ref="L44">SUM($L$41:$AX$41*(L$4=$L$4:$AX$4)*($B44=$L$11:$AX$11))</f>
        <v>0</v>
      </c>
      <c r="M44" s="72" cm="1">
        <f t="array" ref="M44">SUM($L$41:$AX$41*(M$4=$L$4:$AX$4)*($B44=$L$11:$AX$11))</f>
        <v>0</v>
      </c>
      <c r="N44" s="72" cm="1">
        <f t="array" ref="N44">SUM($L$41:$AX$41*(N$4=$L$4:$AX$4)*($B44=$L$11:$AX$11))</f>
        <v>0</v>
      </c>
      <c r="O44" s="72" cm="1">
        <f t="array" ref="O44">SUM($L$41:$AX$41*(O$4=$L$4:$AX$4)*($B44=$L$11:$AX$11))</f>
        <v>0</v>
      </c>
      <c r="P44" s="72" cm="1">
        <f t="array" ref="P44">SUM($L$41:$AX$41*(P$4=$L$4:$AX$4)*($B44=$L$11:$AX$11))</f>
        <v>0</v>
      </c>
      <c r="Q44" s="72" cm="1">
        <f t="array" ref="Q44">SUM($L$41:$AX$41*(Q$4=$L$4:$AX$4)*($B44=$L$11:$AX$11))</f>
        <v>0</v>
      </c>
      <c r="R44" s="72" cm="1">
        <f t="array" ref="R44">SUM($L$41:$AX$41*(R$4=$L$4:$AX$4)*($B44=$L$11:$AX$11))</f>
        <v>1.9150455230721981</v>
      </c>
      <c r="S44" s="72" cm="1">
        <f t="array" ref="S44">SUM($L$41:$AX$41*(S$4=$L$4:$AX$4)*($B44=$L$11:$AX$11))</f>
        <v>1.7744452084771005</v>
      </c>
      <c r="T44" s="72" cm="1">
        <f t="array" ref="T44">SUM($L$41:$AX$41*(T$4=$L$4:$AX$4)*($B44=$L$11:$AX$11))</f>
        <v>1.113805073797181</v>
      </c>
      <c r="U44" s="72" cm="1">
        <f t="array" ref="U44">SUM($L$41:$AX$41*(U$4=$L$4:$AX$4)*($B44=$L$11:$AX$11))</f>
        <v>3.663982175012535</v>
      </c>
      <c r="V44" s="72" cm="1">
        <f t="array" ref="V44">SUM($L$41:$AX$41*(V$4=$L$4:$AX$4)*($B44=$L$11:$AX$11))</f>
        <v>2.0907835503525192</v>
      </c>
      <c r="W44" s="72" cm="1">
        <f t="array" ref="W44">SUM($L$41:$AX$41*(W$4=$L$4:$AX$4)*($B44=$L$11:$AX$11))</f>
        <v>1.2169506920045379</v>
      </c>
      <c r="X44" s="72" cm="1">
        <f t="array" ref="X44">SUM($L$41:$AX$41*(X$4=$L$4:$AX$4)*($B44=$L$11:$AX$11))</f>
        <v>1.6299902869569074</v>
      </c>
      <c r="Y44" s="72" cm="1">
        <f t="array" ref="Y44">SUM($L$41:$AX$41*(Y$4=$L$4:$AX$4)*($B44=$L$11:$AX$11))</f>
        <v>1.6841252084163649</v>
      </c>
      <c r="Z44" s="72" cm="1">
        <f t="array" ref="Z44">SUM($L$41:$AX$41*(Z$4=$L$4:$AX$4)*($B44=$L$11:$AX$11))</f>
        <v>1.8432056366152558</v>
      </c>
      <c r="AA44" s="72" cm="1">
        <f t="array" ref="AA44">SUM($L$41:$AX$41*(AA$4=$L$4:$AX$4)*($B44=$L$11:$AX$11))</f>
        <v>1.9525778244049405</v>
      </c>
      <c r="AB44" s="72" cm="1">
        <f t="array" ref="AB44">SUM($L$41:$AX$41*(AB$4=$L$4:$AX$4)*($B44=$L$11:$AX$11))</f>
        <v>2.064115529851474</v>
      </c>
      <c r="AC44" s="72" cm="1">
        <f t="array" ref="AC44">SUM($L$41:$AX$41*(AC$4=$L$4:$AX$4)*($B44=$L$11:$AX$11))</f>
        <v>2.2862492822922462</v>
      </c>
      <c r="AD44" s="72" cm="1">
        <f t="array" ref="AD44">SUM($L$41:$AX$41*(AD$4=$L$4:$AX$4)*($B44=$L$11:$AX$11))</f>
        <v>2.5226690819074342</v>
      </c>
      <c r="AE44" s="72" cm="1">
        <f t="array" ref="AE44">SUM($L$41:$AX$41*(AE$4=$L$4:$AX$4)*($B44=$L$11:$AX$11))</f>
        <v>0</v>
      </c>
      <c r="AF44" s="72" cm="1">
        <f t="array" ref="AF44">SUM($L$41:$AX$41*(AF$4=$L$4:$AX$4)*($B44=$L$11:$AX$11))</f>
        <v>0</v>
      </c>
      <c r="AG44" s="72" cm="1">
        <f t="array" ref="AG44">SUM($L$41:$AX$41*(AG$4=$L$4:$AX$4)*($B44=$L$11:$AX$11))</f>
        <v>0</v>
      </c>
      <c r="AH44" s="72" cm="1">
        <f t="array" ref="AH44">SUM($L$41:$AX$41*(AH$4=$L$4:$AX$4)*($B44=$L$11:$AX$11))</f>
        <v>0</v>
      </c>
      <c r="AI44" s="72" cm="1">
        <f t="array" ref="AI44">SUM($L$41:$AX$41*(AI$4=$L$4:$AX$4)*($B44=$L$11:$AX$11))</f>
        <v>0</v>
      </c>
      <c r="AJ44" s="72" cm="1">
        <f t="array" ref="AJ44">SUM($L$41:$AX$41*(AJ$4=$L$4:$AX$4)*($B44=$L$11:$AX$11))</f>
        <v>0</v>
      </c>
      <c r="AK44" s="72" cm="1">
        <f t="array" ref="AK44">SUM($L$41:$AX$41*(AK$4=$L$4:$AX$4)*($B44=$L$11:$AX$11))</f>
        <v>0</v>
      </c>
      <c r="AL44" s="72" cm="1">
        <f t="array" ref="AL44">SUM($L$41:$AX$41*(AL$4=$L$4:$AX$4)*($B44=$L$11:$AX$11))</f>
        <v>0</v>
      </c>
      <c r="AM44" s="72" cm="1">
        <f t="array" ref="AM44">SUM($L$41:$AX$41*(AM$4=$L$4:$AX$4)*($B44=$L$11:$AX$11))</f>
        <v>0</v>
      </c>
      <c r="AN44" s="72" cm="1">
        <f t="array" ref="AN44">SUM($L$41:$AX$41*(AN$4=$L$4:$AX$4)*($B44=$L$11:$AX$11))</f>
        <v>0</v>
      </c>
      <c r="AO44" s="72" cm="1">
        <f t="array" ref="AO44">SUM($L$41:$AX$41*(AO$4=$L$4:$AX$4)*($B44=$L$11:$AX$11))</f>
        <v>0</v>
      </c>
      <c r="AP44" s="72" cm="1">
        <f t="array" ref="AP44">SUM($L$41:$AX$41*(AP$4=$L$4:$AX$4)*($B44=$L$11:$AX$11))</f>
        <v>0</v>
      </c>
      <c r="AQ44" s="72" cm="1">
        <f t="array" ref="AQ44">SUM($L$41:$AX$41*(AQ$4=$L$4:$AX$4)*($B44=$L$11:$AX$11))</f>
        <v>0</v>
      </c>
      <c r="AR44" s="72" cm="1">
        <f t="array" ref="AR44">SUM($L$41:$AX$41*(AR$4=$L$4:$AX$4)*($B44=$L$11:$AX$11))</f>
        <v>0</v>
      </c>
      <c r="AS44" s="72" cm="1">
        <f t="array" ref="AS44">SUM($L$41:$AX$41*(AS$4=$L$4:$AX$4)*($B44=$L$11:$AX$11))</f>
        <v>0</v>
      </c>
      <c r="AT44" s="72" cm="1">
        <f t="array" ref="AT44">SUM($L$41:$AX$41*(AT$4=$L$4:$AX$4)*($B44=$L$11:$AX$11))</f>
        <v>0</v>
      </c>
      <c r="AU44" s="72" cm="1">
        <f t="array" ref="AU44">SUM($L$41:$AX$41*(AU$4=$L$4:$AX$4)*($B44=$L$11:$AX$11))</f>
        <v>0</v>
      </c>
      <c r="AV44" s="72" cm="1">
        <f t="array" ref="AV44">SUM($L$41:$AX$41*(AV$4=$L$4:$AX$4)*($B44=$L$11:$AX$11))</f>
        <v>0</v>
      </c>
      <c r="AW44" s="72" cm="1">
        <f t="array" ref="AW44">SUM($L$41:$AX$41*(AW$4=$L$4:$AX$4)*($B44=$L$11:$AX$11))</f>
        <v>0</v>
      </c>
      <c r="AX44" s="72" cm="1">
        <f t="array" ref="AX44">SUM($L$41:$AX$41*(AX$4=$L$4:$AX$4)*($B44=$L$11:$AX$11))</f>
        <v>0</v>
      </c>
      <c r="AY44" s="72" cm="1">
        <f t="array" ref="AY44">SUM($L$41:$AX$41*(AY$4=$L$4:$AX$4)*($B44=$L$11:$AX$11))</f>
        <v>0</v>
      </c>
      <c r="AZ44" s="72" cm="1">
        <f t="array" ref="AZ44">SUM($L$41:$AX$41*(AZ$4=$L$4:$AX$4)*($B44=$L$11:$AX$11))</f>
        <v>0</v>
      </c>
      <c r="BA44" s="72" cm="1">
        <f t="array" ref="BA44">SUM($L$41:$AX$41*(BA$4=$L$4:$AX$4)*($B44=$L$11:$AX$11))</f>
        <v>0</v>
      </c>
      <c r="BB44" s="72" cm="1">
        <f t="array" ref="BB44">SUM($L$41:$AX$41*(BB$4=$L$4:$AX$4)*($B44=$L$11:$AX$11))</f>
        <v>0</v>
      </c>
      <c r="BC44" s="72" cm="1">
        <f t="array" ref="BC44">SUM($L$41:$AX$41*(BC$4=$L$4:$AX$4)*($B44=$L$11:$AX$11))</f>
        <v>0</v>
      </c>
      <c r="BD44" s="72" cm="1">
        <f t="array" ref="BD44">SUM($L$41:$AX$41*(BD$4=$L$4:$AX$4)*($B44=$L$11:$AX$11))</f>
        <v>0</v>
      </c>
      <c r="BE44" s="72" cm="1">
        <f t="array" ref="BE44">SUM($L$41:$AX$41*(BE$4=$L$4:$AX$4)*($B44=$L$11:$AX$11))</f>
        <v>0</v>
      </c>
      <c r="BF44" s="72" cm="1">
        <f t="array" ref="BF44">SUM($L$41:$AX$41*(BF$4=$L$4:$AX$4)*($B44=$L$11:$AX$11))</f>
        <v>0</v>
      </c>
      <c r="BG44" s="72" cm="1">
        <f t="array" ref="BG44">SUM($L$41:$AX$41*(BG$4=$L$4:$AX$4)*($B44=$L$11:$AX$11))</f>
        <v>0</v>
      </c>
      <c r="BH44" s="72" cm="1">
        <f t="array" ref="BH44">SUM($L$41:$AX$41*(BH$4=$L$4:$AX$4)*($B44=$L$11:$AX$11))</f>
        <v>0</v>
      </c>
      <c r="BI44" s="72" cm="1">
        <f t="array" ref="BI44">SUM($L$41:$AX$41*(BI$4=$L$4:$AX$4)*($B44=$L$11:$AX$11))</f>
        <v>0</v>
      </c>
      <c r="BJ44" s="72" cm="1">
        <f t="array" ref="BJ44">SUM($L$41:$AX$41*(BJ$4=$L$4:$AX$4)*($B44=$L$11:$AX$11))</f>
        <v>0</v>
      </c>
      <c r="BK44" s="72" cm="1">
        <f t="array" ref="BK44">SUM($L$41:$AX$41*(BK$4=$L$4:$AX$4)*($B44=$L$11:$AX$11))</f>
        <v>0</v>
      </c>
      <c r="BL44" s="72" cm="1">
        <f t="array" ref="BL44">SUM($L$41:$AX$41*(BL$4=$L$4:$AX$4)*($B44=$L$11:$AX$11))</f>
        <v>0</v>
      </c>
      <c r="BM44" s="72" cm="1">
        <f t="array" ref="BM44">SUM($L$41:$AX$41*(BM$4=$L$4:$AX$4)*($B44=$L$11:$AX$11))</f>
        <v>0</v>
      </c>
      <c r="BN44" s="72" cm="1">
        <f t="array" ref="BN44">SUM($L$41:$AX$41*(BN$4=$L$4:$AX$4)*($B44=$L$11:$AX$11))</f>
        <v>0</v>
      </c>
      <c r="BO44" s="72" cm="1">
        <f t="array" ref="BO44">SUM($L$41:$AX$41*(BO$4=$L$4:$AX$4)*($B44=$L$11:$AX$11))</f>
        <v>0</v>
      </c>
      <c r="BP44" s="72" cm="1">
        <f t="array" ref="BP44">SUM($L$41:$AX$41*(BP$4=$L$4:$AX$4)*($B44=$L$11:$AX$11))</f>
        <v>0</v>
      </c>
      <c r="BQ44" s="72" cm="1">
        <f t="array" ref="BQ44">SUM($L$41:$AX$41*(BQ$4=$L$4:$AX$4)*($B44=$L$11:$AX$11))</f>
        <v>0</v>
      </c>
      <c r="BR44" s="72" cm="1">
        <f t="array" ref="BR44">SUM($L$41:$AX$41*(BR$4=$L$4:$AX$4)*($B44=$L$11:$AX$11))</f>
        <v>0</v>
      </c>
    </row>
    <row r="45" spans="1:70">
      <c r="A45" t="s">
        <v>16</v>
      </c>
      <c r="B45" s="228" t="str">
        <f>C16</f>
        <v>C</v>
      </c>
      <c r="C45" s="223"/>
      <c r="E45" s="72"/>
      <c r="F45" s="72"/>
      <c r="G45" s="72"/>
      <c r="H45" s="72"/>
      <c r="I45" s="145"/>
      <c r="J45" s="72"/>
      <c r="K45" s="72"/>
      <c r="L45" s="72" cm="1">
        <f t="array" ref="L45">SUM($L$41:$AX$41*(L$4=$L$4:$AX$4)*($B45=$L$11:$AX$11))</f>
        <v>0</v>
      </c>
      <c r="M45" s="72" cm="1">
        <f t="array" ref="M45">SUM($L$41:$AX$41*(M$4=$L$4:$AX$4)*($B45=$L$11:$AX$11))</f>
        <v>0</v>
      </c>
      <c r="N45" s="72" cm="1">
        <f t="array" ref="N45">SUM($L$41:$AX$41*(N$4=$L$4:$AX$4)*($B45=$L$11:$AX$11))</f>
        <v>0</v>
      </c>
      <c r="O45" s="72" cm="1">
        <f t="array" ref="O45">SUM($L$41:$AX$41*(O$4=$L$4:$AX$4)*($B45=$L$11:$AX$11))</f>
        <v>0</v>
      </c>
      <c r="P45" s="72" cm="1">
        <f t="array" ref="P45">SUM($L$41:$AX$41*(P$4=$L$4:$AX$4)*($B45=$L$11:$AX$11))</f>
        <v>0</v>
      </c>
      <c r="Q45" s="72" cm="1">
        <f t="array" ref="Q45">SUM($L$41:$AX$41*(Q$4=$L$4:$AX$4)*($B45=$L$11:$AX$11))</f>
        <v>0</v>
      </c>
      <c r="R45" s="72" cm="1">
        <f t="array" ref="R45">SUM($L$41:$AX$41*(R$4=$L$4:$AX$4)*($B45=$L$11:$AX$11))</f>
        <v>0</v>
      </c>
      <c r="S45" s="72" cm="1">
        <f t="array" ref="S45">SUM($L$41:$AX$41*(S$4=$L$4:$AX$4)*($B45=$L$11:$AX$11))</f>
        <v>0</v>
      </c>
      <c r="T45" s="72" cm="1">
        <f t="array" ref="T45">SUM($L$41:$AX$41*(T$4=$L$4:$AX$4)*($B45=$L$11:$AX$11))</f>
        <v>0</v>
      </c>
      <c r="U45" s="72" cm="1">
        <f t="array" ref="U45">SUM($L$41:$AX$41*(U$4=$L$4:$AX$4)*($B45=$L$11:$AX$11))</f>
        <v>0</v>
      </c>
      <c r="V45" s="72" cm="1">
        <f t="array" ref="V45">SUM($L$41:$AX$41*(V$4=$L$4:$AX$4)*($B45=$L$11:$AX$11))</f>
        <v>0</v>
      </c>
      <c r="W45" s="72" cm="1">
        <f t="array" ref="W45">SUM($L$41:$AX$41*(W$4=$L$4:$AX$4)*($B45=$L$11:$AX$11))</f>
        <v>0</v>
      </c>
      <c r="X45" s="72" cm="1">
        <f t="array" ref="X45">SUM($L$41:$AX$41*(X$4=$L$4:$AX$4)*($B45=$L$11:$AX$11))</f>
        <v>0</v>
      </c>
      <c r="Y45" s="72" cm="1">
        <f t="array" ref="Y45">SUM($L$41:$AX$41*(Y$4=$L$4:$AX$4)*($B45=$L$11:$AX$11))</f>
        <v>0</v>
      </c>
      <c r="Z45" s="72" cm="1">
        <f t="array" ref="Z45">SUM($L$41:$AX$41*(Z$4=$L$4:$AX$4)*($B45=$L$11:$AX$11))</f>
        <v>0</v>
      </c>
      <c r="AA45" s="72" cm="1">
        <f t="array" ref="AA45">SUM($L$41:$AX$41*(AA$4=$L$4:$AX$4)*($B45=$L$11:$AX$11))</f>
        <v>0</v>
      </c>
      <c r="AB45" s="72" cm="1">
        <f t="array" ref="AB45">SUM($L$41:$AX$41*(AB$4=$L$4:$AX$4)*($B45=$L$11:$AX$11))</f>
        <v>0</v>
      </c>
      <c r="AC45" s="72" cm="1">
        <f t="array" ref="AC45">SUM($L$41:$AX$41*(AC$4=$L$4:$AX$4)*($B45=$L$11:$AX$11))</f>
        <v>0</v>
      </c>
      <c r="AD45" s="72" cm="1">
        <f t="array" ref="AD45">SUM($L$41:$AX$41*(AD$4=$L$4:$AX$4)*($B45=$L$11:$AX$11))</f>
        <v>0</v>
      </c>
      <c r="AE45" s="72" cm="1">
        <f t="array" ref="AE45">SUM($L$41:$AX$41*(AE$4=$L$4:$AX$4)*($B45=$L$11:$AX$11))</f>
        <v>2.7108208614076297</v>
      </c>
      <c r="AF45" s="72" cm="1">
        <f t="array" ref="AF45">SUM($L$41:$AX$41*(AF$4=$L$4:$AX$4)*($B45=$L$11:$AX$11))</f>
        <v>2.7701132109829096</v>
      </c>
      <c r="AG45" s="72" cm="1">
        <f t="array" ref="AG45">SUM($L$41:$AX$41*(AG$4=$L$4:$AX$4)*($B45=$L$11:$AX$11))</f>
        <v>2.8424225246661941</v>
      </c>
      <c r="AH45" s="72" cm="1">
        <f t="array" ref="AH45">SUM($L$41:$AX$41*(AH$4=$L$4:$AX$4)*($B45=$L$11:$AX$11))</f>
        <v>3.0578193890723142</v>
      </c>
      <c r="AI45" s="72" cm="1">
        <f t="array" ref="AI45">SUM($L$41:$AX$41*(AI$4=$L$4:$AX$4)*($B45=$L$11:$AX$11))</f>
        <v>3.1355975159624592</v>
      </c>
      <c r="AJ45" s="72" cm="1">
        <f t="array" ref="AJ45">SUM($L$41:$AX$41*(AJ$4=$L$4:$AX$4)*($B45=$L$11:$AX$11))</f>
        <v>3.2160633368624403</v>
      </c>
      <c r="AK45" s="72" cm="1">
        <f t="array" ref="AK45">SUM($L$41:$AX$41*(AK$4=$L$4:$AX$4)*($B45=$L$11:$AX$11))</f>
        <v>3.3067421431694655</v>
      </c>
      <c r="AL45" s="72" cm="1">
        <f t="array" ref="AL45">SUM($L$41:$AX$41*(AL$4=$L$4:$AX$4)*($B45=$L$11:$AX$11))</f>
        <v>3.3637235765130526</v>
      </c>
      <c r="AM45" s="72" cm="1">
        <f t="array" ref="AM45">SUM($L$41:$AX$41*(AM$4=$L$4:$AX$4)*($B45=$L$11:$AX$11))</f>
        <v>3.3525765314289018</v>
      </c>
      <c r="AN45" s="72" cm="1">
        <f t="array" ref="AN45">SUM($L$41:$AX$41*(AN$4=$L$4:$AX$4)*($B45=$L$11:$AX$11))</f>
        <v>3.3168753799154587</v>
      </c>
      <c r="AO45" s="72" cm="1">
        <f t="array" ref="AO45">SUM($L$41:$AX$41*(AO$4=$L$4:$AX$4)*($B45=$L$11:$AX$11))</f>
        <v>0</v>
      </c>
      <c r="AP45" s="72" cm="1">
        <f t="array" ref="AP45">SUM($L$41:$AX$41*(AP$4=$L$4:$AX$4)*($B45=$L$11:$AX$11))</f>
        <v>0</v>
      </c>
      <c r="AQ45" s="72" cm="1">
        <f t="array" ref="AQ45">SUM($L$41:$AX$41*(AQ$4=$L$4:$AX$4)*($B45=$L$11:$AX$11))</f>
        <v>0</v>
      </c>
      <c r="AR45" s="72" cm="1">
        <f t="array" ref="AR45">SUM($L$41:$AX$41*(AR$4=$L$4:$AX$4)*($B45=$L$11:$AX$11))</f>
        <v>0</v>
      </c>
      <c r="AS45" s="72" cm="1">
        <f t="array" ref="AS45">SUM($L$41:$AX$41*(AS$4=$L$4:$AX$4)*($B45=$L$11:$AX$11))</f>
        <v>0</v>
      </c>
      <c r="AT45" s="72" cm="1">
        <f t="array" ref="AT45">SUM($L$41:$AX$41*(AT$4=$L$4:$AX$4)*($B45=$L$11:$AX$11))</f>
        <v>0</v>
      </c>
      <c r="AU45" s="72" cm="1">
        <f t="array" ref="AU45">SUM($L$41:$AX$41*(AU$4=$L$4:$AX$4)*($B45=$L$11:$AX$11))</f>
        <v>0</v>
      </c>
      <c r="AV45" s="72" cm="1">
        <f t="array" ref="AV45">SUM($L$41:$AX$41*(AV$4=$L$4:$AX$4)*($B45=$L$11:$AX$11))</f>
        <v>0</v>
      </c>
      <c r="AW45" s="72" cm="1">
        <f t="array" ref="AW45">SUM($L$41:$AX$41*(AW$4=$L$4:$AX$4)*($B45=$L$11:$AX$11))</f>
        <v>0</v>
      </c>
      <c r="AX45" s="72" cm="1">
        <f t="array" ref="AX45">SUM($L$41:$AX$41*(AX$4=$L$4:$AX$4)*($B45=$L$11:$AX$11))</f>
        <v>0</v>
      </c>
      <c r="AY45" s="72" cm="1">
        <f t="array" ref="AY45">SUM($L$41:$AX$41*(AY$4=$L$4:$AX$4)*($B45=$L$11:$AX$11))</f>
        <v>0</v>
      </c>
      <c r="AZ45" s="72" cm="1">
        <f t="array" ref="AZ45">SUM($L$41:$AX$41*(AZ$4=$L$4:$AX$4)*($B45=$L$11:$AX$11))</f>
        <v>0</v>
      </c>
      <c r="BA45" s="72" cm="1">
        <f t="array" ref="BA45">SUM($L$41:$AX$41*(BA$4=$L$4:$AX$4)*($B45=$L$11:$AX$11))</f>
        <v>0</v>
      </c>
      <c r="BB45" s="72" cm="1">
        <f t="array" ref="BB45">SUM($L$41:$AX$41*(BB$4=$L$4:$AX$4)*($B45=$L$11:$AX$11))</f>
        <v>0</v>
      </c>
      <c r="BC45" s="72" cm="1">
        <f t="array" ref="BC45">SUM($L$41:$AX$41*(BC$4=$L$4:$AX$4)*($B45=$L$11:$AX$11))</f>
        <v>0</v>
      </c>
      <c r="BD45" s="72" cm="1">
        <f t="array" ref="BD45">SUM($L$41:$AX$41*(BD$4=$L$4:$AX$4)*($B45=$L$11:$AX$11))</f>
        <v>0</v>
      </c>
      <c r="BE45" s="72" cm="1">
        <f t="array" ref="BE45">SUM($L$41:$AX$41*(BE$4=$L$4:$AX$4)*($B45=$L$11:$AX$11))</f>
        <v>0</v>
      </c>
      <c r="BF45" s="72" cm="1">
        <f t="array" ref="BF45">SUM($L$41:$AX$41*(BF$4=$L$4:$AX$4)*($B45=$L$11:$AX$11))</f>
        <v>0</v>
      </c>
      <c r="BG45" s="72" cm="1">
        <f t="array" ref="BG45">SUM($L$41:$AX$41*(BG$4=$L$4:$AX$4)*($B45=$L$11:$AX$11))</f>
        <v>0</v>
      </c>
      <c r="BH45" s="72" cm="1">
        <f t="array" ref="BH45">SUM($L$41:$AX$41*(BH$4=$L$4:$AX$4)*($B45=$L$11:$AX$11))</f>
        <v>0</v>
      </c>
      <c r="BI45" s="72" cm="1">
        <f t="array" ref="BI45">SUM($L$41:$AX$41*(BI$4=$L$4:$AX$4)*($B45=$L$11:$AX$11))</f>
        <v>0</v>
      </c>
      <c r="BJ45" s="72" cm="1">
        <f t="array" ref="BJ45">SUM($L$41:$AX$41*(BJ$4=$L$4:$AX$4)*($B45=$L$11:$AX$11))</f>
        <v>0</v>
      </c>
      <c r="BK45" s="72" cm="1">
        <f t="array" ref="BK45">SUM($L$41:$AX$41*(BK$4=$L$4:$AX$4)*($B45=$L$11:$AX$11))</f>
        <v>0</v>
      </c>
      <c r="BL45" s="72" cm="1">
        <f t="array" ref="BL45">SUM($L$41:$AX$41*(BL$4=$L$4:$AX$4)*($B45=$L$11:$AX$11))</f>
        <v>0</v>
      </c>
      <c r="BM45" s="72" cm="1">
        <f t="array" ref="BM45">SUM($L$41:$AX$41*(BM$4=$L$4:$AX$4)*($B45=$L$11:$AX$11))</f>
        <v>0</v>
      </c>
      <c r="BN45" s="72" cm="1">
        <f t="array" ref="BN45">SUM($L$41:$AX$41*(BN$4=$L$4:$AX$4)*($B45=$L$11:$AX$11))</f>
        <v>0</v>
      </c>
      <c r="BO45" s="72" cm="1">
        <f t="array" ref="BO45">SUM($L$41:$AX$41*(BO$4=$L$4:$AX$4)*($B45=$L$11:$AX$11))</f>
        <v>0</v>
      </c>
      <c r="BP45" s="72" cm="1">
        <f t="array" ref="BP45">SUM($L$41:$AX$41*(BP$4=$L$4:$AX$4)*($B45=$L$11:$AX$11))</f>
        <v>0</v>
      </c>
      <c r="BQ45" s="72" cm="1">
        <f t="array" ref="BQ45">SUM($L$41:$AX$41*(BQ$4=$L$4:$AX$4)*($B45=$L$11:$AX$11))</f>
        <v>0</v>
      </c>
      <c r="BR45" s="72" cm="1">
        <f t="array" ref="BR45">SUM($L$41:$AX$41*(BR$4=$L$4:$AX$4)*($B45=$L$11:$AX$11))</f>
        <v>0</v>
      </c>
    </row>
    <row r="46" spans="1:70">
      <c r="A46" t="s">
        <v>16</v>
      </c>
      <c r="B46" s="228" t="str">
        <f>C17</f>
        <v>D</v>
      </c>
      <c r="C46" s="223"/>
      <c r="E46" s="72"/>
      <c r="F46" s="72"/>
      <c r="G46" s="72"/>
      <c r="H46" s="72"/>
      <c r="I46" s="145"/>
      <c r="J46" s="72"/>
      <c r="K46" s="72"/>
      <c r="L46" s="72" cm="1">
        <f t="array" ref="L46">SUM($L$41:$AX$41*(L$4=$L$4:$AX$4)*($B46=$L$11:$AX$11))</f>
        <v>0</v>
      </c>
      <c r="M46" s="72" cm="1">
        <f t="array" ref="M46">SUM($L$41:$AX$41*(M$4=$L$4:$AX$4)*($B46=$L$11:$AX$11))</f>
        <v>0</v>
      </c>
      <c r="N46" s="72" cm="1">
        <f t="array" ref="N46">SUM($L$41:$AX$41*(N$4=$L$4:$AX$4)*($B46=$L$11:$AX$11))</f>
        <v>0</v>
      </c>
      <c r="O46" s="72" cm="1">
        <f t="array" ref="O46">SUM($L$41:$AX$41*(O$4=$L$4:$AX$4)*($B46=$L$11:$AX$11))</f>
        <v>0</v>
      </c>
      <c r="P46" s="72" cm="1">
        <f t="array" ref="P46">SUM($L$41:$AX$41*(P$4=$L$4:$AX$4)*($B46=$L$11:$AX$11))</f>
        <v>0</v>
      </c>
      <c r="Q46" s="72" cm="1">
        <f t="array" ref="Q46">SUM($L$41:$AX$41*(Q$4=$L$4:$AX$4)*($B46=$L$11:$AX$11))</f>
        <v>0</v>
      </c>
      <c r="R46" s="72" cm="1">
        <f t="array" ref="R46">SUM($L$41:$AX$41*(R$4=$L$4:$AX$4)*($B46=$L$11:$AX$11))</f>
        <v>0</v>
      </c>
      <c r="S46" s="72" cm="1">
        <f t="array" ref="S46">SUM($L$41:$AX$41*(S$4=$L$4:$AX$4)*($B46=$L$11:$AX$11))</f>
        <v>0</v>
      </c>
      <c r="T46" s="72" cm="1">
        <f t="array" ref="T46">SUM($L$41:$AX$41*(T$4=$L$4:$AX$4)*($B46=$L$11:$AX$11))</f>
        <v>0</v>
      </c>
      <c r="U46" s="72" cm="1">
        <f t="array" ref="U46">SUM($L$41:$AX$41*(U$4=$L$4:$AX$4)*($B46=$L$11:$AX$11))</f>
        <v>0</v>
      </c>
      <c r="V46" s="72" cm="1">
        <f t="array" ref="V46">SUM($L$41:$AX$41*(V$4=$L$4:$AX$4)*($B46=$L$11:$AX$11))</f>
        <v>0</v>
      </c>
      <c r="W46" s="72" cm="1">
        <f t="array" ref="W46">SUM($L$41:$AX$41*(W$4=$L$4:$AX$4)*($B46=$L$11:$AX$11))</f>
        <v>0</v>
      </c>
      <c r="X46" s="72" cm="1">
        <f t="array" ref="X46">SUM($L$41:$AX$41*(X$4=$L$4:$AX$4)*($B46=$L$11:$AX$11))</f>
        <v>0</v>
      </c>
      <c r="Y46" s="72" cm="1">
        <f t="array" ref="Y46">SUM($L$41:$AX$41*(Y$4=$L$4:$AX$4)*($B46=$L$11:$AX$11))</f>
        <v>0</v>
      </c>
      <c r="Z46" s="72" cm="1">
        <f t="array" ref="Z46">SUM($L$41:$AX$41*(Z$4=$L$4:$AX$4)*($B46=$L$11:$AX$11))</f>
        <v>0</v>
      </c>
      <c r="AA46" s="72" cm="1">
        <f t="array" ref="AA46">SUM($L$41:$AX$41*(AA$4=$L$4:$AX$4)*($B46=$L$11:$AX$11))</f>
        <v>0</v>
      </c>
      <c r="AB46" s="72" cm="1">
        <f t="array" ref="AB46">SUM($L$41:$AX$41*(AB$4=$L$4:$AX$4)*($B46=$L$11:$AX$11))</f>
        <v>0</v>
      </c>
      <c r="AC46" s="72" cm="1">
        <f t="array" ref="AC46">SUM($L$41:$AX$41*(AC$4=$L$4:$AX$4)*($B46=$L$11:$AX$11))</f>
        <v>0</v>
      </c>
      <c r="AD46" s="72" cm="1">
        <f t="array" ref="AD46">SUM($L$41:$AX$41*(AD$4=$L$4:$AX$4)*($B46=$L$11:$AX$11))</f>
        <v>0</v>
      </c>
      <c r="AE46" s="72" cm="1">
        <f t="array" ref="AE46">SUM($L$41:$AX$41*(AE$4=$L$4:$AX$4)*($B46=$L$11:$AX$11))</f>
        <v>0</v>
      </c>
      <c r="AF46" s="72" cm="1">
        <f t="array" ref="AF46">SUM($L$41:$AX$41*(AF$4=$L$4:$AX$4)*($B46=$L$11:$AX$11))</f>
        <v>0</v>
      </c>
      <c r="AG46" s="72" cm="1">
        <f t="array" ref="AG46">SUM($L$41:$AX$41*(AG$4=$L$4:$AX$4)*($B46=$L$11:$AX$11))</f>
        <v>0</v>
      </c>
      <c r="AH46" s="72" cm="1">
        <f t="array" ref="AH46">SUM($L$41:$AX$41*(AH$4=$L$4:$AX$4)*($B46=$L$11:$AX$11))</f>
        <v>0</v>
      </c>
      <c r="AI46" s="72" cm="1">
        <f t="array" ref="AI46">SUM($L$41:$AX$41*(AI$4=$L$4:$AX$4)*($B46=$L$11:$AX$11))</f>
        <v>0</v>
      </c>
      <c r="AJ46" s="72" cm="1">
        <f t="array" ref="AJ46">SUM($L$41:$AX$41*(AJ$4=$L$4:$AX$4)*($B46=$L$11:$AX$11))</f>
        <v>0</v>
      </c>
      <c r="AK46" s="72" cm="1">
        <f t="array" ref="AK46">SUM($L$41:$AX$41*(AK$4=$L$4:$AX$4)*($B46=$L$11:$AX$11))</f>
        <v>0</v>
      </c>
      <c r="AL46" s="72" cm="1">
        <f t="array" ref="AL46">SUM($L$41:$AX$41*(AL$4=$L$4:$AX$4)*($B46=$L$11:$AX$11))</f>
        <v>0</v>
      </c>
      <c r="AM46" s="72" cm="1">
        <f t="array" ref="AM46">SUM($L$41:$AX$41*(AM$4=$L$4:$AX$4)*($B46=$L$11:$AX$11))</f>
        <v>0</v>
      </c>
      <c r="AN46" s="72" cm="1">
        <f t="array" ref="AN46">SUM($L$41:$AX$41*(AN$4=$L$4:$AX$4)*($B46=$L$11:$AX$11))</f>
        <v>0</v>
      </c>
      <c r="AO46" s="72" cm="1">
        <f t="array" ref="AO46">SUM($L$41:$AX$41*(AO$4=$L$4:$AX$4)*($B46=$L$11:$AX$11))</f>
        <v>3.468542591972259</v>
      </c>
      <c r="AP46" s="72" cm="1">
        <f t="array" ref="AP46">SUM($L$41:$AX$41*(AP$4=$L$4:$AX$4)*($B46=$L$11:$AX$11))</f>
        <v>3.4214417405959523</v>
      </c>
      <c r="AQ46" s="72" cm="1">
        <f t="array" ref="AQ46">SUM($L$41:$AX$41*(AQ$4=$L$4:$AX$4)*($B46=$L$11:$AX$11))</f>
        <v>3.3768836867612251</v>
      </c>
      <c r="AR46" s="72" cm="1">
        <f t="array" ref="AR46">SUM($L$41:$AX$41*(AR$4=$L$4:$AX$4)*($B46=$L$11:$AX$11))</f>
        <v>3.3346505331954148</v>
      </c>
      <c r="AS46" s="72" cm="1">
        <f t="array" ref="AS46">SUM($L$41:$AX$41*(AS$4=$L$4:$AX$4)*($B46=$L$11:$AX$11))</f>
        <v>3.294549515189388</v>
      </c>
      <c r="AT46" s="72" cm="1">
        <f t="array" ref="AT46">SUM($L$41:$AX$41*(AT$4=$L$4:$AX$4)*($B46=$L$11:$AX$11))</f>
        <v>3.6958606135464009</v>
      </c>
      <c r="AU46" s="72" cm="1">
        <f t="array" ref="AU46">SUM($L$41:$AX$41*(AU$4=$L$4:$AX$4)*($B46=$L$11:$AX$11))</f>
        <v>3.6434244380125733</v>
      </c>
      <c r="AV46" s="72" cm="1">
        <f t="array" ref="AV46">SUM($L$41:$AX$41*(AV$4=$L$4:$AX$4)*($B46=$L$11:$AX$11))</f>
        <v>3.59386078462299</v>
      </c>
      <c r="AW46" s="72" cm="1">
        <f t="array" ref="AW46">SUM($L$41:$AX$41*(AW$4=$L$4:$AX$4)*($B46=$L$11:$AX$11))</f>
        <v>3.5469199994294627</v>
      </c>
      <c r="AX46" s="72" cm="1">
        <f t="array" ref="AX46">SUM($L$41:$BR$41*(AX$4=$L$4:$BR$4)*($B46=$L$11:$BR$11))</f>
        <v>3.5023816201013176</v>
      </c>
      <c r="AY46" s="72" cm="1">
        <f t="array" ref="AY46">SUM($L$41:$BR$41*(AY$4=$L$4:$BR$4)*($B46=$L$11:$BR$11))</f>
        <v>3.330062936107538</v>
      </c>
      <c r="AZ46" s="72" cm="1">
        <f t="array" ref="AZ46">SUM($L$41:$BR$41*(AZ$4=$L$4:$BR$4)*($B46=$L$11:$BR$11))</f>
        <v>3.2940443256363636</v>
      </c>
      <c r="BA46" s="72" cm="1">
        <f t="array" ref="BA46">SUM($L$41:$BR$41*(BA$4=$L$4:$BR$4)*($B46=$L$11:$BR$11))</f>
        <v>3.2596159580958783</v>
      </c>
      <c r="BB46" s="72" cm="1">
        <f t="array" ref="BB46">SUM($L$41:$BR$41*(BB$4=$L$4:$BR$4)*($B46=$L$11:$BR$11))</f>
        <v>3.226665704749891</v>
      </c>
      <c r="BC46" s="72" cm="1">
        <f t="array" ref="BC46">SUM($L$41:$BR$41*(BC$4=$L$4:$BR$4)*($B46=$L$11:$BR$11))</f>
        <v>3.1950921401601704</v>
      </c>
      <c r="BD46" s="72" cm="1">
        <f t="array" ref="BD46">SUM($L$41:$BR$41*(BD$4=$L$4:$BR$4)*($B46=$L$11:$BR$11))</f>
        <v>3.1648032674610533</v>
      </c>
      <c r="BE46" s="72" cm="1">
        <f t="array" ref="BE46">SUM($L$41:$BR$41*(BE$4=$L$4:$BR$4)*($B46=$L$11:$BR$11))</f>
        <v>3.1357154240505452</v>
      </c>
      <c r="BF46" s="72" cm="1">
        <f t="array" ref="BF46">SUM($L$41:$BR$41*(BF$4=$L$4:$BR$4)*($B46=$L$11:$BR$11))</f>
        <v>3.1077523383143131</v>
      </c>
      <c r="BG46" s="72" cm="1">
        <f t="array" ref="BG46">SUM($L$41:$BR$41*(BG$4=$L$4:$BR$4)*($B46=$L$11:$BR$11))</f>
        <v>3.0808443133850147</v>
      </c>
      <c r="BH46" s="72" cm="1">
        <f t="array" ref="BH46">SUM($L$41:$BR$41*(BH$4=$L$4:$BR$4)*($B46=$L$11:$BR$11))</f>
        <v>3.0549275182251279</v>
      </c>
      <c r="BI46" s="72" cm="1">
        <f t="array" ref="BI46">SUM($L$41:$BR$41*(BI$4=$L$4:$BR$4)*($B46=$L$11:$BR$11))</f>
        <v>1.8565356128420092</v>
      </c>
      <c r="BJ46" s="72" cm="1">
        <f t="array" ref="BJ46">SUM($L$41:$BR$41*(BJ$4=$L$4:$BR$4)*($B46=$L$11:$BR$11))</f>
        <v>1.8528630144953127</v>
      </c>
      <c r="BK46" s="72" cm="1">
        <f t="array" ref="BK46">SUM($L$41:$BR$41*(BK$4=$L$4:$BR$4)*($B46=$L$11:$BR$11))</f>
        <v>1.8492407430488242</v>
      </c>
      <c r="BL46" s="72" cm="1">
        <f t="array" ref="BL46">SUM($L$41:$BR$41*(BL$4=$L$4:$BR$4)*($B46=$L$11:$BR$11))</f>
        <v>1.8456676757532193</v>
      </c>
      <c r="BM46" s="72" cm="1">
        <f t="array" ref="BM46">SUM($L$41:$BR$41*(BM$4=$L$4:$BR$4)*($B46=$L$11:$BR$11))</f>
        <v>1.8421427244016684</v>
      </c>
      <c r="BN46" s="72" cm="1">
        <f t="array" ref="BN46">SUM($L$41:$BR$41*(BN$4=$L$4:$BR$4)*($B46=$L$11:$BR$11))</f>
        <v>1.8386648339798626</v>
      </c>
      <c r="BO46" s="72" cm="1">
        <f t="array" ref="BO46">SUM($L$41:$BR$41*(BO$4=$L$4:$BR$4)*($B46=$L$11:$BR$11))</f>
        <v>1.8352329813804147</v>
      </c>
      <c r="BP46" s="72" cm="1">
        <f t="array" ref="BP46">SUM($L$41:$BR$41*(BP$4=$L$4:$BR$4)*($B46=$L$11:$BR$11))</f>
        <v>1.8318461741766328</v>
      </c>
      <c r="BQ46" s="72" cm="1">
        <f t="array" ref="BQ46">SUM($L$41:$BR$41*(BQ$4=$L$4:$BR$4)*($B46=$L$11:$BR$11))</f>
        <v>1.8285034494535637</v>
      </c>
      <c r="BR46" s="72" cm="1">
        <f t="array" ref="BR46">SUM($L$41:$BR$41*(BR$4=$L$4:$BR$4)*($B46=$L$11:$BR$11))</f>
        <v>1.8252038726934927</v>
      </c>
    </row>
    <row r="47" spans="1:70">
      <c r="A47" t="s">
        <v>16</v>
      </c>
      <c r="B47" s="223"/>
      <c r="C47" s="223"/>
      <c r="E47" s="72"/>
      <c r="F47" s="72"/>
      <c r="G47" s="72"/>
      <c r="H47" s="72"/>
      <c r="I47" s="145"/>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row>
    <row r="48" spans="1:70">
      <c r="A48" t="s">
        <v>16</v>
      </c>
      <c r="B48" s="228" t="s">
        <v>223</v>
      </c>
      <c r="C48" s="223"/>
      <c r="E48" s="72"/>
      <c r="F48" s="72"/>
      <c r="G48" s="72"/>
      <c r="H48" s="72"/>
      <c r="I48" s="145" t="s">
        <v>471</v>
      </c>
      <c r="J48" s="72"/>
      <c r="K48" s="72"/>
      <c r="L48" s="72">
        <f>L30</f>
        <v>132.81548999999998</v>
      </c>
      <c r="M48" s="72">
        <f t="shared" ref="M48:AX48" si="109">M30</f>
        <v>134.00787499999998</v>
      </c>
      <c r="N48" s="72">
        <f t="shared" si="109"/>
        <v>135.598851</v>
      </c>
      <c r="O48" s="72">
        <f t="shared" si="109"/>
        <v>136.99421599999999</v>
      </c>
      <c r="P48" s="72">
        <f t="shared" si="109"/>
        <v>138.328236</v>
      </c>
      <c r="Q48" s="72">
        <f t="shared" si="109"/>
        <v>139.22563422464734</v>
      </c>
      <c r="R48" s="72">
        <f t="shared" si="109"/>
        <v>137.83337788240087</v>
      </c>
      <c r="S48" s="72">
        <f t="shared" si="109"/>
        <v>136.4411215401544</v>
      </c>
      <c r="T48" s="72">
        <f t="shared" si="109"/>
        <v>135.0488651979079</v>
      </c>
      <c r="U48" s="72">
        <f t="shared" si="109"/>
        <v>133.65660885566143</v>
      </c>
      <c r="V48" s="72">
        <f t="shared" si="109"/>
        <v>132.26435251341496</v>
      </c>
      <c r="W48" s="72">
        <f t="shared" si="109"/>
        <v>130.87209617116849</v>
      </c>
      <c r="X48" s="72">
        <f t="shared" si="109"/>
        <v>129.47983982892202</v>
      </c>
      <c r="Y48" s="72">
        <f t="shared" si="109"/>
        <v>128.08758348667553</v>
      </c>
      <c r="Z48" s="72">
        <f t="shared" si="109"/>
        <v>126.69532714442907</v>
      </c>
      <c r="AA48" s="72">
        <f t="shared" si="109"/>
        <v>125.30307080218259</v>
      </c>
      <c r="AB48" s="72">
        <f t="shared" si="109"/>
        <v>123.91081445993612</v>
      </c>
      <c r="AC48" s="72">
        <f t="shared" si="109"/>
        <v>122.51855811768964</v>
      </c>
      <c r="AD48" s="72">
        <f t="shared" si="109"/>
        <v>121.12630177544317</v>
      </c>
      <c r="AE48" s="72">
        <f t="shared" si="109"/>
        <v>119.7340454331967</v>
      </c>
      <c r="AF48" s="72">
        <f t="shared" si="109"/>
        <v>118.34178909095021</v>
      </c>
      <c r="AG48" s="72">
        <f t="shared" si="109"/>
        <v>116.94953274870375</v>
      </c>
      <c r="AH48" s="72">
        <f t="shared" si="109"/>
        <v>115.55727640645726</v>
      </c>
      <c r="AI48" s="72">
        <f t="shared" si="109"/>
        <v>114.16502006421079</v>
      </c>
      <c r="AJ48" s="72">
        <f t="shared" si="109"/>
        <v>112.77276372196432</v>
      </c>
      <c r="AK48" s="72">
        <f t="shared" si="109"/>
        <v>111.38050737971784</v>
      </c>
      <c r="AL48" s="72">
        <f t="shared" si="109"/>
        <v>109.98825103747137</v>
      </c>
      <c r="AM48" s="72">
        <f t="shared" si="109"/>
        <v>108.59599469522489</v>
      </c>
      <c r="AN48" s="72">
        <f t="shared" si="109"/>
        <v>107.20373835297842</v>
      </c>
      <c r="AO48" s="72">
        <f t="shared" si="109"/>
        <v>105.81148201073195</v>
      </c>
      <c r="AP48" s="72">
        <f t="shared" si="109"/>
        <v>104.41922566848547</v>
      </c>
      <c r="AQ48" s="72">
        <f t="shared" si="109"/>
        <v>103.026969326239</v>
      </c>
      <c r="AR48" s="72">
        <f t="shared" si="109"/>
        <v>101.63471298399253</v>
      </c>
      <c r="AS48" s="72">
        <f t="shared" si="109"/>
        <v>100.24245664174605</v>
      </c>
      <c r="AT48" s="72">
        <f t="shared" si="109"/>
        <v>98.850200299499576</v>
      </c>
      <c r="AU48" s="72">
        <f t="shared" si="109"/>
        <v>97.457943957253093</v>
      </c>
      <c r="AV48" s="72">
        <f t="shared" si="109"/>
        <v>96.065687615006624</v>
      </c>
      <c r="AW48" s="72">
        <f t="shared" si="109"/>
        <v>94.673431272760155</v>
      </c>
      <c r="AX48" s="72">
        <f t="shared" si="109"/>
        <v>93.281174930513671</v>
      </c>
      <c r="AY48" s="72">
        <f t="shared" ref="AY48:BR48" si="110">AY30</f>
        <v>91.888918588267202</v>
      </c>
      <c r="AZ48" s="72">
        <f t="shared" si="110"/>
        <v>90.496662246020719</v>
      </c>
      <c r="BA48" s="72">
        <f t="shared" si="110"/>
        <v>89.10440590377425</v>
      </c>
      <c r="BB48" s="72">
        <f t="shared" si="110"/>
        <v>87.712149561527781</v>
      </c>
      <c r="BC48" s="72">
        <f t="shared" si="110"/>
        <v>86.319893219281298</v>
      </c>
      <c r="BD48" s="72">
        <f t="shared" si="110"/>
        <v>84.927636877034828</v>
      </c>
      <c r="BE48" s="72">
        <f t="shared" si="110"/>
        <v>83.535380534788359</v>
      </c>
      <c r="BF48" s="72">
        <f t="shared" si="110"/>
        <v>82.143124192541876</v>
      </c>
      <c r="BG48" s="72">
        <f t="shared" si="110"/>
        <v>80.750867850295407</v>
      </c>
      <c r="BH48" s="72">
        <f t="shared" si="110"/>
        <v>79.358611508048924</v>
      </c>
      <c r="BI48" s="72">
        <f t="shared" si="110"/>
        <v>77.966355165802455</v>
      </c>
      <c r="BJ48" s="72">
        <f t="shared" si="110"/>
        <v>76.574098823555985</v>
      </c>
      <c r="BK48" s="72">
        <f t="shared" si="110"/>
        <v>75.181842481309502</v>
      </c>
      <c r="BL48" s="72">
        <f t="shared" si="110"/>
        <v>73.789586139063033</v>
      </c>
      <c r="BM48" s="72">
        <f t="shared" si="110"/>
        <v>72.39732979681655</v>
      </c>
      <c r="BN48" s="72">
        <f t="shared" si="110"/>
        <v>71.005073454570081</v>
      </c>
      <c r="BO48" s="72">
        <f t="shared" si="110"/>
        <v>69.612817112323611</v>
      </c>
      <c r="BP48" s="72">
        <f t="shared" si="110"/>
        <v>68.220560770077128</v>
      </c>
      <c r="BQ48" s="72">
        <f t="shared" si="110"/>
        <v>66.828304427830659</v>
      </c>
      <c r="BR48" s="72">
        <f t="shared" si="110"/>
        <v>65.436048085584176</v>
      </c>
    </row>
    <row r="49" spans="1:70">
      <c r="A49" t="s">
        <v>16</v>
      </c>
      <c r="B49" s="228" t="str">
        <f>B43</f>
        <v>A</v>
      </c>
      <c r="C49" s="223"/>
      <c r="E49" s="72"/>
      <c r="F49" s="72"/>
      <c r="G49" s="72"/>
      <c r="H49" s="72"/>
      <c r="I49" s="145" t="str">
        <f>B43</f>
        <v>A</v>
      </c>
      <c r="J49" s="72"/>
      <c r="K49" s="72"/>
      <c r="L49" s="72">
        <f>L36</f>
        <v>0</v>
      </c>
      <c r="M49" s="72">
        <f t="shared" ref="M49:AX52" si="111">L49+M43</f>
        <v>0</v>
      </c>
      <c r="N49" s="72">
        <f t="shared" si="111"/>
        <v>0</v>
      </c>
      <c r="O49" s="72">
        <f t="shared" si="111"/>
        <v>0</v>
      </c>
      <c r="P49" s="72">
        <f t="shared" si="111"/>
        <v>0</v>
      </c>
      <c r="Q49" s="72">
        <f t="shared" si="111"/>
        <v>0</v>
      </c>
      <c r="R49" s="72">
        <f t="shared" si="111"/>
        <v>0</v>
      </c>
      <c r="S49" s="72">
        <f t="shared" si="111"/>
        <v>0</v>
      </c>
      <c r="T49" s="72">
        <f t="shared" si="111"/>
        <v>0</v>
      </c>
      <c r="U49" s="72">
        <f t="shared" si="111"/>
        <v>0</v>
      </c>
      <c r="V49" s="72">
        <f t="shared" si="111"/>
        <v>0</v>
      </c>
      <c r="W49" s="72">
        <f t="shared" si="111"/>
        <v>0</v>
      </c>
      <c r="X49" s="72">
        <f t="shared" si="111"/>
        <v>0</v>
      </c>
      <c r="Y49" s="72">
        <f t="shared" si="111"/>
        <v>0</v>
      </c>
      <c r="Z49" s="72">
        <f t="shared" si="111"/>
        <v>0</v>
      </c>
      <c r="AA49" s="72">
        <f t="shared" si="111"/>
        <v>0</v>
      </c>
      <c r="AB49" s="72">
        <f t="shared" si="111"/>
        <v>0</v>
      </c>
      <c r="AC49" s="72">
        <f t="shared" si="111"/>
        <v>0</v>
      </c>
      <c r="AD49" s="72">
        <f t="shared" si="111"/>
        <v>0</v>
      </c>
      <c r="AE49" s="72">
        <f t="shared" si="111"/>
        <v>0</v>
      </c>
      <c r="AF49" s="72">
        <f t="shared" si="111"/>
        <v>0</v>
      </c>
      <c r="AG49" s="72">
        <f t="shared" si="111"/>
        <v>0</v>
      </c>
      <c r="AH49" s="72">
        <f t="shared" si="111"/>
        <v>0</v>
      </c>
      <c r="AI49" s="72">
        <f t="shared" si="111"/>
        <v>0</v>
      </c>
      <c r="AJ49" s="72">
        <f t="shared" si="111"/>
        <v>0</v>
      </c>
      <c r="AK49" s="72">
        <f t="shared" si="111"/>
        <v>0</v>
      </c>
      <c r="AL49" s="72">
        <f t="shared" si="111"/>
        <v>0</v>
      </c>
      <c r="AM49" s="72">
        <f t="shared" si="111"/>
        <v>0</v>
      </c>
      <c r="AN49" s="72">
        <f t="shared" si="111"/>
        <v>0</v>
      </c>
      <c r="AO49" s="72">
        <f t="shared" si="111"/>
        <v>0</v>
      </c>
      <c r="AP49" s="72">
        <f t="shared" si="111"/>
        <v>0</v>
      </c>
      <c r="AQ49" s="72">
        <f t="shared" si="111"/>
        <v>0</v>
      </c>
      <c r="AR49" s="72">
        <f t="shared" si="111"/>
        <v>0</v>
      </c>
      <c r="AS49" s="72">
        <f t="shared" si="111"/>
        <v>0</v>
      </c>
      <c r="AT49" s="72">
        <f t="shared" si="111"/>
        <v>0</v>
      </c>
      <c r="AU49" s="72">
        <f t="shared" si="111"/>
        <v>0</v>
      </c>
      <c r="AV49" s="72">
        <f t="shared" si="111"/>
        <v>0</v>
      </c>
      <c r="AW49" s="72">
        <f t="shared" si="111"/>
        <v>0</v>
      </c>
      <c r="AX49" s="72">
        <f t="shared" si="111"/>
        <v>0</v>
      </c>
      <c r="AY49" s="72">
        <f t="shared" ref="AY49:AY52" si="112">AX49+AY43</f>
        <v>0</v>
      </c>
      <c r="AZ49" s="72">
        <f t="shared" ref="AZ49:AZ52" si="113">AY49+AZ43</f>
        <v>0</v>
      </c>
      <c r="BA49" s="72">
        <f t="shared" ref="BA49:BA52" si="114">AZ49+BA43</f>
        <v>0</v>
      </c>
      <c r="BB49" s="72">
        <f t="shared" ref="BB49:BB52" si="115">BA49+BB43</f>
        <v>0</v>
      </c>
      <c r="BC49" s="72">
        <f t="shared" ref="BC49:BC52" si="116">BB49+BC43</f>
        <v>0</v>
      </c>
      <c r="BD49" s="72">
        <f t="shared" ref="BD49:BD52" si="117">BC49+BD43</f>
        <v>0</v>
      </c>
      <c r="BE49" s="72">
        <f t="shared" ref="BE49:BE52" si="118">BD49+BE43</f>
        <v>0</v>
      </c>
      <c r="BF49" s="72">
        <f t="shared" ref="BF49:BF52" si="119">BE49+BF43</f>
        <v>0</v>
      </c>
      <c r="BG49" s="72">
        <f t="shared" ref="BG49:BG52" si="120">BF49+BG43</f>
        <v>0</v>
      </c>
      <c r="BH49" s="72">
        <f t="shared" ref="BH49:BH52" si="121">BG49+BH43</f>
        <v>0</v>
      </c>
      <c r="BI49" s="72">
        <f t="shared" ref="BI49:BI52" si="122">BH49+BI43</f>
        <v>0</v>
      </c>
      <c r="BJ49" s="72">
        <f t="shared" ref="BJ49:BJ52" si="123">BI49+BJ43</f>
        <v>0</v>
      </c>
      <c r="BK49" s="72">
        <f t="shared" ref="BK49:BK52" si="124">BJ49+BK43</f>
        <v>0</v>
      </c>
      <c r="BL49" s="72">
        <f t="shared" ref="BL49:BL52" si="125">BK49+BL43</f>
        <v>0</v>
      </c>
      <c r="BM49" s="72">
        <f t="shared" ref="BM49:BM52" si="126">BL49+BM43</f>
        <v>0</v>
      </c>
      <c r="BN49" s="72">
        <f t="shared" ref="BN49:BN52" si="127">BM49+BN43</f>
        <v>0</v>
      </c>
      <c r="BO49" s="72">
        <f t="shared" ref="BO49:BO52" si="128">BN49+BO43</f>
        <v>0</v>
      </c>
      <c r="BP49" s="72">
        <f t="shared" ref="BP49:BP52" si="129">BO49+BP43</f>
        <v>0</v>
      </c>
      <c r="BQ49" s="72">
        <f t="shared" ref="BQ49:BQ52" si="130">BP49+BQ43</f>
        <v>0</v>
      </c>
      <c r="BR49" s="72">
        <f t="shared" ref="BR49:BR52" si="131">BQ49+BR43</f>
        <v>0</v>
      </c>
    </row>
    <row r="50" spans="1:70">
      <c r="A50" t="s">
        <v>16</v>
      </c>
      <c r="B50" s="228" t="str">
        <f>B44</f>
        <v>B</v>
      </c>
      <c r="C50" s="223"/>
      <c r="E50" s="72"/>
      <c r="F50" s="72"/>
      <c r="G50" s="72"/>
      <c r="H50" s="72"/>
      <c r="I50" s="145" t="s">
        <v>244</v>
      </c>
      <c r="J50" s="72"/>
      <c r="K50" s="72"/>
      <c r="L50" s="72">
        <v>0</v>
      </c>
      <c r="M50" s="72">
        <f t="shared" si="111"/>
        <v>0</v>
      </c>
      <c r="N50" s="72">
        <f t="shared" si="111"/>
        <v>0</v>
      </c>
      <c r="O50" s="72">
        <f t="shared" si="111"/>
        <v>0</v>
      </c>
      <c r="P50" s="72">
        <f t="shared" si="111"/>
        <v>0</v>
      </c>
      <c r="Q50" s="72">
        <f t="shared" si="111"/>
        <v>0</v>
      </c>
      <c r="R50" s="72">
        <f t="shared" si="111"/>
        <v>1.9150455230721981</v>
      </c>
      <c r="S50" s="72">
        <f t="shared" si="111"/>
        <v>3.6894907315492986</v>
      </c>
      <c r="T50" s="72">
        <f t="shared" si="111"/>
        <v>4.8032958053464796</v>
      </c>
      <c r="U50" s="72">
        <f t="shared" si="111"/>
        <v>8.4672779803590146</v>
      </c>
      <c r="V50" s="72">
        <f t="shared" si="111"/>
        <v>10.558061530711534</v>
      </c>
      <c r="W50" s="72">
        <f t="shared" si="111"/>
        <v>11.775012222716072</v>
      </c>
      <c r="X50" s="72">
        <f t="shared" si="111"/>
        <v>13.405002509672979</v>
      </c>
      <c r="Y50" s="72">
        <f t="shared" si="111"/>
        <v>15.089127718089344</v>
      </c>
      <c r="Z50" s="72">
        <f t="shared" si="111"/>
        <v>16.9323333547046</v>
      </c>
      <c r="AA50" s="72">
        <f t="shared" si="111"/>
        <v>18.88491117910954</v>
      </c>
      <c r="AB50" s="72">
        <f t="shared" si="111"/>
        <v>20.949026708961014</v>
      </c>
      <c r="AC50" s="72">
        <f t="shared" si="111"/>
        <v>23.23527599125326</v>
      </c>
      <c r="AD50" s="72">
        <f t="shared" si="111"/>
        <v>25.757945073160695</v>
      </c>
      <c r="AE50" s="72">
        <f t="shared" si="111"/>
        <v>25.757945073160695</v>
      </c>
      <c r="AF50" s="72">
        <f t="shared" si="111"/>
        <v>25.757945073160695</v>
      </c>
      <c r="AG50" s="72">
        <f t="shared" si="111"/>
        <v>25.757945073160695</v>
      </c>
      <c r="AH50" s="72">
        <f t="shared" si="111"/>
        <v>25.757945073160695</v>
      </c>
      <c r="AI50" s="72">
        <f t="shared" si="111"/>
        <v>25.757945073160695</v>
      </c>
      <c r="AJ50" s="72">
        <f t="shared" si="111"/>
        <v>25.757945073160695</v>
      </c>
      <c r="AK50" s="72">
        <f t="shared" si="111"/>
        <v>25.757945073160695</v>
      </c>
      <c r="AL50" s="72">
        <f t="shared" si="111"/>
        <v>25.757945073160695</v>
      </c>
      <c r="AM50" s="72">
        <f t="shared" si="111"/>
        <v>25.757945073160695</v>
      </c>
      <c r="AN50" s="72">
        <f t="shared" si="111"/>
        <v>25.757945073160695</v>
      </c>
      <c r="AO50" s="72">
        <f t="shared" si="111"/>
        <v>25.757945073160695</v>
      </c>
      <c r="AP50" s="72">
        <f t="shared" si="111"/>
        <v>25.757945073160695</v>
      </c>
      <c r="AQ50" s="72">
        <f t="shared" si="111"/>
        <v>25.757945073160695</v>
      </c>
      <c r="AR50" s="72">
        <f t="shared" si="111"/>
        <v>25.757945073160695</v>
      </c>
      <c r="AS50" s="72">
        <f t="shared" si="111"/>
        <v>25.757945073160695</v>
      </c>
      <c r="AT50" s="72">
        <f t="shared" si="111"/>
        <v>25.757945073160695</v>
      </c>
      <c r="AU50" s="72">
        <f t="shared" si="111"/>
        <v>25.757945073160695</v>
      </c>
      <c r="AV50" s="72">
        <f t="shared" si="111"/>
        <v>25.757945073160695</v>
      </c>
      <c r="AW50" s="72">
        <f t="shared" si="111"/>
        <v>25.757945073160695</v>
      </c>
      <c r="AX50" s="72">
        <f t="shared" si="111"/>
        <v>25.757945073160695</v>
      </c>
      <c r="AY50" s="72">
        <f t="shared" si="112"/>
        <v>25.757945073160695</v>
      </c>
      <c r="AZ50" s="72">
        <f t="shared" si="113"/>
        <v>25.757945073160695</v>
      </c>
      <c r="BA50" s="72">
        <f t="shared" si="114"/>
        <v>25.757945073160695</v>
      </c>
      <c r="BB50" s="72">
        <f t="shared" si="115"/>
        <v>25.757945073160695</v>
      </c>
      <c r="BC50" s="72">
        <f t="shared" si="116"/>
        <v>25.757945073160695</v>
      </c>
      <c r="BD50" s="72">
        <f t="shared" si="117"/>
        <v>25.757945073160695</v>
      </c>
      <c r="BE50" s="72">
        <f t="shared" si="118"/>
        <v>25.757945073160695</v>
      </c>
      <c r="BF50" s="72">
        <f t="shared" si="119"/>
        <v>25.757945073160695</v>
      </c>
      <c r="BG50" s="72">
        <f t="shared" si="120"/>
        <v>25.757945073160695</v>
      </c>
      <c r="BH50" s="72">
        <f t="shared" si="121"/>
        <v>25.757945073160695</v>
      </c>
      <c r="BI50" s="72">
        <f t="shared" si="122"/>
        <v>25.757945073160695</v>
      </c>
      <c r="BJ50" s="72">
        <f t="shared" si="123"/>
        <v>25.757945073160695</v>
      </c>
      <c r="BK50" s="72">
        <f t="shared" si="124"/>
        <v>25.757945073160695</v>
      </c>
      <c r="BL50" s="72">
        <f t="shared" si="125"/>
        <v>25.757945073160695</v>
      </c>
      <c r="BM50" s="72">
        <f t="shared" si="126"/>
        <v>25.757945073160695</v>
      </c>
      <c r="BN50" s="72">
        <f t="shared" si="127"/>
        <v>25.757945073160695</v>
      </c>
      <c r="BO50" s="72">
        <f t="shared" si="128"/>
        <v>25.757945073160695</v>
      </c>
      <c r="BP50" s="72">
        <f t="shared" si="129"/>
        <v>25.757945073160695</v>
      </c>
      <c r="BQ50" s="72">
        <f t="shared" si="130"/>
        <v>25.757945073160695</v>
      </c>
      <c r="BR50" s="72">
        <f t="shared" si="131"/>
        <v>25.757945073160695</v>
      </c>
    </row>
    <row r="51" spans="1:70">
      <c r="A51" t="s">
        <v>16</v>
      </c>
      <c r="B51" s="228" t="str">
        <f>B45</f>
        <v>C</v>
      </c>
      <c r="C51" s="223"/>
      <c r="E51" s="72"/>
      <c r="F51" s="72"/>
      <c r="G51" s="72"/>
      <c r="H51" s="72"/>
      <c r="I51" s="145" t="s">
        <v>245</v>
      </c>
      <c r="J51" s="72"/>
      <c r="K51" s="72"/>
      <c r="L51" s="72">
        <v>0</v>
      </c>
      <c r="M51" s="72">
        <f t="shared" si="111"/>
        <v>0</v>
      </c>
      <c r="N51" s="72">
        <f t="shared" si="111"/>
        <v>0</v>
      </c>
      <c r="O51" s="72">
        <f t="shared" si="111"/>
        <v>0</v>
      </c>
      <c r="P51" s="72">
        <f t="shared" si="111"/>
        <v>0</v>
      </c>
      <c r="Q51" s="72">
        <f t="shared" si="111"/>
        <v>0</v>
      </c>
      <c r="R51" s="72">
        <f t="shared" si="111"/>
        <v>0</v>
      </c>
      <c r="S51" s="72">
        <f t="shared" si="111"/>
        <v>0</v>
      </c>
      <c r="T51" s="72">
        <f t="shared" si="111"/>
        <v>0</v>
      </c>
      <c r="U51" s="72">
        <f t="shared" si="111"/>
        <v>0</v>
      </c>
      <c r="V51" s="72">
        <f t="shared" si="111"/>
        <v>0</v>
      </c>
      <c r="W51" s="72">
        <f t="shared" si="111"/>
        <v>0</v>
      </c>
      <c r="X51" s="72">
        <f t="shared" si="111"/>
        <v>0</v>
      </c>
      <c r="Y51" s="72">
        <f t="shared" si="111"/>
        <v>0</v>
      </c>
      <c r="Z51" s="72">
        <f t="shared" si="111"/>
        <v>0</v>
      </c>
      <c r="AA51" s="72">
        <f t="shared" si="111"/>
        <v>0</v>
      </c>
      <c r="AB51" s="72">
        <f t="shared" si="111"/>
        <v>0</v>
      </c>
      <c r="AC51" s="72">
        <f t="shared" si="111"/>
        <v>0</v>
      </c>
      <c r="AD51" s="72">
        <f t="shared" si="111"/>
        <v>0</v>
      </c>
      <c r="AE51" s="72">
        <f t="shared" si="111"/>
        <v>2.7108208614076297</v>
      </c>
      <c r="AF51" s="72">
        <f t="shared" si="111"/>
        <v>5.4809340723905393</v>
      </c>
      <c r="AG51" s="72">
        <f t="shared" si="111"/>
        <v>8.3233565970567334</v>
      </c>
      <c r="AH51" s="72">
        <f t="shared" si="111"/>
        <v>11.381175986129048</v>
      </c>
      <c r="AI51" s="72">
        <f t="shared" si="111"/>
        <v>14.516773502091507</v>
      </c>
      <c r="AJ51" s="72">
        <f t="shared" si="111"/>
        <v>17.732836838953947</v>
      </c>
      <c r="AK51" s="72">
        <f t="shared" si="111"/>
        <v>21.039578982123412</v>
      </c>
      <c r="AL51" s="72">
        <f t="shared" si="111"/>
        <v>24.403302558636465</v>
      </c>
      <c r="AM51" s="72">
        <f t="shared" si="111"/>
        <v>27.755879090065367</v>
      </c>
      <c r="AN51" s="72">
        <f t="shared" si="111"/>
        <v>31.072754469980826</v>
      </c>
      <c r="AO51" s="72">
        <f t="shared" si="111"/>
        <v>31.072754469980826</v>
      </c>
      <c r="AP51" s="72">
        <f t="shared" si="111"/>
        <v>31.072754469980826</v>
      </c>
      <c r="AQ51" s="72">
        <f t="shared" si="111"/>
        <v>31.072754469980826</v>
      </c>
      <c r="AR51" s="72">
        <f t="shared" si="111"/>
        <v>31.072754469980826</v>
      </c>
      <c r="AS51" s="72">
        <f t="shared" si="111"/>
        <v>31.072754469980826</v>
      </c>
      <c r="AT51" s="72">
        <f t="shared" si="111"/>
        <v>31.072754469980826</v>
      </c>
      <c r="AU51" s="72">
        <f t="shared" si="111"/>
        <v>31.072754469980826</v>
      </c>
      <c r="AV51" s="72">
        <f t="shared" si="111"/>
        <v>31.072754469980826</v>
      </c>
      <c r="AW51" s="72">
        <f t="shared" si="111"/>
        <v>31.072754469980826</v>
      </c>
      <c r="AX51" s="72">
        <f t="shared" si="111"/>
        <v>31.072754469980826</v>
      </c>
      <c r="AY51" s="72">
        <f t="shared" si="112"/>
        <v>31.072754469980826</v>
      </c>
      <c r="AZ51" s="72">
        <f t="shared" si="113"/>
        <v>31.072754469980826</v>
      </c>
      <c r="BA51" s="72">
        <f t="shared" si="114"/>
        <v>31.072754469980826</v>
      </c>
      <c r="BB51" s="72">
        <f t="shared" si="115"/>
        <v>31.072754469980826</v>
      </c>
      <c r="BC51" s="72">
        <f t="shared" si="116"/>
        <v>31.072754469980826</v>
      </c>
      <c r="BD51" s="72">
        <f t="shared" si="117"/>
        <v>31.072754469980826</v>
      </c>
      <c r="BE51" s="72">
        <f t="shared" si="118"/>
        <v>31.072754469980826</v>
      </c>
      <c r="BF51" s="72">
        <f t="shared" si="119"/>
        <v>31.072754469980826</v>
      </c>
      <c r="BG51" s="72">
        <f t="shared" si="120"/>
        <v>31.072754469980826</v>
      </c>
      <c r="BH51" s="72">
        <f t="shared" si="121"/>
        <v>31.072754469980826</v>
      </c>
      <c r="BI51" s="72">
        <f t="shared" si="122"/>
        <v>31.072754469980826</v>
      </c>
      <c r="BJ51" s="72">
        <f t="shared" si="123"/>
        <v>31.072754469980826</v>
      </c>
      <c r="BK51" s="72">
        <f t="shared" si="124"/>
        <v>31.072754469980826</v>
      </c>
      <c r="BL51" s="72">
        <f t="shared" si="125"/>
        <v>31.072754469980826</v>
      </c>
      <c r="BM51" s="72">
        <f t="shared" si="126"/>
        <v>31.072754469980826</v>
      </c>
      <c r="BN51" s="72">
        <f t="shared" si="127"/>
        <v>31.072754469980826</v>
      </c>
      <c r="BO51" s="72">
        <f t="shared" si="128"/>
        <v>31.072754469980826</v>
      </c>
      <c r="BP51" s="72">
        <f t="shared" si="129"/>
        <v>31.072754469980826</v>
      </c>
      <c r="BQ51" s="72">
        <f t="shared" si="130"/>
        <v>31.072754469980826</v>
      </c>
      <c r="BR51" s="72">
        <f t="shared" si="131"/>
        <v>31.072754469980826</v>
      </c>
    </row>
    <row r="52" spans="1:70">
      <c r="A52" t="s">
        <v>16</v>
      </c>
      <c r="B52" s="228" t="str">
        <f>B46</f>
        <v>D</v>
      </c>
      <c r="C52" s="223"/>
      <c r="E52" s="72"/>
      <c r="F52" s="72"/>
      <c r="G52" s="72"/>
      <c r="H52" s="72"/>
      <c r="I52" s="145" t="str">
        <f>B46</f>
        <v>D</v>
      </c>
      <c r="J52" s="72"/>
      <c r="K52" s="72"/>
      <c r="L52" s="72">
        <v>0</v>
      </c>
      <c r="M52" s="72">
        <f t="shared" si="111"/>
        <v>0</v>
      </c>
      <c r="N52" s="72">
        <f t="shared" si="111"/>
        <v>0</v>
      </c>
      <c r="O52" s="72">
        <f t="shared" si="111"/>
        <v>0</v>
      </c>
      <c r="P52" s="72">
        <f t="shared" si="111"/>
        <v>0</v>
      </c>
      <c r="Q52" s="72">
        <f t="shared" si="111"/>
        <v>0</v>
      </c>
      <c r="R52" s="72">
        <f t="shared" si="111"/>
        <v>0</v>
      </c>
      <c r="S52" s="72">
        <f t="shared" si="111"/>
        <v>0</v>
      </c>
      <c r="T52" s="72">
        <f t="shared" si="111"/>
        <v>0</v>
      </c>
      <c r="U52" s="72">
        <f t="shared" si="111"/>
        <v>0</v>
      </c>
      <c r="V52" s="72">
        <f t="shared" si="111"/>
        <v>0</v>
      </c>
      <c r="W52" s="72">
        <f t="shared" si="111"/>
        <v>0</v>
      </c>
      <c r="X52" s="72">
        <f t="shared" si="111"/>
        <v>0</v>
      </c>
      <c r="Y52" s="72">
        <f t="shared" si="111"/>
        <v>0</v>
      </c>
      <c r="Z52" s="72">
        <f t="shared" si="111"/>
        <v>0</v>
      </c>
      <c r="AA52" s="72">
        <f t="shared" si="111"/>
        <v>0</v>
      </c>
      <c r="AB52" s="72">
        <f t="shared" si="111"/>
        <v>0</v>
      </c>
      <c r="AC52" s="72">
        <f t="shared" si="111"/>
        <v>0</v>
      </c>
      <c r="AD52" s="72">
        <f t="shared" si="111"/>
        <v>0</v>
      </c>
      <c r="AE52" s="72">
        <f t="shared" si="111"/>
        <v>0</v>
      </c>
      <c r="AF52" s="72">
        <f t="shared" si="111"/>
        <v>0</v>
      </c>
      <c r="AG52" s="72">
        <f t="shared" si="111"/>
        <v>0</v>
      </c>
      <c r="AH52" s="72">
        <f t="shared" si="111"/>
        <v>0</v>
      </c>
      <c r="AI52" s="72">
        <f t="shared" si="111"/>
        <v>0</v>
      </c>
      <c r="AJ52" s="72">
        <f t="shared" si="111"/>
        <v>0</v>
      </c>
      <c r="AK52" s="72">
        <f t="shared" si="111"/>
        <v>0</v>
      </c>
      <c r="AL52" s="72">
        <f t="shared" si="111"/>
        <v>0</v>
      </c>
      <c r="AM52" s="72">
        <f t="shared" si="111"/>
        <v>0</v>
      </c>
      <c r="AN52" s="72">
        <f t="shared" si="111"/>
        <v>0</v>
      </c>
      <c r="AO52" s="72">
        <f t="shared" si="111"/>
        <v>3.468542591972259</v>
      </c>
      <c r="AP52" s="72">
        <f t="shared" si="111"/>
        <v>6.8899843325682113</v>
      </c>
      <c r="AQ52" s="72">
        <f t="shared" si="111"/>
        <v>10.266868019329436</v>
      </c>
      <c r="AR52" s="72">
        <f t="shared" si="111"/>
        <v>13.601518552524851</v>
      </c>
      <c r="AS52" s="72">
        <f t="shared" si="111"/>
        <v>16.896068067714239</v>
      </c>
      <c r="AT52" s="72">
        <f t="shared" si="111"/>
        <v>20.59192868126064</v>
      </c>
      <c r="AU52" s="72">
        <f t="shared" si="111"/>
        <v>24.235353119273213</v>
      </c>
      <c r="AV52" s="72">
        <f t="shared" si="111"/>
        <v>27.829213903896203</v>
      </c>
      <c r="AW52" s="72">
        <f t="shared" si="111"/>
        <v>31.376133903325666</v>
      </c>
      <c r="AX52" s="72">
        <f t="shared" si="111"/>
        <v>34.878515523426984</v>
      </c>
      <c r="AY52" s="72">
        <f t="shared" si="112"/>
        <v>38.208578459534522</v>
      </c>
      <c r="AZ52" s="72">
        <f t="shared" si="113"/>
        <v>41.502622785170885</v>
      </c>
      <c r="BA52" s="72">
        <f t="shared" si="114"/>
        <v>44.762238743266764</v>
      </c>
      <c r="BB52" s="72">
        <f t="shared" si="115"/>
        <v>47.988904448016655</v>
      </c>
      <c r="BC52" s="72">
        <f t="shared" si="116"/>
        <v>51.183996588176825</v>
      </c>
      <c r="BD52" s="72">
        <f t="shared" si="117"/>
        <v>54.348799855637878</v>
      </c>
      <c r="BE52" s="72">
        <f t="shared" si="118"/>
        <v>57.484515279688424</v>
      </c>
      <c r="BF52" s="72">
        <f t="shared" si="119"/>
        <v>60.592267618002737</v>
      </c>
      <c r="BG52" s="72">
        <f t="shared" si="120"/>
        <v>63.673111931387751</v>
      </c>
      <c r="BH52" s="72">
        <f t="shared" si="121"/>
        <v>66.728039449612879</v>
      </c>
      <c r="BI52" s="72">
        <f t="shared" si="122"/>
        <v>68.584575062454888</v>
      </c>
      <c r="BJ52" s="72">
        <f t="shared" si="123"/>
        <v>70.437438076950201</v>
      </c>
      <c r="BK52" s="72">
        <f t="shared" si="124"/>
        <v>72.286678819999025</v>
      </c>
      <c r="BL52" s="72">
        <f t="shared" si="125"/>
        <v>74.132346495752245</v>
      </c>
      <c r="BM52" s="72">
        <f t="shared" si="126"/>
        <v>75.974489220153913</v>
      </c>
      <c r="BN52" s="72">
        <f t="shared" si="127"/>
        <v>77.813154054133776</v>
      </c>
      <c r="BO52" s="72">
        <f t="shared" si="128"/>
        <v>79.64838703551419</v>
      </c>
      <c r="BP52" s="72">
        <f t="shared" si="129"/>
        <v>81.480233209690823</v>
      </c>
      <c r="BQ52" s="72">
        <f t="shared" si="130"/>
        <v>83.308736659144387</v>
      </c>
      <c r="BR52" s="72">
        <f t="shared" si="131"/>
        <v>85.133940531837879</v>
      </c>
    </row>
    <row r="53" spans="1:70">
      <c r="A53" t="s">
        <v>16</v>
      </c>
      <c r="B53" s="223" t="s">
        <v>224</v>
      </c>
      <c r="C53" s="223"/>
      <c r="E53" s="72"/>
      <c r="F53" s="72"/>
      <c r="G53" s="72"/>
      <c r="H53" s="72"/>
      <c r="I53" s="145"/>
      <c r="J53" s="72"/>
      <c r="K53" s="72"/>
      <c r="L53" s="72">
        <f t="shared" ref="L53:AX53" si="132">SUM(L49:L52)</f>
        <v>0</v>
      </c>
      <c r="M53" s="72">
        <f t="shared" si="132"/>
        <v>0</v>
      </c>
      <c r="N53" s="72">
        <f t="shared" si="132"/>
        <v>0</v>
      </c>
      <c r="O53" s="72">
        <f t="shared" si="132"/>
        <v>0</v>
      </c>
      <c r="P53" s="72">
        <f t="shared" si="132"/>
        <v>0</v>
      </c>
      <c r="Q53" s="72">
        <f t="shared" si="132"/>
        <v>0</v>
      </c>
      <c r="R53" s="72">
        <f t="shared" si="132"/>
        <v>1.9150455230721981</v>
      </c>
      <c r="S53" s="72">
        <f t="shared" si="132"/>
        <v>3.6894907315492986</v>
      </c>
      <c r="T53" s="72">
        <f t="shared" si="132"/>
        <v>4.8032958053464796</v>
      </c>
      <c r="U53" s="72">
        <f t="shared" si="132"/>
        <v>8.4672779803590146</v>
      </c>
      <c r="V53" s="72">
        <f t="shared" si="132"/>
        <v>10.558061530711534</v>
      </c>
      <c r="W53" s="72">
        <f t="shared" si="132"/>
        <v>11.775012222716072</v>
      </c>
      <c r="X53" s="72">
        <f t="shared" si="132"/>
        <v>13.405002509672979</v>
      </c>
      <c r="Y53" s="72">
        <f t="shared" si="132"/>
        <v>15.089127718089344</v>
      </c>
      <c r="Z53" s="72">
        <f t="shared" si="132"/>
        <v>16.9323333547046</v>
      </c>
      <c r="AA53" s="72">
        <f t="shared" si="132"/>
        <v>18.88491117910954</v>
      </c>
      <c r="AB53" s="72">
        <f t="shared" si="132"/>
        <v>20.949026708961014</v>
      </c>
      <c r="AC53" s="72">
        <f t="shared" si="132"/>
        <v>23.23527599125326</v>
      </c>
      <c r="AD53" s="72">
        <f t="shared" si="132"/>
        <v>25.757945073160695</v>
      </c>
      <c r="AE53" s="72">
        <f t="shared" si="132"/>
        <v>28.468765934568324</v>
      </c>
      <c r="AF53" s="72">
        <f t="shared" si="132"/>
        <v>31.238879145551234</v>
      </c>
      <c r="AG53" s="72">
        <f t="shared" si="132"/>
        <v>34.081301670217428</v>
      </c>
      <c r="AH53" s="72">
        <f t="shared" si="132"/>
        <v>37.139121059289742</v>
      </c>
      <c r="AI53" s="72">
        <f t="shared" si="132"/>
        <v>40.274718575252201</v>
      </c>
      <c r="AJ53" s="72">
        <f t="shared" si="132"/>
        <v>43.490781912114642</v>
      </c>
      <c r="AK53" s="72">
        <f t="shared" si="132"/>
        <v>46.797524055284107</v>
      </c>
      <c r="AL53" s="72">
        <f t="shared" si="132"/>
        <v>50.16124763179716</v>
      </c>
      <c r="AM53" s="72">
        <f t="shared" si="132"/>
        <v>53.513824163226062</v>
      </c>
      <c r="AN53" s="72">
        <f t="shared" si="132"/>
        <v>56.83069954314152</v>
      </c>
      <c r="AO53" s="72">
        <f t="shared" si="132"/>
        <v>60.299242135113779</v>
      </c>
      <c r="AP53" s="72">
        <f t="shared" si="132"/>
        <v>63.720683875709732</v>
      </c>
      <c r="AQ53" s="72">
        <f t="shared" si="132"/>
        <v>67.097567562470957</v>
      </c>
      <c r="AR53" s="72">
        <f t="shared" si="132"/>
        <v>70.432218095666371</v>
      </c>
      <c r="AS53" s="72">
        <f t="shared" si="132"/>
        <v>73.726767610855759</v>
      </c>
      <c r="AT53" s="72">
        <f t="shared" si="132"/>
        <v>77.42262822440216</v>
      </c>
      <c r="AU53" s="72">
        <f t="shared" si="132"/>
        <v>81.066052662414734</v>
      </c>
      <c r="AV53" s="72">
        <f t="shared" si="132"/>
        <v>84.659913447037724</v>
      </c>
      <c r="AW53" s="72">
        <f t="shared" si="132"/>
        <v>88.206833446467186</v>
      </c>
      <c r="AX53" s="72">
        <f t="shared" si="132"/>
        <v>91.709215066568504</v>
      </c>
      <c r="AY53" s="72">
        <f t="shared" ref="AY53:BR53" si="133">SUM(AY49:AY52)</f>
        <v>95.039278002676042</v>
      </c>
      <c r="AZ53" s="72">
        <f t="shared" si="133"/>
        <v>98.333322328312406</v>
      </c>
      <c r="BA53" s="72">
        <f t="shared" si="133"/>
        <v>101.59293828640828</v>
      </c>
      <c r="BB53" s="72">
        <f t="shared" si="133"/>
        <v>104.81960399115817</v>
      </c>
      <c r="BC53" s="72">
        <f t="shared" si="133"/>
        <v>108.01469613131835</v>
      </c>
      <c r="BD53" s="72">
        <f t="shared" si="133"/>
        <v>111.1794993987794</v>
      </c>
      <c r="BE53" s="72">
        <f t="shared" si="133"/>
        <v>114.31521482282994</v>
      </c>
      <c r="BF53" s="72">
        <f t="shared" si="133"/>
        <v>117.42296716114426</v>
      </c>
      <c r="BG53" s="72">
        <f t="shared" si="133"/>
        <v>120.50381147452927</v>
      </c>
      <c r="BH53" s="72">
        <f t="shared" si="133"/>
        <v>123.5587389927544</v>
      </c>
      <c r="BI53" s="72">
        <f t="shared" si="133"/>
        <v>125.41527460559641</v>
      </c>
      <c r="BJ53" s="72">
        <f t="shared" si="133"/>
        <v>127.26813762009172</v>
      </c>
      <c r="BK53" s="72">
        <f t="shared" si="133"/>
        <v>129.11737836314055</v>
      </c>
      <c r="BL53" s="72">
        <f t="shared" si="133"/>
        <v>130.96304603889376</v>
      </c>
      <c r="BM53" s="72">
        <f t="shared" si="133"/>
        <v>132.80518876329543</v>
      </c>
      <c r="BN53" s="72">
        <f t="shared" si="133"/>
        <v>134.6438535972753</v>
      </c>
      <c r="BO53" s="72">
        <f t="shared" si="133"/>
        <v>136.47908657865571</v>
      </c>
      <c r="BP53" s="72">
        <f t="shared" si="133"/>
        <v>138.31093275283234</v>
      </c>
      <c r="BQ53" s="72">
        <f t="shared" si="133"/>
        <v>140.13943620228591</v>
      </c>
      <c r="BR53" s="72">
        <f t="shared" si="133"/>
        <v>141.9646400749794</v>
      </c>
    </row>
    <row r="54" spans="1:70">
      <c r="A54" t="s">
        <v>16</v>
      </c>
      <c r="B54" s="223"/>
      <c r="I54" s="132"/>
      <c r="L54" s="72"/>
      <c r="M54" s="70"/>
      <c r="AX54" s="72"/>
    </row>
    <row r="55" spans="1:70" ht="15.75" thickBot="1">
      <c r="A55" t="s">
        <v>16</v>
      </c>
      <c r="B55" s="68" t="s">
        <v>14</v>
      </c>
      <c r="C55" s="68" t="s">
        <v>481</v>
      </c>
      <c r="D55" s="68" t="s">
        <v>480</v>
      </c>
      <c r="E55" s="68">
        <v>2017</v>
      </c>
      <c r="F55" s="68">
        <v>2012</v>
      </c>
      <c r="G55" s="68">
        <v>2017</v>
      </c>
      <c r="I55" s="132"/>
      <c r="M55" s="70"/>
    </row>
    <row r="56" spans="1:70">
      <c r="A56" t="s">
        <v>16</v>
      </c>
      <c r="B56" s="72" t="s">
        <v>63</v>
      </c>
      <c r="C56" s="72" t="s">
        <v>225</v>
      </c>
      <c r="D56" s="85">
        <f t="shared" ref="D56:E64" si="134">F56*1000</f>
        <v>139664.39435388436</v>
      </c>
      <c r="E56" s="85">
        <f t="shared" si="134"/>
        <v>128412.71933541799</v>
      </c>
      <c r="F56" s="17">
        <f>'[13]TS BYDem'!$J10</f>
        <v>139.66439435388435</v>
      </c>
      <c r="G56" s="292">
        <f>INDEX('BY-DMD'!$I$5:$I$138,MATCH(C56,'BY-DMD'!$H$5:$H$138,0))</f>
        <v>128.41271933541799</v>
      </c>
      <c r="L56" s="69"/>
      <c r="M56" s="157" t="s">
        <v>496</v>
      </c>
      <c r="N56" s="74"/>
      <c r="O56" s="74" t="s">
        <v>427</v>
      </c>
      <c r="P56" s="74"/>
      <c r="Q56" s="74"/>
    </row>
    <row r="57" spans="1:70">
      <c r="A57" t="s">
        <v>16</v>
      </c>
      <c r="B57" s="72" t="s">
        <v>248</v>
      </c>
      <c r="C57" s="72" t="s">
        <v>226</v>
      </c>
      <c r="D57" s="85">
        <f t="shared" si="134"/>
        <v>7851.7549075018987</v>
      </c>
      <c r="E57" s="85">
        <f t="shared" si="134"/>
        <v>11992.907577983</v>
      </c>
      <c r="F57" s="17">
        <f>'[13]TS BYDem'!$J11</f>
        <v>7.8517549075018991</v>
      </c>
      <c r="G57" s="292">
        <f>INDEX('BY-DMD'!$I$5:$I$138,MATCH(C57,'BY-DMD'!$H$5:$H$138,0))</f>
        <v>11.992907577983001</v>
      </c>
      <c r="L57" s="69"/>
      <c r="M57" s="157" t="s">
        <v>499</v>
      </c>
      <c r="N57" s="74">
        <f>DriversGams!$B$164</f>
        <v>1</v>
      </c>
      <c r="O57" s="74"/>
      <c r="P57" s="74"/>
      <c r="Q57" s="74"/>
    </row>
    <row r="58" spans="1:70">
      <c r="A58" t="s">
        <v>16</v>
      </c>
      <c r="B58" s="72" t="s">
        <v>249</v>
      </c>
      <c r="C58" s="72" t="s">
        <v>227</v>
      </c>
      <c r="D58" s="85">
        <f t="shared" si="134"/>
        <v>9894.4997565297635</v>
      </c>
      <c r="E58" s="85">
        <f t="shared" si="134"/>
        <v>8962.9891158025894</v>
      </c>
      <c r="F58" s="17">
        <f>'[13]TS BYDem'!$J12</f>
        <v>9.894499756529763</v>
      </c>
      <c r="G58" s="292">
        <f>INDEX('BY-DMD'!$I$5:$I$138,MATCH(C58,'BY-DMD'!$H$5:$H$138,0))</f>
        <v>8.9629891158025892</v>
      </c>
      <c r="L58" s="69"/>
      <c r="M58" s="157" t="s">
        <v>497</v>
      </c>
      <c r="N58" s="74"/>
      <c r="O58" s="74"/>
      <c r="P58" s="74"/>
      <c r="Q58" s="74"/>
    </row>
    <row r="59" spans="1:70">
      <c r="A59" t="s">
        <v>16</v>
      </c>
      <c r="B59" s="72" t="s">
        <v>64</v>
      </c>
      <c r="C59" s="72" t="s">
        <v>228</v>
      </c>
      <c r="D59" s="85">
        <f t="shared" si="134"/>
        <v>121540.2719056889</v>
      </c>
      <c r="E59" s="85">
        <f t="shared" si="134"/>
        <v>111748.716602955</v>
      </c>
      <c r="F59" s="17">
        <f>'[13]TS BYDem'!$J13</f>
        <v>121.5402719056889</v>
      </c>
      <c r="G59" s="292">
        <f>INDEX('BY-DMD'!$I$5:$I$138,MATCH(C59,'BY-DMD'!$H$5:$H$138,0))</f>
        <v>111.748716602955</v>
      </c>
      <c r="L59" s="69"/>
      <c r="M59" s="74">
        <v>-1</v>
      </c>
      <c r="N59" s="157" t="s">
        <v>498</v>
      </c>
      <c r="O59" s="74"/>
      <c r="P59" s="74"/>
      <c r="Q59" s="74"/>
      <c r="AE59" s="70" t="s">
        <v>610</v>
      </c>
    </row>
    <row r="60" spans="1:70">
      <c r="A60" t="s">
        <v>16</v>
      </c>
      <c r="B60" s="72" t="s">
        <v>250</v>
      </c>
      <c r="C60" s="72" t="s">
        <v>229</v>
      </c>
      <c r="D60" s="85">
        <f t="shared" si="134"/>
        <v>29566.39037374705</v>
      </c>
      <c r="E60" s="85">
        <f t="shared" si="134"/>
        <v>27184.456041138401</v>
      </c>
      <c r="F60" s="17">
        <f>'[13]TS BYDem'!$J14</f>
        <v>29.566390373747051</v>
      </c>
      <c r="G60" s="292">
        <f>INDEX('BY-DMD'!$I$5:$I$138,MATCH(C60,'BY-DMD'!$H$5:$H$138,0))</f>
        <v>27.1844560411384</v>
      </c>
      <c r="L60" s="69"/>
      <c r="M60" s="74">
        <v>1</v>
      </c>
      <c r="N60" s="74" t="s">
        <v>611</v>
      </c>
      <c r="O60" s="158">
        <v>-0.37</v>
      </c>
      <c r="P60" s="158">
        <v>-0.5</v>
      </c>
      <c r="Q60" s="158">
        <v>-0.2</v>
      </c>
      <c r="S60" s="70" t="s">
        <v>612</v>
      </c>
      <c r="AC60" s="72" t="s">
        <v>613</v>
      </c>
      <c r="AD60" s="72">
        <f>AD30/(AD30+AD31)</f>
        <v>0.79000360422411875</v>
      </c>
      <c r="AE60" s="72" t="s">
        <v>614</v>
      </c>
      <c r="AF60" s="72"/>
      <c r="AG60" s="72"/>
      <c r="AH60" s="72"/>
      <c r="AI60" s="72">
        <f>(AD30*0.8+AD31*0.46)/(AD30+AD31)</f>
        <v>0.72860122543620043</v>
      </c>
    </row>
    <row r="61" spans="1:70">
      <c r="A61" t="s">
        <v>16</v>
      </c>
      <c r="B61" s="72" t="s">
        <v>251</v>
      </c>
      <c r="C61" s="72" t="s">
        <v>230</v>
      </c>
      <c r="D61" s="85">
        <f t="shared" si="134"/>
        <v>9683.1090230750324</v>
      </c>
      <c r="E61" s="85">
        <f t="shared" si="134"/>
        <v>14392.1338097343</v>
      </c>
      <c r="F61" s="17">
        <f>'[13]TS BYDem'!$J15</f>
        <v>9.6831090230750316</v>
      </c>
      <c r="G61" s="292">
        <f>INDEX('BY-DMD'!$I$5:$I$138,MATCH(C61,'BY-DMD'!$H$5:$H$138,0))</f>
        <v>14.3921338097343</v>
      </c>
      <c r="L61" s="69"/>
      <c r="M61" s="74">
        <v>2</v>
      </c>
      <c r="N61" s="74" t="s">
        <v>615</v>
      </c>
      <c r="O61" s="158">
        <v>-0.25</v>
      </c>
      <c r="P61" s="158">
        <v>-0.25</v>
      </c>
      <c r="Q61" s="158">
        <v>-0.2</v>
      </c>
      <c r="S61" s="90" t="s">
        <v>632</v>
      </c>
    </row>
    <row r="62" spans="1:70">
      <c r="A62" t="s">
        <v>16</v>
      </c>
      <c r="B62" s="72" t="s">
        <v>254</v>
      </c>
      <c r="C62" s="72" t="s">
        <v>231</v>
      </c>
      <c r="D62" s="85">
        <f t="shared" si="134"/>
        <v>10300.552873773209</v>
      </c>
      <c r="E62" s="85">
        <f t="shared" si="134"/>
        <v>9470.7173671475102</v>
      </c>
      <c r="F62" s="17">
        <f>'[13]TS BYDem'!$J16</f>
        <v>10.30055287377321</v>
      </c>
      <c r="G62" s="292">
        <f>INDEX('BY-DMD'!$I$5:$I$138,MATCH(C62,'BY-DMD'!$H$5:$H$138,0))</f>
        <v>9.4707173671475093</v>
      </c>
      <c r="L62" s="69"/>
      <c r="M62" s="74">
        <v>3</v>
      </c>
      <c r="N62" s="157" t="s">
        <v>611</v>
      </c>
      <c r="O62" s="158">
        <v>-0.37</v>
      </c>
      <c r="P62" s="158">
        <v>-0.5</v>
      </c>
      <c r="Q62" s="158">
        <v>-0.2</v>
      </c>
    </row>
    <row r="63" spans="1:70">
      <c r="A63" t="s">
        <v>16</v>
      </c>
      <c r="B63" s="72" t="s">
        <v>253</v>
      </c>
      <c r="C63" s="72" t="s">
        <v>232</v>
      </c>
      <c r="D63" s="85">
        <f t="shared" si="134"/>
        <v>3559.3512487513526</v>
      </c>
      <c r="E63" s="85">
        <f t="shared" si="134"/>
        <v>3272.60197587621</v>
      </c>
      <c r="F63" s="17">
        <f>'[13]TS BYDem'!$J17</f>
        <v>3.5593512487513528</v>
      </c>
      <c r="G63" s="292">
        <f>INDEX('BY-DMD'!$I$5:$I$138,MATCH(C63,'BY-DMD'!$H$5:$H$138,0))</f>
        <v>3.2726019758762099</v>
      </c>
      <c r="L63" s="69"/>
      <c r="M63" s="70"/>
    </row>
    <row r="64" spans="1:70">
      <c r="A64" t="s">
        <v>16</v>
      </c>
      <c r="B64" s="72" t="s">
        <v>0</v>
      </c>
      <c r="C64" s="72" t="s">
        <v>233</v>
      </c>
      <c r="D64" s="85">
        <f t="shared" si="134"/>
        <v>18760.184357078931</v>
      </c>
      <c r="E64" s="85">
        <f t="shared" si="134"/>
        <v>20198.960613823001</v>
      </c>
      <c r="F64" s="17">
        <f>'[13]TS BYDem'!$J18</f>
        <v>18.760184357078931</v>
      </c>
      <c r="G64" s="292">
        <f>INDEX('BY-DMD'!$I$5:$I$138,MATCH(C64,'BY-DMD'!$H$5:$H$138,0))</f>
        <v>20.198960613823001</v>
      </c>
      <c r="L64" s="69"/>
      <c r="M64" s="70"/>
    </row>
    <row r="65" spans="1:70">
      <c r="A65" t="s">
        <v>16</v>
      </c>
      <c r="B65" s="72"/>
      <c r="C65" s="72"/>
      <c r="D65" s="72"/>
      <c r="L65" s="69"/>
      <c r="M65" s="70"/>
    </row>
    <row r="66" spans="1:70">
      <c r="A66" t="s">
        <v>16</v>
      </c>
      <c r="B66" s="72"/>
      <c r="F66" s="188"/>
      <c r="I66" s="132"/>
      <c r="M66" s="70"/>
    </row>
    <row r="67" spans="1:70" ht="15.75" thickBot="1">
      <c r="A67" t="s">
        <v>16</v>
      </c>
      <c r="B67" s="129" t="s">
        <v>12</v>
      </c>
      <c r="C67" s="130"/>
      <c r="D67" s="68"/>
      <c r="E67" s="80">
        <v>2012</v>
      </c>
      <c r="F67" s="189">
        <v>2017</v>
      </c>
      <c r="G67" s="80">
        <f>G22</f>
        <v>2020</v>
      </c>
      <c r="H67" s="80">
        <f>H22</f>
        <v>2030</v>
      </c>
      <c r="I67" s="152">
        <v>2040</v>
      </c>
      <c r="J67" s="80">
        <v>2050</v>
      </c>
      <c r="K67" s="80">
        <v>2070</v>
      </c>
      <c r="L67" s="80">
        <f t="shared" ref="L67:BR67" si="135">L4</f>
        <v>2012</v>
      </c>
      <c r="M67" s="80">
        <f t="shared" si="135"/>
        <v>2013</v>
      </c>
      <c r="N67" s="80">
        <f t="shared" si="135"/>
        <v>2014</v>
      </c>
      <c r="O67" s="80">
        <f t="shared" si="135"/>
        <v>2015</v>
      </c>
      <c r="P67" s="80">
        <f t="shared" si="135"/>
        <v>2016</v>
      </c>
      <c r="Q67" s="80">
        <f t="shared" si="135"/>
        <v>2017</v>
      </c>
      <c r="R67" s="80">
        <f t="shared" si="135"/>
        <v>2018</v>
      </c>
      <c r="S67" s="80">
        <f t="shared" si="135"/>
        <v>2019</v>
      </c>
      <c r="T67" s="80">
        <f t="shared" si="135"/>
        <v>2020</v>
      </c>
      <c r="U67" s="80">
        <f t="shared" si="135"/>
        <v>2021</v>
      </c>
      <c r="V67" s="80">
        <f t="shared" si="135"/>
        <v>2022</v>
      </c>
      <c r="W67" s="80">
        <f t="shared" si="135"/>
        <v>2023</v>
      </c>
      <c r="X67" s="80">
        <f t="shared" si="135"/>
        <v>2024</v>
      </c>
      <c r="Y67" s="80">
        <f t="shared" si="135"/>
        <v>2025</v>
      </c>
      <c r="Z67" s="80">
        <f t="shared" si="135"/>
        <v>2026</v>
      </c>
      <c r="AA67" s="80">
        <f t="shared" si="135"/>
        <v>2027</v>
      </c>
      <c r="AB67" s="80">
        <f t="shared" si="135"/>
        <v>2028</v>
      </c>
      <c r="AC67" s="80">
        <f t="shared" si="135"/>
        <v>2029</v>
      </c>
      <c r="AD67" s="80">
        <f t="shared" si="135"/>
        <v>2030</v>
      </c>
      <c r="AE67" s="80">
        <f t="shared" si="135"/>
        <v>2031</v>
      </c>
      <c r="AF67" s="80">
        <f t="shared" si="135"/>
        <v>2032</v>
      </c>
      <c r="AG67" s="80">
        <f t="shared" si="135"/>
        <v>2033</v>
      </c>
      <c r="AH67" s="80">
        <f t="shared" si="135"/>
        <v>2034</v>
      </c>
      <c r="AI67" s="80">
        <f t="shared" si="135"/>
        <v>2035</v>
      </c>
      <c r="AJ67" s="80">
        <f t="shared" si="135"/>
        <v>2036</v>
      </c>
      <c r="AK67" s="80">
        <f t="shared" si="135"/>
        <v>2037</v>
      </c>
      <c r="AL67" s="80">
        <f t="shared" si="135"/>
        <v>2038</v>
      </c>
      <c r="AM67" s="80">
        <f t="shared" si="135"/>
        <v>2039</v>
      </c>
      <c r="AN67" s="80">
        <f t="shared" si="135"/>
        <v>2040</v>
      </c>
      <c r="AO67" s="80">
        <f t="shared" si="135"/>
        <v>2041</v>
      </c>
      <c r="AP67" s="80">
        <f t="shared" si="135"/>
        <v>2042</v>
      </c>
      <c r="AQ67" s="80">
        <f t="shared" si="135"/>
        <v>2043</v>
      </c>
      <c r="AR67" s="80">
        <f t="shared" si="135"/>
        <v>2044</v>
      </c>
      <c r="AS67" s="80">
        <f t="shared" si="135"/>
        <v>2045</v>
      </c>
      <c r="AT67" s="80">
        <f t="shared" si="135"/>
        <v>2046</v>
      </c>
      <c r="AU67" s="80">
        <f t="shared" si="135"/>
        <v>2047</v>
      </c>
      <c r="AV67" s="80">
        <f t="shared" si="135"/>
        <v>2048</v>
      </c>
      <c r="AW67" s="80">
        <f t="shared" si="135"/>
        <v>2049</v>
      </c>
      <c r="AX67" s="80">
        <f t="shared" si="135"/>
        <v>2050</v>
      </c>
      <c r="AY67" s="80">
        <f t="shared" si="135"/>
        <v>2051</v>
      </c>
      <c r="AZ67" s="80">
        <f t="shared" si="135"/>
        <v>2052</v>
      </c>
      <c r="BA67" s="80">
        <f t="shared" si="135"/>
        <v>2053</v>
      </c>
      <c r="BB67" s="80">
        <f t="shared" si="135"/>
        <v>2054</v>
      </c>
      <c r="BC67" s="80">
        <f t="shared" si="135"/>
        <v>2055</v>
      </c>
      <c r="BD67" s="80">
        <f t="shared" si="135"/>
        <v>2056</v>
      </c>
      <c r="BE67" s="80">
        <f t="shared" si="135"/>
        <v>2057</v>
      </c>
      <c r="BF67" s="80">
        <f t="shared" si="135"/>
        <v>2058</v>
      </c>
      <c r="BG67" s="80">
        <f t="shared" si="135"/>
        <v>2059</v>
      </c>
      <c r="BH67" s="80">
        <f t="shared" si="135"/>
        <v>2060</v>
      </c>
      <c r="BI67" s="80">
        <f t="shared" si="135"/>
        <v>2061</v>
      </c>
      <c r="BJ67" s="80">
        <f t="shared" si="135"/>
        <v>2062</v>
      </c>
      <c r="BK67" s="80">
        <f t="shared" si="135"/>
        <v>2063</v>
      </c>
      <c r="BL67" s="80">
        <f t="shared" si="135"/>
        <v>2064</v>
      </c>
      <c r="BM67" s="80">
        <f t="shared" si="135"/>
        <v>2065</v>
      </c>
      <c r="BN67" s="80">
        <f t="shared" si="135"/>
        <v>2066</v>
      </c>
      <c r="BO67" s="80">
        <f t="shared" si="135"/>
        <v>2067</v>
      </c>
      <c r="BP67" s="80">
        <f t="shared" si="135"/>
        <v>2068</v>
      </c>
      <c r="BQ67" s="80">
        <f t="shared" si="135"/>
        <v>2069</v>
      </c>
      <c r="BR67" s="80">
        <f t="shared" si="135"/>
        <v>2070</v>
      </c>
    </row>
    <row r="68" spans="1:70">
      <c r="A68" t="s">
        <v>16</v>
      </c>
      <c r="I68" s="132"/>
      <c r="M68" s="70"/>
    </row>
    <row r="69" spans="1:70" ht="15.75" thickBot="1">
      <c r="A69" t="s">
        <v>16</v>
      </c>
      <c r="B69" s="86" t="s">
        <v>65</v>
      </c>
      <c r="C69" s="68"/>
      <c r="D69" s="68"/>
      <c r="H69" s="171">
        <f>VLOOKUP($N$57,$M$59:$Q$62,3)</f>
        <v>-0.37</v>
      </c>
      <c r="I69" s="132"/>
      <c r="M69" s="70"/>
    </row>
    <row r="70" spans="1:70">
      <c r="A70" t="s">
        <v>16</v>
      </c>
      <c r="B70" s="223" t="s">
        <v>225</v>
      </c>
      <c r="C70" s="70" t="str">
        <f t="shared" ref="C70:C78" si="136">"Commercial"&amp;" - "&amp;B56</f>
        <v>Commercial - Cooling</v>
      </c>
      <c r="D70" s="70" t="s">
        <v>66</v>
      </c>
      <c r="E70" s="79">
        <f>$D56/L$23</f>
        <v>1051.567060091292</v>
      </c>
      <c r="F70" s="87">
        <f>E56/$Q$23</f>
        <v>922.3353159822409</v>
      </c>
      <c r="G70" s="87">
        <f t="shared" ref="G70:I78" si="137">F70</f>
        <v>922.3353159822409</v>
      </c>
      <c r="H70" s="87">
        <f>IF($N$57=-1,G70,((F70-E70)*2/5+E70)*(1+$H$69))</f>
        <v>629.92084834203308</v>
      </c>
      <c r="I70" s="131">
        <f t="shared" si="137"/>
        <v>629.92084834203308</v>
      </c>
      <c r="J70" s="131">
        <f t="shared" ref="J70:J78" si="138">I70</f>
        <v>629.92084834203308</v>
      </c>
      <c r="K70" s="131">
        <f t="shared" ref="K70:K78" si="139">J70</f>
        <v>629.92084834203308</v>
      </c>
      <c r="L70" s="5" cm="1">
        <f t="array" ref="L70">IF(L$8=-1,M70,IF(L$8=99,I70,IF(L$8=0,INDEX($E70:$I70,0,L$6),(INDEX($E70:$I70,0,L$8+1)-INDEX($E70:$I70,0,L$8))/(INDEX($D$5:$H$5,0,L$8+1)-INDEX($D$5:$H$5,0,L$8))+I70)))</f>
        <v>1051.567060091292</v>
      </c>
      <c r="M70" s="5" cm="1">
        <f t="array" ref="M70">IF(M$8=-1,N70,IF(M$8=99,L70,IF(M$8=0,INDEX($E70:$I70,0,M$6),(INDEX($E70:$I70,0,M$8+1)-INDEX($E70:$I70,0,M$8))/(INDEX($D$5:$H$5,0,M$8+1)-INDEX($D$5:$H$5,0,M$8))+L70)))</f>
        <v>1025.7207112694819</v>
      </c>
      <c r="N70" s="5" cm="1">
        <f t="array" ref="N70">IF(N$8=-1,O70,IF(N$8=99,M70,IF(N$8=0,INDEX($E70:$I70,0,N$6),(INDEX($E70:$I70,0,N$8+1)-INDEX($E70:$I70,0,N$8))/(INDEX($D$5:$H$5,0,N$8+1)-INDEX($D$5:$H$5,0,N$8))+M70)))</f>
        <v>999.87436244767161</v>
      </c>
      <c r="O70" s="5" cm="1">
        <f t="array" ref="O70">IF(O$8=-1,P70,IF(O$8=99,N70,IF(O$8=0,INDEX($E70:$I70,0,O$6),(INDEX($E70:$I70,0,O$8+1)-INDEX($E70:$I70,0,O$8))/(INDEX($D$5:$H$5,0,O$8+1)-INDEX($D$5:$H$5,0,O$8))+N70)))</f>
        <v>974.02801362586138</v>
      </c>
      <c r="P70" s="5" cm="1">
        <f t="array" ref="P70">IF(P$8=-1,Q70,IF(P$8=99,O70,IF(P$8=0,INDEX($E70:$I70,0,P$6),(INDEX($E70:$I70,0,P$8+1)-INDEX($E70:$I70,0,P$8))/(INDEX($D$5:$H$5,0,P$8+1)-INDEX($D$5:$H$5,0,P$8))+O70)))</f>
        <v>948.18166480405114</v>
      </c>
      <c r="Q70" s="5" cm="1">
        <f t="array" ref="Q70">IF(Q$8=-1,R70,IF(Q$8=99,P70,IF(Q$8=0,INDEX($E70:$I70,0,Q$6),(INDEX($E70:$I70,0,Q$8+1)-INDEX($E70:$I70,0,Q$8))/(INDEX($D$5:$H$5,0,Q$8+1)-INDEX($D$5:$H$5,0,Q$8))+P70)))</f>
        <v>922.3353159822409</v>
      </c>
      <c r="R70" s="5" cm="1">
        <f t="array" ref="R70">IF(R$8=-1,S70,IF(R$8=99,Q70,IF(R$8=0,INDEX($E70:$I70,0,R$6),(INDEX($E70:$I70,0,R$8+1)-INDEX($E70:$I70,0,R$8))/(INDEX($D$5:$H$5,0,R$8+1)-INDEX($D$5:$H$5,0,R$8))+Q70)))</f>
        <v>922.3353159822409</v>
      </c>
      <c r="S70" s="5" cm="1">
        <f t="array" ref="S70">IF(S$8=-1,T70,IF(S$8=99,R70,IF(S$8=0,INDEX($E70:$I70,0,S$6),(INDEX($E70:$I70,0,S$8+1)-INDEX($E70:$I70,0,S$8))/(INDEX($D$5:$H$5,0,S$8+1)-INDEX($D$5:$H$5,0,S$8))+R70)))</f>
        <v>922.3353159822409</v>
      </c>
      <c r="T70" s="5" cm="1">
        <f t="array" ref="T70">IF(T$8=-1,U70,IF(T$8=99,S70,IF(T$8=0,INDEX($E70:$I70,0,T$6),(INDEX($E70:$I70,0,T$8+1)-INDEX($E70:$I70,0,T$8))/(INDEX($D$5:$H$5,0,T$8+1)-INDEX($D$5:$H$5,0,T$8))+S70)))</f>
        <v>922.3353159822409</v>
      </c>
      <c r="U70" s="5" cm="1">
        <f t="array" ref="U70">IF(U$8=-1,V70,IF(U$8=99,T70,IF(U$8=0,INDEX($E70:$I70,0,U$6),(INDEX($E70:$I70,0,U$8+1)-INDEX($E70:$I70,0,U$8))/(INDEX($D$5:$H$5,0,U$8+1)-INDEX($D$5:$H$5,0,U$8))+T70)))</f>
        <v>893.09386921822011</v>
      </c>
      <c r="V70" s="5" cm="1">
        <f t="array" ref="V70">IF(V$8=-1,W70,IF(V$8=99,U70,IF(V$8=0,INDEX($E70:$I70,0,V$6),(INDEX($E70:$I70,0,V$8+1)-INDEX($E70:$I70,0,V$8))/(INDEX($D$5:$H$5,0,V$8+1)-INDEX($D$5:$H$5,0,V$8))+U70)))</f>
        <v>863.85242245419931</v>
      </c>
      <c r="W70" s="5" cm="1">
        <f t="array" ref="W70">IF(W$8=-1,X70,IF(W$8=99,V70,IF(W$8=0,INDEX($E70:$I70,0,W$6),(INDEX($E70:$I70,0,W$8+1)-INDEX($E70:$I70,0,W$8))/(INDEX($D$5:$H$5,0,W$8+1)-INDEX($D$5:$H$5,0,W$8))+V70)))</f>
        <v>834.61097569017852</v>
      </c>
      <c r="X70" s="5" cm="1">
        <f t="array" ref="X70">IF(X$8=-1,Y70,IF(X$8=99,W70,IF(X$8=0,INDEX($E70:$I70,0,X$6),(INDEX($E70:$I70,0,X$8+1)-INDEX($E70:$I70,0,X$8))/(INDEX($D$5:$H$5,0,X$8+1)-INDEX($D$5:$H$5,0,X$8))+W70)))</f>
        <v>805.36952892615773</v>
      </c>
      <c r="Y70" s="5" cm="1">
        <f t="array" ref="Y70">IF(Y$8=-1,Z70,IF(Y$8=99,X70,IF(Y$8=0,INDEX($E70:$I70,0,Y$6),(INDEX($E70:$I70,0,Y$8+1)-INDEX($E70:$I70,0,Y$8))/(INDEX($D$5:$H$5,0,Y$8+1)-INDEX($D$5:$H$5,0,Y$8))+X70)))</f>
        <v>776.12808216213693</v>
      </c>
      <c r="Z70" s="5" cm="1">
        <f t="array" ref="Z70">IF(Z$8=-1,AA70,IF(Z$8=99,Y70,IF(Z$8=0,INDEX($E70:$I70,0,Z$6),(INDEX($E70:$I70,0,Z$8+1)-INDEX($E70:$I70,0,Z$8))/(INDEX($D$5:$H$5,0,Z$8+1)-INDEX($D$5:$H$5,0,Z$8))+Y70)))</f>
        <v>746.88663539811614</v>
      </c>
      <c r="AA70" s="5" cm="1">
        <f t="array" ref="AA70">IF(AA$8=-1,AB70,IF(AA$8=99,Z70,IF(AA$8=0,INDEX($E70:$I70,0,AA$6),(INDEX($E70:$I70,0,AA$8+1)-INDEX($E70:$I70,0,AA$8))/(INDEX($D$5:$H$5,0,AA$8+1)-INDEX($D$5:$H$5,0,AA$8))+Z70)))</f>
        <v>717.64518863409535</v>
      </c>
      <c r="AB70" s="5" cm="1">
        <f t="array" ref="AB70">IF(AB$8=-1,AC70,IF(AB$8=99,AA70,IF(AB$8=0,INDEX($E70:$I70,0,AB$6),(INDEX($E70:$I70,0,AB$8+1)-INDEX($E70:$I70,0,AB$8))/(INDEX($D$5:$H$5,0,AB$8+1)-INDEX($D$5:$H$5,0,AB$8))+AA70)))</f>
        <v>688.40374187007455</v>
      </c>
      <c r="AC70" s="5" cm="1">
        <f t="array" ref="AC70">IF(AC$8=-1,AD70,IF(AC$8=99,AB70,IF(AC$8=0,INDEX($E70:$I70,0,AC$6),(INDEX($E70:$I70,0,AC$8+1)-INDEX($E70:$I70,0,AC$8))/(INDEX($D$5:$H$5,0,AC$8+1)-INDEX($D$5:$H$5,0,AC$8))+AB70)))</f>
        <v>659.16229510605376</v>
      </c>
      <c r="AD70" s="5" cm="1">
        <f t="array" ref="AD70">IF(AD$8=-1,AE70,IF(AD$8=99,AC70,IF(AD$8=0,INDEX($E70:$I70,0,AD$6),(INDEX($E70:$I70,0,AD$8+1)-INDEX($E70:$I70,0,AD$8))/(INDEX($D$5:$H$5,0,AD$8+1)-INDEX($D$5:$H$5,0,AD$8))+AC70)))</f>
        <v>629.92084834203308</v>
      </c>
      <c r="AE70" s="5" cm="1">
        <f t="array" ref="AE70">IF(AE$8=-1,AF70,IF(AE$8=99,AD70,IF(AE$8=0,INDEX($E70:$I70,0,AE$6),(INDEX($E70:$I70,0,AE$8+1)-INDEX($E70:$I70,0,AE$8))/(INDEX($D$5:$H$5,0,AE$8+1)-INDEX($D$5:$H$5,0,AE$8))+AD70)))</f>
        <v>629.92084834203308</v>
      </c>
      <c r="AF70" s="5" cm="1">
        <f t="array" ref="AF70">IF(AF$8=-1,AG70,IF(AF$8=99,AE70,IF(AF$8=0,INDEX($E70:$I70,0,AF$6),(INDEX($E70:$I70,0,AF$8+1)-INDEX($E70:$I70,0,AF$8))/(INDEX($D$5:$H$5,0,AF$8+1)-INDEX($D$5:$H$5,0,AF$8))+AE70)))</f>
        <v>629.92084834203308</v>
      </c>
      <c r="AG70" s="5" cm="1">
        <f t="array" ref="AG70">IF(AG$8=-1,AH70,IF(AG$8=99,AF70,IF(AG$8=0,INDEX($E70:$I70,0,AG$6),(INDEX($E70:$I70,0,AG$8+1)-INDEX($E70:$I70,0,AG$8))/(INDEX($D$5:$H$5,0,AG$8+1)-INDEX($D$5:$H$5,0,AG$8))+AF70)))</f>
        <v>629.92084834203308</v>
      </c>
      <c r="AH70" s="5" cm="1">
        <f t="array" ref="AH70">IF(AH$8=-1,AI70,IF(AH$8=99,AG70,IF(AH$8=0,INDEX($E70:$I70,0,AH$6),(INDEX($E70:$I70,0,AH$8+1)-INDEX($E70:$I70,0,AH$8))/(INDEX($D$5:$H$5,0,AH$8+1)-INDEX($D$5:$H$5,0,AH$8))+AG70)))</f>
        <v>629.92084834203308</v>
      </c>
      <c r="AI70" s="5" cm="1">
        <f t="array" ref="AI70">IF(AI$8=-1,AJ70,IF(AI$8=99,AH70,IF(AI$8=0,INDEX($E70:$I70,0,AI$6),(INDEX($E70:$I70,0,AI$8+1)-INDEX($E70:$I70,0,AI$8))/(INDEX($D$5:$H$5,0,AI$8+1)-INDEX($D$5:$H$5,0,AI$8))+AH70)))</f>
        <v>629.92084834203308</v>
      </c>
      <c r="AJ70" s="5" cm="1">
        <f t="array" ref="AJ70">IF(AJ$8=-1,AK70,IF(AJ$8=99,AI70,IF(AJ$8=0,INDEX($E70:$I70,0,AJ$6),(INDEX($E70:$I70,0,AJ$8+1)-INDEX($E70:$I70,0,AJ$8))/(INDEX($D$5:$H$5,0,AJ$8+1)-INDEX($D$5:$H$5,0,AJ$8))+AI70)))</f>
        <v>629.92084834203308</v>
      </c>
      <c r="AK70" s="5" cm="1">
        <f t="array" ref="AK70">IF(AK$8=-1,AL70,IF(AK$8=99,AJ70,IF(AK$8=0,INDEX($E70:$I70,0,AK$6),(INDEX($E70:$I70,0,AK$8+1)-INDEX($E70:$I70,0,AK$8))/(INDEX($D$5:$H$5,0,AK$8+1)-INDEX($D$5:$H$5,0,AK$8))+AJ70)))</f>
        <v>629.92084834203308</v>
      </c>
      <c r="AL70" s="5" cm="1">
        <f t="array" ref="AL70">IF(AL$8=-1,AM70,IF(AL$8=99,AK70,IF(AL$8=0,INDEX($E70:$I70,0,AL$6),(INDEX($E70:$I70,0,AL$8+1)-INDEX($E70:$I70,0,AL$8))/(INDEX($D$5:$H$5,0,AL$8+1)-INDEX($D$5:$H$5,0,AL$8))+AK70)))</f>
        <v>629.92084834203308</v>
      </c>
      <c r="AM70" s="5" cm="1">
        <f t="array" ref="AM70">IF(AM$8=-1,AN70,IF(AM$8=99,AL70,IF(AM$8=0,INDEX($E70:$I70,0,AM$6),(INDEX($E70:$I70,0,AM$8+1)-INDEX($E70:$I70,0,AM$8))/(INDEX($D$5:$H$5,0,AM$8+1)-INDEX($D$5:$H$5,0,AM$8))+AL70)))</f>
        <v>629.92084834203308</v>
      </c>
      <c r="AN70" s="5" cm="1">
        <f t="array" ref="AN70">IF(AN$8=-1,AO70,IF(AN$8=99,AM70,IF(AN$8=0,INDEX($E70:$I70,0,AN$6),(INDEX($E70:$I70,0,AN$8+1)-INDEX($E70:$I70,0,AN$8))/(INDEX($D$5:$H$5,0,AN$8+1)-INDEX($D$5:$H$5,0,AN$8))+AM70)))</f>
        <v>629.92084834203308</v>
      </c>
      <c r="AO70" s="5" cm="1">
        <f t="array" ref="AO70">IF(AO$8=-1,AP70,IF(AO$8=99,AN70,IF(AO$8=0,INDEX($E70:$K70,0,AO$6),(INDEX($E70:$K70,0,AO$8+1)-INDEX($E70:$K70,0,AO$8))/(INDEX($D$5:$J$5,0,AO$8+1)-INDEX($D$5:$J$5,0,AO$8))+AN70)))</f>
        <v>629.92084834203308</v>
      </c>
      <c r="AP70" s="5" cm="1">
        <f t="array" ref="AP70">IF(AP$8=-1,AQ70,IF(AP$8=99,AO70,IF(AP$8=0,INDEX($E70:$K70,0,AP$6),(INDEX($E70:$K70,0,AP$8+1)-INDEX($E70:$K70,0,AP$8))/(INDEX($D$5:$J$5,0,AP$8+1)-INDEX($D$5:$J$5,0,AP$8))+AO70)))</f>
        <v>629.92084834203308</v>
      </c>
      <c r="AQ70" s="5" cm="1">
        <f t="array" ref="AQ70">IF(AQ$8=-1,AR70,IF(AQ$8=99,AP70,IF(AQ$8=0,INDEX($E70:$K70,0,AQ$6),(INDEX($E70:$K70,0,AQ$8+1)-INDEX($E70:$K70,0,AQ$8))/(INDEX($D$5:$J$5,0,AQ$8+1)-INDEX($D$5:$J$5,0,AQ$8))+AP70)))</f>
        <v>629.92084834203308</v>
      </c>
      <c r="AR70" s="5" cm="1">
        <f t="array" ref="AR70">IF(AR$8=-1,AS70,IF(AR$8=99,AQ70,IF(AR$8=0,INDEX($E70:$K70,0,AR$6),(INDEX($E70:$K70,0,AR$8+1)-INDEX($E70:$K70,0,AR$8))/(INDEX($D$5:$J$5,0,AR$8+1)-INDEX($D$5:$J$5,0,AR$8))+AQ70)))</f>
        <v>629.92084834203308</v>
      </c>
      <c r="AS70" s="5" cm="1">
        <f t="array" ref="AS70">IF(AS$8=-1,AT70,IF(AS$8=99,AR70,IF(AS$8=0,INDEX($E70:$K70,0,AS$6),(INDEX($E70:$K70,0,AS$8+1)-INDEX($E70:$K70,0,AS$8))/(INDEX($D$5:$J$5,0,AS$8+1)-INDEX($D$5:$J$5,0,AS$8))+AR70)))</f>
        <v>629.92084834203308</v>
      </c>
      <c r="AT70" s="5" cm="1">
        <f t="array" ref="AT70">IF(AT$8=-1,AU70,IF(AT$8=99,AS70,IF(AT$8=0,INDEX($E70:$K70,0,AT$6),(INDEX($E70:$K70,0,AT$8+1)-INDEX($E70:$K70,0,AT$8))/(INDEX($D$5:$J$5,0,AT$8+1)-INDEX($D$5:$J$5,0,AT$8))+AS70)))</f>
        <v>629.92084834203308</v>
      </c>
      <c r="AU70" s="5" cm="1">
        <f t="array" ref="AU70">IF(AU$8=-1,AV70,IF(AU$8=99,AT70,IF(AU$8=0,INDEX($E70:$K70,0,AU$6),(INDEX($E70:$K70,0,AU$8+1)-INDEX($E70:$K70,0,AU$8))/(INDEX($D$5:$J$5,0,AU$8+1)-INDEX($D$5:$J$5,0,AU$8))+AT70)))</f>
        <v>629.92084834203308</v>
      </c>
      <c r="AV70" s="5" cm="1">
        <f t="array" ref="AV70">IF(AV$8=-1,AW70,IF(AV$8=99,AU70,IF(AV$8=0,INDEX($E70:$K70,0,AV$6),(INDEX($E70:$K70,0,AV$8+1)-INDEX($E70:$K70,0,AV$8))/(INDEX($D$5:$J$5,0,AV$8+1)-INDEX($D$5:$J$5,0,AV$8))+AU70)))</f>
        <v>629.92084834203308</v>
      </c>
      <c r="AW70" s="5" cm="1">
        <f t="array" ref="AW70">IF(AW$8=-1,AX70,IF(AW$8=99,AV70,IF(AW$8=0,INDEX($E70:$K70,0,AW$6),(INDEX($E70:$K70,0,AW$8+1)-INDEX($E70:$K70,0,AW$8))/(INDEX($D$5:$J$5,0,AW$8+1)-INDEX($D$5:$J$5,0,AW$8))+AV70)))</f>
        <v>629.92084834203308</v>
      </c>
      <c r="AX70" s="5" cm="1">
        <f t="array" ref="AX70">IF(AX$8=-1,AY70,IF(AX$8=99,AW70,IF(AX$8=0,INDEX($E70:$K70,0,AX$6),(INDEX($E70:$K70,0,AX$8+1)-INDEX($E70:$K70,0,AX$8))/(INDEX($D$5:$J$5,0,AX$8+1)-INDEX($D$5:$J$5,0,AX$8))+AW70)))</f>
        <v>629.92084834203308</v>
      </c>
      <c r="AY70" s="5" cm="1">
        <f t="array" ref="AY70">IF(AY$8=-1,AZ70,IF(AY$8=99,AX70,IF(AY$8=0,INDEX($E70:$K70,0,AY$6),(INDEX($E70:$K70,0,AY$8+1)-INDEX($E70:$K70,0,AY$8))/(INDEX($D$5:$J$5,0,AY$8+1)-INDEX($D$5:$J$5,0,AY$8))+AX70)))</f>
        <v>629.92084834203308</v>
      </c>
      <c r="AZ70" s="5" cm="1">
        <f t="array" ref="AZ70">IF(AZ$8=-1,BA70,IF(AZ$8=99,AY70,IF(AZ$8=0,INDEX($E70:$K70,0,AZ$6),(INDEX($E70:$K70,0,AZ$8+1)-INDEX($E70:$K70,0,AZ$8))/(INDEX($D$5:$J$5,0,AZ$8+1)-INDEX($D$5:$J$5,0,AZ$8))+AY70)))</f>
        <v>629.92084834203308</v>
      </c>
      <c r="BA70" s="5" cm="1">
        <f t="array" ref="BA70">IF(BA$8=-1,BB70,IF(BA$8=99,AZ70,IF(BA$8=0,INDEX($E70:$K70,0,BA$6),(INDEX($E70:$K70,0,BA$8+1)-INDEX($E70:$K70,0,BA$8))/(INDEX($D$5:$J$5,0,BA$8+1)-INDEX($D$5:$J$5,0,BA$8))+AZ70)))</f>
        <v>629.92084834203308</v>
      </c>
      <c r="BB70" s="5" cm="1">
        <f t="array" ref="BB70">IF(BB$8=-1,BC70,IF(BB$8=99,BA70,IF(BB$8=0,INDEX($E70:$K70,0,BB$6),(INDEX($E70:$K70,0,BB$8+1)-INDEX($E70:$K70,0,BB$8))/(INDEX($D$5:$J$5,0,BB$8+1)-INDEX($D$5:$J$5,0,BB$8))+BA70)))</f>
        <v>629.92084834203308</v>
      </c>
      <c r="BC70" s="5" cm="1">
        <f t="array" ref="BC70">IF(BC$8=-1,BD70,IF(BC$8=99,BB70,IF(BC$8=0,INDEX($E70:$K70,0,BC$6),(INDEX($E70:$K70,0,BC$8+1)-INDEX($E70:$K70,0,BC$8))/(INDEX($D$5:$J$5,0,BC$8+1)-INDEX($D$5:$J$5,0,BC$8))+BB70)))</f>
        <v>629.92084834203308</v>
      </c>
      <c r="BD70" s="5" cm="1">
        <f t="array" ref="BD70">IF(BD$8=-1,BE70,IF(BD$8=99,BC70,IF(BD$8=0,INDEX($E70:$K70,0,BD$6),(INDEX($E70:$K70,0,BD$8+1)-INDEX($E70:$K70,0,BD$8))/(INDEX($D$5:$J$5,0,BD$8+1)-INDEX($D$5:$J$5,0,BD$8))+BC70)))</f>
        <v>629.92084834203308</v>
      </c>
      <c r="BE70" s="5" cm="1">
        <f t="array" ref="BE70">IF(BE$8=-1,BF70,IF(BE$8=99,BD70,IF(BE$8=0,INDEX($E70:$K70,0,BE$6),(INDEX($E70:$K70,0,BE$8+1)-INDEX($E70:$K70,0,BE$8))/(INDEX($D$5:$J$5,0,BE$8+1)-INDEX($D$5:$J$5,0,BE$8))+BD70)))</f>
        <v>629.92084834203308</v>
      </c>
      <c r="BF70" s="5" cm="1">
        <f t="array" ref="BF70">IF(BF$8=-1,BG70,IF(BF$8=99,BE70,IF(BF$8=0,INDEX($E70:$K70,0,BF$6),(INDEX($E70:$K70,0,BF$8+1)-INDEX($E70:$K70,0,BF$8))/(INDEX($D$5:$J$5,0,BF$8+1)-INDEX($D$5:$J$5,0,BF$8))+BE70)))</f>
        <v>629.92084834203308</v>
      </c>
      <c r="BG70" s="5" cm="1">
        <f t="array" ref="BG70">IF(BG$8=-1,BH70,IF(BG$8=99,BF70,IF(BG$8=0,INDEX($E70:$K70,0,BG$6),(INDEX($E70:$K70,0,BG$8+1)-INDEX($E70:$K70,0,BG$8))/(INDEX($D$5:$J$5,0,BG$8+1)-INDEX($D$5:$J$5,0,BG$8))+BF70)))</f>
        <v>629.92084834203308</v>
      </c>
      <c r="BH70" s="5" cm="1">
        <f t="array" ref="BH70">IF(BH$8=-1,BI70,IF(BH$8=99,BG70,IF(BH$8=0,INDEX($E70:$K70,0,BH$6),(INDEX($E70:$K70,0,BH$8+1)-INDEX($E70:$K70,0,BH$8))/(INDEX($D$5:$J$5,0,BH$8+1)-INDEX($D$5:$J$5,0,BH$8))+BG70)))</f>
        <v>629.92084834203308</v>
      </c>
      <c r="BI70" s="5" cm="1">
        <f t="array" ref="BI70">IF(BI$8=-1,BJ70,IF(BI$8=99,BH70,IF(BI$8=0,INDEX($E70:$K70,0,BI$6),(INDEX($E70:$K70,0,BI$8+1)-INDEX($E70:$K70,0,BI$8))/(INDEX($D$5:$J$5,0,BI$8+1)-INDEX($D$5:$J$5,0,BI$8))+BH70)))</f>
        <v>629.92084834203308</v>
      </c>
      <c r="BJ70" s="5" cm="1">
        <f t="array" ref="BJ70">IF(BJ$8=-1,BK70,IF(BJ$8=99,BI70,IF(BJ$8=0,INDEX($E70:$K70,0,BJ$6),(INDEX($E70:$K70,0,BJ$8+1)-INDEX($E70:$K70,0,BJ$8))/(INDEX($D$5:$J$5,0,BJ$8+1)-INDEX($D$5:$J$5,0,BJ$8))+BI70)))</f>
        <v>629.92084834203308</v>
      </c>
      <c r="BK70" s="5" cm="1">
        <f t="array" ref="BK70">IF(BK$8=-1,BL70,IF(BK$8=99,BJ70,IF(BK$8=0,INDEX($E70:$K70,0,BK$6),(INDEX($E70:$K70,0,BK$8+1)-INDEX($E70:$K70,0,BK$8))/(INDEX($D$5:$J$5,0,BK$8+1)-INDEX($D$5:$J$5,0,BK$8))+BJ70)))</f>
        <v>629.92084834203308</v>
      </c>
      <c r="BL70" s="5" cm="1">
        <f t="array" ref="BL70">IF(BL$8=-1,BM70,IF(BL$8=99,BK70,IF(BL$8=0,INDEX($E70:$K70,0,BL$6),(INDEX($E70:$K70,0,BL$8+1)-INDEX($E70:$K70,0,BL$8))/(INDEX($D$5:$J$5,0,BL$8+1)-INDEX($D$5:$J$5,0,BL$8))+BK70)))</f>
        <v>629.92084834203308</v>
      </c>
      <c r="BM70" s="5" cm="1">
        <f t="array" ref="BM70">IF(BM$8=-1,BN70,IF(BM$8=99,BL70,IF(BM$8=0,INDEX($E70:$K70,0,BM$6),(INDEX($E70:$K70,0,BM$8+1)-INDEX($E70:$K70,0,BM$8))/(INDEX($D$5:$J$5,0,BM$8+1)-INDEX($D$5:$J$5,0,BM$8))+BL70)))</f>
        <v>629.92084834203308</v>
      </c>
      <c r="BN70" s="5" cm="1">
        <f t="array" ref="BN70">IF(BN$8=-1,BO70,IF(BN$8=99,BM70,IF(BN$8=0,INDEX($E70:$K70,0,BN$6),(INDEX($E70:$K70,0,BN$8+1)-INDEX($E70:$K70,0,BN$8))/(INDEX($D$5:$J$5,0,BN$8+1)-INDEX($D$5:$J$5,0,BN$8))+BM70)))</f>
        <v>629.92084834203308</v>
      </c>
      <c r="BO70" s="5" cm="1">
        <f t="array" ref="BO70">IF(BO$8=-1,BP70,IF(BO$8=99,BN70,IF(BO$8=0,INDEX($E70:$K70,0,BO$6),(INDEX($E70:$K70,0,BO$8+1)-INDEX($E70:$K70,0,BO$8))/(INDEX($D$5:$J$5,0,BO$8+1)-INDEX($D$5:$J$5,0,BO$8))+BN70)))</f>
        <v>629.92084834203308</v>
      </c>
      <c r="BP70" s="5" cm="1">
        <f t="array" ref="BP70">IF(BP$8=-1,BQ70,IF(BP$8=99,BO70,IF(BP$8=0,INDEX($E70:$K70,0,BP$6),(INDEX($E70:$K70,0,BP$8+1)-INDEX($E70:$K70,0,BP$8))/(INDEX($D$5:$J$5,0,BP$8+1)-INDEX($D$5:$J$5,0,BP$8))+BO70)))</f>
        <v>629.92084834203308</v>
      </c>
      <c r="BQ70" s="5" cm="1">
        <f t="array" ref="BQ70">IF(BQ$8=-1,BR70,IF(BQ$8=99,BP70,IF(BQ$8=0,INDEX($E70:$K70,0,BQ$6),(INDEX($E70:$K70,0,BQ$8+1)-INDEX($E70:$K70,0,BQ$8))/(INDEX($D$5:$J$5,0,BQ$8+1)-INDEX($D$5:$J$5,0,BQ$8))+BP70)))</f>
        <v>629.92084834203308</v>
      </c>
      <c r="BR70" s="5" cm="1">
        <f t="array" ref="BR70">IF(BR$8=-1,BS70,IF(BR$8=99,BQ70,IF(BR$8=0,INDEX($E70:$K70,0,BR$6),(INDEX($E70:$K70,0,BR$8+1)-INDEX($E70:$K70,0,BR$8))/(INDEX($D$5:$J$5,0,BR$8+1)-INDEX($D$5:$J$5,0,BR$8))+BQ70)))</f>
        <v>629.92084834203308</v>
      </c>
    </row>
    <row r="71" spans="1:70">
      <c r="A71" t="s">
        <v>16</v>
      </c>
      <c r="B71" s="223" t="s">
        <v>226</v>
      </c>
      <c r="C71" s="70" t="str">
        <f t="shared" si="136"/>
        <v>Commercial - Space Heating</v>
      </c>
      <c r="D71" s="70" t="s">
        <v>66</v>
      </c>
      <c r="E71" s="79">
        <f t="shared" ref="E71:E75" si="140">$D57/L$23</f>
        <v>59.117764859369188</v>
      </c>
      <c r="F71" s="87">
        <f t="shared" ref="F71:F78" si="141">E57/$Q$23</f>
        <v>86.140082210951618</v>
      </c>
      <c r="G71" s="87">
        <f t="shared" si="137"/>
        <v>86.140082210951618</v>
      </c>
      <c r="H71" s="87">
        <f t="shared" ref="H71:H78" si="142">IF($N$57=-1,G71,((F71-E71)*2/5+E71)*(1+$H$69))</f>
        <v>44.053815834001362</v>
      </c>
      <c r="I71" s="131">
        <f t="shared" si="137"/>
        <v>44.053815834001362</v>
      </c>
      <c r="J71" s="131">
        <f t="shared" si="138"/>
        <v>44.053815834001362</v>
      </c>
      <c r="K71" s="131">
        <f t="shared" si="139"/>
        <v>44.053815834001362</v>
      </c>
      <c r="L71" s="5" cm="1">
        <f t="array" ref="L71">IF(L$8=-1,M71,IF(L$8=99,I71,IF(L$8=0,INDEX($E71:$I71,0,L$6),(INDEX($E71:$I71,0,L$8+1)-INDEX($E71:$I71,0,L$8))/(INDEX($D$5:$H$5,0,L$8+1)-INDEX($D$5:$H$5,0,L$8))+I71)))</f>
        <v>59.117764859369188</v>
      </c>
      <c r="M71" s="5" cm="1">
        <f t="array" ref="M71">IF(M$8=-1,N71,IF(M$8=99,L71,IF(M$8=0,INDEX($E71:$I71,0,M$6),(INDEX($E71:$I71,0,M$8+1)-INDEX($E71:$I71,0,M$8))/(INDEX($D$5:$H$5,0,M$8+1)-INDEX($D$5:$H$5,0,M$8))+L71)))</f>
        <v>64.522228329685674</v>
      </c>
      <c r="N71" s="5" cm="1">
        <f t="array" ref="N71">IF(N$8=-1,O71,IF(N$8=99,M71,IF(N$8=0,INDEX($E71:$I71,0,N$6),(INDEX($E71:$I71,0,N$8+1)-INDEX($E71:$I71,0,N$8))/(INDEX($D$5:$H$5,0,N$8+1)-INDEX($D$5:$H$5,0,N$8))+M71)))</f>
        <v>69.92669180000216</v>
      </c>
      <c r="O71" s="5" cm="1">
        <f t="array" ref="O71">IF(O$8=-1,P71,IF(O$8=99,N71,IF(O$8=0,INDEX($E71:$I71,0,O$6),(INDEX($E71:$I71,0,O$8+1)-INDEX($E71:$I71,0,O$8))/(INDEX($D$5:$H$5,0,O$8+1)-INDEX($D$5:$H$5,0,O$8))+N71)))</f>
        <v>75.331155270318646</v>
      </c>
      <c r="P71" s="5" cm="1">
        <f t="array" ref="P71">IF(P$8=-1,Q71,IF(P$8=99,O71,IF(P$8=0,INDEX($E71:$I71,0,P$6),(INDEX($E71:$I71,0,P$8+1)-INDEX($E71:$I71,0,P$8))/(INDEX($D$5:$H$5,0,P$8+1)-INDEX($D$5:$H$5,0,P$8))+O71)))</f>
        <v>80.735618740635132</v>
      </c>
      <c r="Q71" s="5" cm="1">
        <f t="array" ref="Q71">IF(Q$8=-1,R71,IF(Q$8=99,P71,IF(Q$8=0,INDEX($E71:$I71,0,Q$6),(INDEX($E71:$I71,0,Q$8+1)-INDEX($E71:$I71,0,Q$8))/(INDEX($D$5:$H$5,0,Q$8+1)-INDEX($D$5:$H$5,0,Q$8))+P71)))</f>
        <v>86.140082210951618</v>
      </c>
      <c r="R71" s="5" cm="1">
        <f t="array" ref="R71">IF(R$8=-1,S71,IF(R$8=99,Q71,IF(R$8=0,INDEX($E71:$I71,0,R$6),(INDEX($E71:$I71,0,R$8+1)-INDEX($E71:$I71,0,R$8))/(INDEX($D$5:$H$5,0,R$8+1)-INDEX($D$5:$H$5,0,R$8))+Q71)))</f>
        <v>86.140082210951618</v>
      </c>
      <c r="S71" s="5" cm="1">
        <f t="array" ref="S71">IF(S$8=-1,T71,IF(S$8=99,R71,IF(S$8=0,INDEX($E71:$I71,0,S$6),(INDEX($E71:$I71,0,S$8+1)-INDEX($E71:$I71,0,S$8))/(INDEX($D$5:$H$5,0,S$8+1)-INDEX($D$5:$H$5,0,S$8))+R71)))</f>
        <v>86.140082210951618</v>
      </c>
      <c r="T71" s="5" cm="1">
        <f t="array" ref="T71">IF(T$8=-1,U71,IF(T$8=99,S71,IF(T$8=0,INDEX($E71:$I71,0,T$6),(INDEX($E71:$I71,0,T$8+1)-INDEX($E71:$I71,0,T$8))/(INDEX($D$5:$H$5,0,T$8+1)-INDEX($D$5:$H$5,0,T$8))+S71)))</f>
        <v>86.140082210951618</v>
      </c>
      <c r="U71" s="5" cm="1">
        <f t="array" ref="U71">IF(U$8=-1,V71,IF(U$8=99,T71,IF(U$8=0,INDEX($E71:$I71,0,U$6),(INDEX($E71:$I71,0,U$8+1)-INDEX($E71:$I71,0,U$8))/(INDEX($D$5:$H$5,0,U$8+1)-INDEX($D$5:$H$5,0,U$8))+T71)))</f>
        <v>81.931455573256599</v>
      </c>
      <c r="V71" s="5" cm="1">
        <f t="array" ref="V71">IF(V$8=-1,W71,IF(V$8=99,U71,IF(V$8=0,INDEX($E71:$I71,0,V$6),(INDEX($E71:$I71,0,V$8+1)-INDEX($E71:$I71,0,V$8))/(INDEX($D$5:$H$5,0,V$8+1)-INDEX($D$5:$H$5,0,V$8))+U71)))</f>
        <v>77.72282893556158</v>
      </c>
      <c r="W71" s="5" cm="1">
        <f t="array" ref="W71">IF(W$8=-1,X71,IF(W$8=99,V71,IF(W$8=0,INDEX($E71:$I71,0,W$6),(INDEX($E71:$I71,0,W$8+1)-INDEX($E71:$I71,0,W$8))/(INDEX($D$5:$H$5,0,W$8+1)-INDEX($D$5:$H$5,0,W$8))+V71)))</f>
        <v>73.514202297866561</v>
      </c>
      <c r="X71" s="5" cm="1">
        <f t="array" ref="X71">IF(X$8=-1,Y71,IF(X$8=99,W71,IF(X$8=0,INDEX($E71:$I71,0,X$6),(INDEX($E71:$I71,0,X$8+1)-INDEX($E71:$I71,0,X$8))/(INDEX($D$5:$H$5,0,X$8+1)-INDEX($D$5:$H$5,0,X$8))+W71)))</f>
        <v>69.305575660171542</v>
      </c>
      <c r="Y71" s="5" cm="1">
        <f t="array" ref="Y71">IF(Y$8=-1,Z71,IF(Y$8=99,X71,IF(Y$8=0,INDEX($E71:$I71,0,Y$6),(INDEX($E71:$I71,0,Y$8+1)-INDEX($E71:$I71,0,Y$8))/(INDEX($D$5:$H$5,0,Y$8+1)-INDEX($D$5:$H$5,0,Y$8))+X71)))</f>
        <v>65.096949022476522</v>
      </c>
      <c r="Z71" s="5" cm="1">
        <f t="array" ref="Z71">IF(Z$8=-1,AA71,IF(Z$8=99,Y71,IF(Z$8=0,INDEX($E71:$I71,0,Z$6),(INDEX($E71:$I71,0,Z$8+1)-INDEX($E71:$I71,0,Z$8))/(INDEX($D$5:$H$5,0,Z$8+1)-INDEX($D$5:$H$5,0,Z$8))+Y71)))</f>
        <v>60.888322384781496</v>
      </c>
      <c r="AA71" s="5" cm="1">
        <f t="array" ref="AA71">IF(AA$8=-1,AB71,IF(AA$8=99,Z71,IF(AA$8=0,INDEX($E71:$I71,0,AA$6),(INDEX($E71:$I71,0,AA$8+1)-INDEX($E71:$I71,0,AA$8))/(INDEX($D$5:$H$5,0,AA$8+1)-INDEX($D$5:$H$5,0,AA$8))+Z71)))</f>
        <v>56.67969574708647</v>
      </c>
      <c r="AB71" s="5" cm="1">
        <f t="array" ref="AB71">IF(AB$8=-1,AC71,IF(AB$8=99,AA71,IF(AB$8=0,INDEX($E71:$I71,0,AB$6),(INDEX($E71:$I71,0,AB$8+1)-INDEX($E71:$I71,0,AB$8))/(INDEX($D$5:$H$5,0,AB$8+1)-INDEX($D$5:$H$5,0,AB$8))+AA71)))</f>
        <v>52.471069109391443</v>
      </c>
      <c r="AC71" s="5" cm="1">
        <f t="array" ref="AC71">IF(AC$8=-1,AD71,IF(AC$8=99,AB71,IF(AC$8=0,INDEX($E71:$I71,0,AC$6),(INDEX($E71:$I71,0,AC$8+1)-INDEX($E71:$I71,0,AC$8))/(INDEX($D$5:$H$5,0,AC$8+1)-INDEX($D$5:$H$5,0,AC$8))+AB71)))</f>
        <v>48.262442471696417</v>
      </c>
      <c r="AD71" s="5" cm="1">
        <f t="array" ref="AD71">IF(AD$8=-1,AE71,IF(AD$8=99,AC71,IF(AD$8=0,INDEX($E71:$I71,0,AD$6),(INDEX($E71:$I71,0,AD$8+1)-INDEX($E71:$I71,0,AD$8))/(INDEX($D$5:$H$5,0,AD$8+1)-INDEX($D$5:$H$5,0,AD$8))+AC71)))</f>
        <v>44.053815834001362</v>
      </c>
      <c r="AE71" s="5" cm="1">
        <f t="array" ref="AE71">IF(AE$8=-1,AF71,IF(AE$8=99,AD71,IF(AE$8=0,INDEX($E71:$I71,0,AE$6),(INDEX($E71:$I71,0,AE$8+1)-INDEX($E71:$I71,0,AE$8))/(INDEX($D$5:$H$5,0,AE$8+1)-INDEX($D$5:$H$5,0,AE$8))+AD71)))</f>
        <v>44.053815834001362</v>
      </c>
      <c r="AF71" s="5" cm="1">
        <f t="array" ref="AF71">IF(AF$8=-1,AG71,IF(AF$8=99,AE71,IF(AF$8=0,INDEX($E71:$I71,0,AF$6),(INDEX($E71:$I71,0,AF$8+1)-INDEX($E71:$I71,0,AF$8))/(INDEX($D$5:$H$5,0,AF$8+1)-INDEX($D$5:$H$5,0,AF$8))+AE71)))</f>
        <v>44.053815834001362</v>
      </c>
      <c r="AG71" s="5" cm="1">
        <f t="array" ref="AG71">IF(AG$8=-1,AH71,IF(AG$8=99,AF71,IF(AG$8=0,INDEX($E71:$I71,0,AG$6),(INDEX($E71:$I71,0,AG$8+1)-INDEX($E71:$I71,0,AG$8))/(INDEX($D$5:$H$5,0,AG$8+1)-INDEX($D$5:$H$5,0,AG$8))+AF71)))</f>
        <v>44.053815834001362</v>
      </c>
      <c r="AH71" s="5" cm="1">
        <f t="array" ref="AH71">IF(AH$8=-1,AI71,IF(AH$8=99,AG71,IF(AH$8=0,INDEX($E71:$I71,0,AH$6),(INDEX($E71:$I71,0,AH$8+1)-INDEX($E71:$I71,0,AH$8))/(INDEX($D$5:$H$5,0,AH$8+1)-INDEX($D$5:$H$5,0,AH$8))+AG71)))</f>
        <v>44.053815834001362</v>
      </c>
      <c r="AI71" s="5" cm="1">
        <f t="array" ref="AI71">IF(AI$8=-1,AJ71,IF(AI$8=99,AH71,IF(AI$8=0,INDEX($E71:$I71,0,AI$6),(INDEX($E71:$I71,0,AI$8+1)-INDEX($E71:$I71,0,AI$8))/(INDEX($D$5:$H$5,0,AI$8+1)-INDEX($D$5:$H$5,0,AI$8))+AH71)))</f>
        <v>44.053815834001362</v>
      </c>
      <c r="AJ71" s="5" cm="1">
        <f t="array" ref="AJ71">IF(AJ$8=-1,AK71,IF(AJ$8=99,AI71,IF(AJ$8=0,INDEX($E71:$I71,0,AJ$6),(INDEX($E71:$I71,0,AJ$8+1)-INDEX($E71:$I71,0,AJ$8))/(INDEX($D$5:$H$5,0,AJ$8+1)-INDEX($D$5:$H$5,0,AJ$8))+AI71)))</f>
        <v>44.053815834001362</v>
      </c>
      <c r="AK71" s="5" cm="1">
        <f t="array" ref="AK71">IF(AK$8=-1,AL71,IF(AK$8=99,AJ71,IF(AK$8=0,INDEX($E71:$I71,0,AK$6),(INDEX($E71:$I71,0,AK$8+1)-INDEX($E71:$I71,0,AK$8))/(INDEX($D$5:$H$5,0,AK$8+1)-INDEX($D$5:$H$5,0,AK$8))+AJ71)))</f>
        <v>44.053815834001362</v>
      </c>
      <c r="AL71" s="5" cm="1">
        <f t="array" ref="AL71">IF(AL$8=-1,AM71,IF(AL$8=99,AK71,IF(AL$8=0,INDEX($E71:$I71,0,AL$6),(INDEX($E71:$I71,0,AL$8+1)-INDEX($E71:$I71,0,AL$8))/(INDEX($D$5:$H$5,0,AL$8+1)-INDEX($D$5:$H$5,0,AL$8))+AK71)))</f>
        <v>44.053815834001362</v>
      </c>
      <c r="AM71" s="5" cm="1">
        <f t="array" ref="AM71">IF(AM$8=-1,AN71,IF(AM$8=99,AL71,IF(AM$8=0,INDEX($E71:$I71,0,AM$6),(INDEX($E71:$I71,0,AM$8+1)-INDEX($E71:$I71,0,AM$8))/(INDEX($D$5:$H$5,0,AM$8+1)-INDEX($D$5:$H$5,0,AM$8))+AL71)))</f>
        <v>44.053815834001362</v>
      </c>
      <c r="AN71" s="5" cm="1">
        <f t="array" ref="AN71">IF(AN$8=-1,AO71,IF(AN$8=99,AM71,IF(AN$8=0,INDEX($E71:$I71,0,AN$6),(INDEX($E71:$I71,0,AN$8+1)-INDEX($E71:$I71,0,AN$8))/(INDEX($D$5:$H$5,0,AN$8+1)-INDEX($D$5:$H$5,0,AN$8))+AM71)))</f>
        <v>44.053815834001362</v>
      </c>
      <c r="AO71" s="5" cm="1">
        <f t="array" ref="AO71">IF(AO$8=-1,AP71,IF(AO$8=99,AN71,IF(AO$8=0,INDEX($E71:$K71,0,AO$6),(INDEX($E71:$K71,0,AO$8+1)-INDEX($E71:$K71,0,AO$8))/(INDEX($D$5:$J$5,0,AO$8+1)-INDEX($D$5:$J$5,0,AO$8))+AN71)))</f>
        <v>44.053815834001362</v>
      </c>
      <c r="AP71" s="5" cm="1">
        <f t="array" ref="AP71">IF(AP$8=-1,AQ71,IF(AP$8=99,AO71,IF(AP$8=0,INDEX($E71:$K71,0,AP$6),(INDEX($E71:$K71,0,AP$8+1)-INDEX($E71:$K71,0,AP$8))/(INDEX($D$5:$J$5,0,AP$8+1)-INDEX($D$5:$J$5,0,AP$8))+AO71)))</f>
        <v>44.053815834001362</v>
      </c>
      <c r="AQ71" s="5" cm="1">
        <f t="array" ref="AQ71">IF(AQ$8=-1,AR71,IF(AQ$8=99,AP71,IF(AQ$8=0,INDEX($E71:$K71,0,AQ$6),(INDEX($E71:$K71,0,AQ$8+1)-INDEX($E71:$K71,0,AQ$8))/(INDEX($D$5:$J$5,0,AQ$8+1)-INDEX($D$5:$J$5,0,AQ$8))+AP71)))</f>
        <v>44.053815834001362</v>
      </c>
      <c r="AR71" s="5" cm="1">
        <f t="array" ref="AR71">IF(AR$8=-1,AS71,IF(AR$8=99,AQ71,IF(AR$8=0,INDEX($E71:$K71,0,AR$6),(INDEX($E71:$K71,0,AR$8+1)-INDEX($E71:$K71,0,AR$8))/(INDEX($D$5:$J$5,0,AR$8+1)-INDEX($D$5:$J$5,0,AR$8))+AQ71)))</f>
        <v>44.053815834001362</v>
      </c>
      <c r="AS71" s="5" cm="1">
        <f t="array" ref="AS71">IF(AS$8=-1,AT71,IF(AS$8=99,AR71,IF(AS$8=0,INDEX($E71:$K71,0,AS$6),(INDEX($E71:$K71,0,AS$8+1)-INDEX($E71:$K71,0,AS$8))/(INDEX($D$5:$J$5,0,AS$8+1)-INDEX($D$5:$J$5,0,AS$8))+AR71)))</f>
        <v>44.053815834001362</v>
      </c>
      <c r="AT71" s="5" cm="1">
        <f t="array" ref="AT71">IF(AT$8=-1,AU71,IF(AT$8=99,AS71,IF(AT$8=0,INDEX($E71:$K71,0,AT$6),(INDEX($E71:$K71,0,AT$8+1)-INDEX($E71:$K71,0,AT$8))/(INDEX($D$5:$J$5,0,AT$8+1)-INDEX($D$5:$J$5,0,AT$8))+AS71)))</f>
        <v>44.053815834001362</v>
      </c>
      <c r="AU71" s="5" cm="1">
        <f t="array" ref="AU71">IF(AU$8=-1,AV71,IF(AU$8=99,AT71,IF(AU$8=0,INDEX($E71:$K71,0,AU$6),(INDEX($E71:$K71,0,AU$8+1)-INDEX($E71:$K71,0,AU$8))/(INDEX($D$5:$J$5,0,AU$8+1)-INDEX($D$5:$J$5,0,AU$8))+AT71)))</f>
        <v>44.053815834001362</v>
      </c>
      <c r="AV71" s="5" cm="1">
        <f t="array" ref="AV71">IF(AV$8=-1,AW71,IF(AV$8=99,AU71,IF(AV$8=0,INDEX($E71:$K71,0,AV$6),(INDEX($E71:$K71,0,AV$8+1)-INDEX($E71:$K71,0,AV$8))/(INDEX($D$5:$J$5,0,AV$8+1)-INDEX($D$5:$J$5,0,AV$8))+AU71)))</f>
        <v>44.053815834001362</v>
      </c>
      <c r="AW71" s="5" cm="1">
        <f t="array" ref="AW71">IF(AW$8=-1,AX71,IF(AW$8=99,AV71,IF(AW$8=0,INDEX($E71:$K71,0,AW$6),(INDEX($E71:$K71,0,AW$8+1)-INDEX($E71:$K71,0,AW$8))/(INDEX($D$5:$J$5,0,AW$8+1)-INDEX($D$5:$J$5,0,AW$8))+AV71)))</f>
        <v>44.053815834001362</v>
      </c>
      <c r="AX71" s="5" cm="1">
        <f t="array" ref="AX71">IF(AX$8=-1,AY71,IF(AX$8=99,AW71,IF(AX$8=0,INDEX($E71:$K71,0,AX$6),(INDEX($E71:$K71,0,AX$8+1)-INDEX($E71:$K71,0,AX$8))/(INDEX($D$5:$J$5,0,AX$8+1)-INDEX($D$5:$J$5,0,AX$8))+AW71)))</f>
        <v>44.053815834001362</v>
      </c>
      <c r="AY71" s="5" cm="1">
        <f t="array" ref="AY71">IF(AY$8=-1,AZ71,IF(AY$8=99,AX71,IF(AY$8=0,INDEX($E71:$K71,0,AY$6),(INDEX($E71:$K71,0,AY$8+1)-INDEX($E71:$K71,0,AY$8))/(INDEX($D$5:$J$5,0,AY$8+1)-INDEX($D$5:$J$5,0,AY$8))+AX71)))</f>
        <v>44.053815834001362</v>
      </c>
      <c r="AZ71" s="5" cm="1">
        <f t="array" ref="AZ71">IF(AZ$8=-1,BA71,IF(AZ$8=99,AY71,IF(AZ$8=0,INDEX($E71:$K71,0,AZ$6),(INDEX($E71:$K71,0,AZ$8+1)-INDEX($E71:$K71,0,AZ$8))/(INDEX($D$5:$J$5,0,AZ$8+1)-INDEX($D$5:$J$5,0,AZ$8))+AY71)))</f>
        <v>44.053815834001362</v>
      </c>
      <c r="BA71" s="5" cm="1">
        <f t="array" ref="BA71">IF(BA$8=-1,BB71,IF(BA$8=99,AZ71,IF(BA$8=0,INDEX($E71:$K71,0,BA$6),(INDEX($E71:$K71,0,BA$8+1)-INDEX($E71:$K71,0,BA$8))/(INDEX($D$5:$J$5,0,BA$8+1)-INDEX($D$5:$J$5,0,BA$8))+AZ71)))</f>
        <v>44.053815834001362</v>
      </c>
      <c r="BB71" s="5" cm="1">
        <f t="array" ref="BB71">IF(BB$8=-1,BC71,IF(BB$8=99,BA71,IF(BB$8=0,INDEX($E71:$K71,0,BB$6),(INDEX($E71:$K71,0,BB$8+1)-INDEX($E71:$K71,0,BB$8))/(INDEX($D$5:$J$5,0,BB$8+1)-INDEX($D$5:$J$5,0,BB$8))+BA71)))</f>
        <v>44.053815834001362</v>
      </c>
      <c r="BC71" s="5" cm="1">
        <f t="array" ref="BC71">IF(BC$8=-1,BD71,IF(BC$8=99,BB71,IF(BC$8=0,INDEX($E71:$K71,0,BC$6),(INDEX($E71:$K71,0,BC$8+1)-INDEX($E71:$K71,0,BC$8))/(INDEX($D$5:$J$5,0,BC$8+1)-INDEX($D$5:$J$5,0,BC$8))+BB71)))</f>
        <v>44.053815834001362</v>
      </c>
      <c r="BD71" s="5" cm="1">
        <f t="array" ref="BD71">IF(BD$8=-1,BE71,IF(BD$8=99,BC71,IF(BD$8=0,INDEX($E71:$K71,0,BD$6),(INDEX($E71:$K71,0,BD$8+1)-INDEX($E71:$K71,0,BD$8))/(INDEX($D$5:$J$5,0,BD$8+1)-INDEX($D$5:$J$5,0,BD$8))+BC71)))</f>
        <v>44.053815834001362</v>
      </c>
      <c r="BE71" s="5" cm="1">
        <f t="array" ref="BE71">IF(BE$8=-1,BF71,IF(BE$8=99,BD71,IF(BE$8=0,INDEX($E71:$K71,0,BE$6),(INDEX($E71:$K71,0,BE$8+1)-INDEX($E71:$K71,0,BE$8))/(INDEX($D$5:$J$5,0,BE$8+1)-INDEX($D$5:$J$5,0,BE$8))+BD71)))</f>
        <v>44.053815834001362</v>
      </c>
      <c r="BF71" s="5" cm="1">
        <f t="array" ref="BF71">IF(BF$8=-1,BG71,IF(BF$8=99,BE71,IF(BF$8=0,INDEX($E71:$K71,0,BF$6),(INDEX($E71:$K71,0,BF$8+1)-INDEX($E71:$K71,0,BF$8))/(INDEX($D$5:$J$5,0,BF$8+1)-INDEX($D$5:$J$5,0,BF$8))+BE71)))</f>
        <v>44.053815834001362</v>
      </c>
      <c r="BG71" s="5" cm="1">
        <f t="array" ref="BG71">IF(BG$8=-1,BH71,IF(BG$8=99,BF71,IF(BG$8=0,INDEX($E71:$K71,0,BG$6),(INDEX($E71:$K71,0,BG$8+1)-INDEX($E71:$K71,0,BG$8))/(INDEX($D$5:$J$5,0,BG$8+1)-INDEX($D$5:$J$5,0,BG$8))+BF71)))</f>
        <v>44.053815834001362</v>
      </c>
      <c r="BH71" s="5" cm="1">
        <f t="array" ref="BH71">IF(BH$8=-1,BI71,IF(BH$8=99,BG71,IF(BH$8=0,INDEX($E71:$K71,0,BH$6),(INDEX($E71:$K71,0,BH$8+1)-INDEX($E71:$K71,0,BH$8))/(INDEX($D$5:$J$5,0,BH$8+1)-INDEX($D$5:$J$5,0,BH$8))+BG71)))</f>
        <v>44.053815834001362</v>
      </c>
      <c r="BI71" s="5" cm="1">
        <f t="array" ref="BI71">IF(BI$8=-1,BJ71,IF(BI$8=99,BH71,IF(BI$8=0,INDEX($E71:$K71,0,BI$6),(INDEX($E71:$K71,0,BI$8+1)-INDEX($E71:$K71,0,BI$8))/(INDEX($D$5:$J$5,0,BI$8+1)-INDEX($D$5:$J$5,0,BI$8))+BH71)))</f>
        <v>44.053815834001362</v>
      </c>
      <c r="BJ71" s="5" cm="1">
        <f t="array" ref="BJ71">IF(BJ$8=-1,BK71,IF(BJ$8=99,BI71,IF(BJ$8=0,INDEX($E71:$K71,0,BJ$6),(INDEX($E71:$K71,0,BJ$8+1)-INDEX($E71:$K71,0,BJ$8))/(INDEX($D$5:$J$5,0,BJ$8+1)-INDEX($D$5:$J$5,0,BJ$8))+BI71)))</f>
        <v>44.053815834001362</v>
      </c>
      <c r="BK71" s="5" cm="1">
        <f t="array" ref="BK71">IF(BK$8=-1,BL71,IF(BK$8=99,BJ71,IF(BK$8=0,INDEX($E71:$K71,0,BK$6),(INDEX($E71:$K71,0,BK$8+1)-INDEX($E71:$K71,0,BK$8))/(INDEX($D$5:$J$5,0,BK$8+1)-INDEX($D$5:$J$5,0,BK$8))+BJ71)))</f>
        <v>44.053815834001362</v>
      </c>
      <c r="BL71" s="5" cm="1">
        <f t="array" ref="BL71">IF(BL$8=-1,BM71,IF(BL$8=99,BK71,IF(BL$8=0,INDEX($E71:$K71,0,BL$6),(INDEX($E71:$K71,0,BL$8+1)-INDEX($E71:$K71,0,BL$8))/(INDEX($D$5:$J$5,0,BL$8+1)-INDEX($D$5:$J$5,0,BL$8))+BK71)))</f>
        <v>44.053815834001362</v>
      </c>
      <c r="BM71" s="5" cm="1">
        <f t="array" ref="BM71">IF(BM$8=-1,BN71,IF(BM$8=99,BL71,IF(BM$8=0,INDEX($E71:$K71,0,BM$6),(INDEX($E71:$K71,0,BM$8+1)-INDEX($E71:$K71,0,BM$8))/(INDEX($D$5:$J$5,0,BM$8+1)-INDEX($D$5:$J$5,0,BM$8))+BL71)))</f>
        <v>44.053815834001362</v>
      </c>
      <c r="BN71" s="5" cm="1">
        <f t="array" ref="BN71">IF(BN$8=-1,BO71,IF(BN$8=99,BM71,IF(BN$8=0,INDEX($E71:$K71,0,BN$6),(INDEX($E71:$K71,0,BN$8+1)-INDEX($E71:$K71,0,BN$8))/(INDEX($D$5:$J$5,0,BN$8+1)-INDEX($D$5:$J$5,0,BN$8))+BM71)))</f>
        <v>44.053815834001362</v>
      </c>
      <c r="BO71" s="5" cm="1">
        <f t="array" ref="BO71">IF(BO$8=-1,BP71,IF(BO$8=99,BN71,IF(BO$8=0,INDEX($E71:$K71,0,BO$6),(INDEX($E71:$K71,0,BO$8+1)-INDEX($E71:$K71,0,BO$8))/(INDEX($D$5:$J$5,0,BO$8+1)-INDEX($D$5:$J$5,0,BO$8))+BN71)))</f>
        <v>44.053815834001362</v>
      </c>
      <c r="BP71" s="5" cm="1">
        <f t="array" ref="BP71">IF(BP$8=-1,BQ71,IF(BP$8=99,BO71,IF(BP$8=0,INDEX($E71:$K71,0,BP$6),(INDEX($E71:$K71,0,BP$8+1)-INDEX($E71:$K71,0,BP$8))/(INDEX($D$5:$J$5,0,BP$8+1)-INDEX($D$5:$J$5,0,BP$8))+BO71)))</f>
        <v>44.053815834001362</v>
      </c>
      <c r="BQ71" s="5" cm="1">
        <f t="array" ref="BQ71">IF(BQ$8=-1,BR71,IF(BQ$8=99,BP71,IF(BQ$8=0,INDEX($E71:$K71,0,BQ$6),(INDEX($E71:$K71,0,BQ$8+1)-INDEX($E71:$K71,0,BQ$8))/(INDEX($D$5:$J$5,0,BQ$8+1)-INDEX($D$5:$J$5,0,BQ$8))+BP71)))</f>
        <v>44.053815834001362</v>
      </c>
      <c r="BR71" s="5" cm="1">
        <f t="array" ref="BR71">IF(BR$8=-1,BS71,IF(BR$8=99,BQ71,IF(BR$8=0,INDEX($E71:$K71,0,BR$6),(INDEX($E71:$K71,0,BR$8+1)-INDEX($E71:$K71,0,BR$8))/(INDEX($D$5:$J$5,0,BR$8+1)-INDEX($D$5:$J$5,0,BR$8))+BQ71)))</f>
        <v>44.053815834001362</v>
      </c>
    </row>
    <row r="72" spans="1:70">
      <c r="A72" t="s">
        <v>16</v>
      </c>
      <c r="B72" s="223" t="s">
        <v>227</v>
      </c>
      <c r="C72" s="70" t="str">
        <f t="shared" si="136"/>
        <v>Commercial - Cooking</v>
      </c>
      <c r="D72" s="70" t="s">
        <v>66</v>
      </c>
      <c r="E72" s="79">
        <f t="shared" si="140"/>
        <v>74.498085701673531</v>
      </c>
      <c r="F72" s="87">
        <f t="shared" si="141"/>
        <v>64.377434268608681</v>
      </c>
      <c r="G72" s="87">
        <f t="shared" si="137"/>
        <v>64.377434268608681</v>
      </c>
      <c r="H72" s="87">
        <f t="shared" si="142"/>
        <v>44.383389830921978</v>
      </c>
      <c r="I72" s="131">
        <f t="shared" si="137"/>
        <v>44.383389830921978</v>
      </c>
      <c r="J72" s="131">
        <f t="shared" si="138"/>
        <v>44.383389830921978</v>
      </c>
      <c r="K72" s="131">
        <f t="shared" si="139"/>
        <v>44.383389830921978</v>
      </c>
      <c r="L72" s="5" cm="1">
        <f t="array" ref="L72">IF(L$8=-1,M72,IF(L$8=99,I72,IF(L$8=0,INDEX($E72:$I72,0,L$6),(INDEX($E72:$I72,0,L$8+1)-INDEX($E72:$I72,0,L$8))/(INDEX($D$5:$H$5,0,L$8+1)-INDEX($D$5:$H$5,0,L$8))+I72)))</f>
        <v>74.498085701673531</v>
      </c>
      <c r="M72" s="5" cm="1">
        <f t="array" ref="M72">IF(M$8=-1,N72,IF(M$8=99,L72,IF(M$8=0,INDEX($E72:$I72,0,M$6),(INDEX($E72:$I72,0,M$8+1)-INDEX($E72:$I72,0,M$8))/(INDEX($D$5:$H$5,0,M$8+1)-INDEX($D$5:$H$5,0,M$8))+L72)))</f>
        <v>72.473955415060558</v>
      </c>
      <c r="N72" s="5" cm="1">
        <f t="array" ref="N72">IF(N$8=-1,O72,IF(N$8=99,M72,IF(N$8=0,INDEX($E72:$I72,0,N$6),(INDEX($E72:$I72,0,N$8+1)-INDEX($E72:$I72,0,N$8))/(INDEX($D$5:$H$5,0,N$8+1)-INDEX($D$5:$H$5,0,N$8))+M72)))</f>
        <v>70.449825128447586</v>
      </c>
      <c r="O72" s="5" cm="1">
        <f t="array" ref="O72">IF(O$8=-1,P72,IF(O$8=99,N72,IF(O$8=0,INDEX($E72:$I72,0,O$6),(INDEX($E72:$I72,0,O$8+1)-INDEX($E72:$I72,0,O$8))/(INDEX($D$5:$H$5,0,O$8+1)-INDEX($D$5:$H$5,0,O$8))+N72)))</f>
        <v>68.425694841834613</v>
      </c>
      <c r="P72" s="5" cm="1">
        <f t="array" ref="P72">IF(P$8=-1,Q72,IF(P$8=99,O72,IF(P$8=0,INDEX($E72:$I72,0,P$6),(INDEX($E72:$I72,0,P$8+1)-INDEX($E72:$I72,0,P$8))/(INDEX($D$5:$H$5,0,P$8+1)-INDEX($D$5:$H$5,0,P$8))+O72)))</f>
        <v>66.40156455522164</v>
      </c>
      <c r="Q72" s="5" cm="1">
        <f t="array" ref="Q72">IF(Q$8=-1,R72,IF(Q$8=99,P72,IF(Q$8=0,INDEX($E72:$I72,0,Q$6),(INDEX($E72:$I72,0,Q$8+1)-INDEX($E72:$I72,0,Q$8))/(INDEX($D$5:$H$5,0,Q$8+1)-INDEX($D$5:$H$5,0,Q$8))+P72)))</f>
        <v>64.377434268608681</v>
      </c>
      <c r="R72" s="5" cm="1">
        <f t="array" ref="R72">IF(R$8=-1,S72,IF(R$8=99,Q72,IF(R$8=0,INDEX($E72:$I72,0,R$6),(INDEX($E72:$I72,0,R$8+1)-INDEX($E72:$I72,0,R$8))/(INDEX($D$5:$H$5,0,R$8+1)-INDEX($D$5:$H$5,0,R$8))+Q72)))</f>
        <v>64.377434268608681</v>
      </c>
      <c r="S72" s="5" cm="1">
        <f t="array" ref="S72">IF(S$8=-1,T72,IF(S$8=99,R72,IF(S$8=0,INDEX($E72:$I72,0,S$6),(INDEX($E72:$I72,0,S$8+1)-INDEX($E72:$I72,0,S$8))/(INDEX($D$5:$H$5,0,S$8+1)-INDEX($D$5:$H$5,0,S$8))+R72)))</f>
        <v>64.377434268608681</v>
      </c>
      <c r="T72" s="5" cm="1">
        <f t="array" ref="T72">IF(T$8=-1,U72,IF(T$8=99,S72,IF(T$8=0,INDEX($E72:$I72,0,T$6),(INDEX($E72:$I72,0,T$8+1)-INDEX($E72:$I72,0,T$8))/(INDEX($D$5:$H$5,0,T$8+1)-INDEX($D$5:$H$5,0,T$8))+S72)))</f>
        <v>64.377434268608681</v>
      </c>
      <c r="U72" s="5" cm="1">
        <f t="array" ref="U72">IF(U$8=-1,V72,IF(U$8=99,T72,IF(U$8=0,INDEX($E72:$I72,0,U$6),(INDEX($E72:$I72,0,U$8+1)-INDEX($E72:$I72,0,U$8))/(INDEX($D$5:$H$5,0,U$8+1)-INDEX($D$5:$H$5,0,U$8))+T72)))</f>
        <v>62.378029824840013</v>
      </c>
      <c r="V72" s="5" cm="1">
        <f t="array" ref="V72">IF(V$8=-1,W72,IF(V$8=99,U72,IF(V$8=0,INDEX($E72:$I72,0,V$6),(INDEX($E72:$I72,0,V$8+1)-INDEX($E72:$I72,0,V$8))/(INDEX($D$5:$H$5,0,V$8+1)-INDEX($D$5:$H$5,0,V$8))+U72)))</f>
        <v>60.378625381071345</v>
      </c>
      <c r="W72" s="5" cm="1">
        <f t="array" ref="W72">IF(W$8=-1,X72,IF(W$8=99,V72,IF(W$8=0,INDEX($E72:$I72,0,W$6),(INDEX($E72:$I72,0,W$8+1)-INDEX($E72:$I72,0,W$8))/(INDEX($D$5:$H$5,0,W$8+1)-INDEX($D$5:$H$5,0,W$8))+V72)))</f>
        <v>58.379220937302676</v>
      </c>
      <c r="X72" s="5" cm="1">
        <f t="array" ref="X72">IF(X$8=-1,Y72,IF(X$8=99,W72,IF(X$8=0,INDEX($E72:$I72,0,X$6),(INDEX($E72:$I72,0,X$8+1)-INDEX($E72:$I72,0,X$8))/(INDEX($D$5:$H$5,0,X$8+1)-INDEX($D$5:$H$5,0,X$8))+W72)))</f>
        <v>56.379816493534008</v>
      </c>
      <c r="Y72" s="5" cm="1">
        <f t="array" ref="Y72">IF(Y$8=-1,Z72,IF(Y$8=99,X72,IF(Y$8=0,INDEX($E72:$I72,0,Y$6),(INDEX($E72:$I72,0,Y$8+1)-INDEX($E72:$I72,0,Y$8))/(INDEX($D$5:$H$5,0,Y$8+1)-INDEX($D$5:$H$5,0,Y$8))+X72)))</f>
        <v>54.38041204976534</v>
      </c>
      <c r="Z72" s="5" cm="1">
        <f t="array" ref="Z72">IF(Z$8=-1,AA72,IF(Z$8=99,Y72,IF(Z$8=0,INDEX($E72:$I72,0,Z$6),(INDEX($E72:$I72,0,Z$8+1)-INDEX($E72:$I72,0,Z$8))/(INDEX($D$5:$H$5,0,Z$8+1)-INDEX($D$5:$H$5,0,Z$8))+Y72)))</f>
        <v>52.381007605996672</v>
      </c>
      <c r="AA72" s="5" cm="1">
        <f t="array" ref="AA72">IF(AA$8=-1,AB72,IF(AA$8=99,Z72,IF(AA$8=0,INDEX($E72:$I72,0,AA$6),(INDEX($E72:$I72,0,AA$8+1)-INDEX($E72:$I72,0,AA$8))/(INDEX($D$5:$H$5,0,AA$8+1)-INDEX($D$5:$H$5,0,AA$8))+Z72)))</f>
        <v>50.381603162228004</v>
      </c>
      <c r="AB72" s="5" cm="1">
        <f t="array" ref="AB72">IF(AB$8=-1,AC72,IF(AB$8=99,AA72,IF(AB$8=0,INDEX($E72:$I72,0,AB$6),(INDEX($E72:$I72,0,AB$8+1)-INDEX($E72:$I72,0,AB$8))/(INDEX($D$5:$H$5,0,AB$8+1)-INDEX($D$5:$H$5,0,AB$8))+AA72)))</f>
        <v>48.382198718459335</v>
      </c>
      <c r="AC72" s="5" cm="1">
        <f t="array" ref="AC72">IF(AC$8=-1,AD72,IF(AC$8=99,AB72,IF(AC$8=0,INDEX($E72:$I72,0,AC$6),(INDEX($E72:$I72,0,AC$8+1)-INDEX($E72:$I72,0,AC$8))/(INDEX($D$5:$H$5,0,AC$8+1)-INDEX($D$5:$H$5,0,AC$8))+AB72)))</f>
        <v>46.382794274690667</v>
      </c>
      <c r="AD72" s="5" cm="1">
        <f t="array" ref="AD72">IF(AD$8=-1,AE72,IF(AD$8=99,AC72,IF(AD$8=0,INDEX($E72:$I72,0,AD$6),(INDEX($E72:$I72,0,AD$8+1)-INDEX($E72:$I72,0,AD$8))/(INDEX($D$5:$H$5,0,AD$8+1)-INDEX($D$5:$H$5,0,AD$8))+AC72)))</f>
        <v>44.383389830921978</v>
      </c>
      <c r="AE72" s="5" cm="1">
        <f t="array" ref="AE72">IF(AE$8=-1,AF72,IF(AE$8=99,AD72,IF(AE$8=0,INDEX($E72:$I72,0,AE$6),(INDEX($E72:$I72,0,AE$8+1)-INDEX($E72:$I72,0,AE$8))/(INDEX($D$5:$H$5,0,AE$8+1)-INDEX($D$5:$H$5,0,AE$8))+AD72)))</f>
        <v>44.383389830921978</v>
      </c>
      <c r="AF72" s="5" cm="1">
        <f t="array" ref="AF72">IF(AF$8=-1,AG72,IF(AF$8=99,AE72,IF(AF$8=0,INDEX($E72:$I72,0,AF$6),(INDEX($E72:$I72,0,AF$8+1)-INDEX($E72:$I72,0,AF$8))/(INDEX($D$5:$H$5,0,AF$8+1)-INDEX($D$5:$H$5,0,AF$8))+AE72)))</f>
        <v>44.383389830921978</v>
      </c>
      <c r="AG72" s="5" cm="1">
        <f t="array" ref="AG72">IF(AG$8=-1,AH72,IF(AG$8=99,AF72,IF(AG$8=0,INDEX($E72:$I72,0,AG$6),(INDEX($E72:$I72,0,AG$8+1)-INDEX($E72:$I72,0,AG$8))/(INDEX($D$5:$H$5,0,AG$8+1)-INDEX($D$5:$H$5,0,AG$8))+AF72)))</f>
        <v>44.383389830921978</v>
      </c>
      <c r="AH72" s="5" cm="1">
        <f t="array" ref="AH72">IF(AH$8=-1,AI72,IF(AH$8=99,AG72,IF(AH$8=0,INDEX($E72:$I72,0,AH$6),(INDEX($E72:$I72,0,AH$8+1)-INDEX($E72:$I72,0,AH$8))/(INDEX($D$5:$H$5,0,AH$8+1)-INDEX($D$5:$H$5,0,AH$8))+AG72)))</f>
        <v>44.383389830921978</v>
      </c>
      <c r="AI72" s="5" cm="1">
        <f t="array" ref="AI72">IF(AI$8=-1,AJ72,IF(AI$8=99,AH72,IF(AI$8=0,INDEX($E72:$I72,0,AI$6),(INDEX($E72:$I72,0,AI$8+1)-INDEX($E72:$I72,0,AI$8))/(INDEX($D$5:$H$5,0,AI$8+1)-INDEX($D$5:$H$5,0,AI$8))+AH72)))</f>
        <v>44.383389830921978</v>
      </c>
      <c r="AJ72" s="5" cm="1">
        <f t="array" ref="AJ72">IF(AJ$8=-1,AK72,IF(AJ$8=99,AI72,IF(AJ$8=0,INDEX($E72:$I72,0,AJ$6),(INDEX($E72:$I72,0,AJ$8+1)-INDEX($E72:$I72,0,AJ$8))/(INDEX($D$5:$H$5,0,AJ$8+1)-INDEX($D$5:$H$5,0,AJ$8))+AI72)))</f>
        <v>44.383389830921978</v>
      </c>
      <c r="AK72" s="5" cm="1">
        <f t="array" ref="AK72">IF(AK$8=-1,AL72,IF(AK$8=99,AJ72,IF(AK$8=0,INDEX($E72:$I72,0,AK$6),(INDEX($E72:$I72,0,AK$8+1)-INDEX($E72:$I72,0,AK$8))/(INDEX($D$5:$H$5,0,AK$8+1)-INDEX($D$5:$H$5,0,AK$8))+AJ72)))</f>
        <v>44.383389830921978</v>
      </c>
      <c r="AL72" s="5" cm="1">
        <f t="array" ref="AL72">IF(AL$8=-1,AM72,IF(AL$8=99,AK72,IF(AL$8=0,INDEX($E72:$I72,0,AL$6),(INDEX($E72:$I72,0,AL$8+1)-INDEX($E72:$I72,0,AL$8))/(INDEX($D$5:$H$5,0,AL$8+1)-INDEX($D$5:$H$5,0,AL$8))+AK72)))</f>
        <v>44.383389830921978</v>
      </c>
      <c r="AM72" s="5" cm="1">
        <f t="array" ref="AM72">IF(AM$8=-1,AN72,IF(AM$8=99,AL72,IF(AM$8=0,INDEX($E72:$I72,0,AM$6),(INDEX($E72:$I72,0,AM$8+1)-INDEX($E72:$I72,0,AM$8))/(INDEX($D$5:$H$5,0,AM$8+1)-INDEX($D$5:$H$5,0,AM$8))+AL72)))</f>
        <v>44.383389830921978</v>
      </c>
      <c r="AN72" s="5" cm="1">
        <f t="array" ref="AN72">IF(AN$8=-1,AO72,IF(AN$8=99,AM72,IF(AN$8=0,INDEX($E72:$I72,0,AN$6),(INDEX($E72:$I72,0,AN$8+1)-INDEX($E72:$I72,0,AN$8))/(INDEX($D$5:$H$5,0,AN$8+1)-INDEX($D$5:$H$5,0,AN$8))+AM72)))</f>
        <v>44.383389830921978</v>
      </c>
      <c r="AO72" s="5" cm="1">
        <f t="array" ref="AO72">IF(AO$8=-1,AP72,IF(AO$8=99,AN72,IF(AO$8=0,INDEX($E72:$K72,0,AO$6),(INDEX($E72:$K72,0,AO$8+1)-INDEX($E72:$K72,0,AO$8))/(INDEX($D$5:$J$5,0,AO$8+1)-INDEX($D$5:$J$5,0,AO$8))+AN72)))</f>
        <v>44.383389830921978</v>
      </c>
      <c r="AP72" s="5" cm="1">
        <f t="array" ref="AP72">IF(AP$8=-1,AQ72,IF(AP$8=99,AO72,IF(AP$8=0,INDEX($E72:$K72,0,AP$6),(INDEX($E72:$K72,0,AP$8+1)-INDEX($E72:$K72,0,AP$8))/(INDEX($D$5:$J$5,0,AP$8+1)-INDEX($D$5:$J$5,0,AP$8))+AO72)))</f>
        <v>44.383389830921978</v>
      </c>
      <c r="AQ72" s="5" cm="1">
        <f t="array" ref="AQ72">IF(AQ$8=-1,AR72,IF(AQ$8=99,AP72,IF(AQ$8=0,INDEX($E72:$K72,0,AQ$6),(INDEX($E72:$K72,0,AQ$8+1)-INDEX($E72:$K72,0,AQ$8))/(INDEX($D$5:$J$5,0,AQ$8+1)-INDEX($D$5:$J$5,0,AQ$8))+AP72)))</f>
        <v>44.383389830921978</v>
      </c>
      <c r="AR72" s="5" cm="1">
        <f t="array" ref="AR72">IF(AR$8=-1,AS72,IF(AR$8=99,AQ72,IF(AR$8=0,INDEX($E72:$K72,0,AR$6),(INDEX($E72:$K72,0,AR$8+1)-INDEX($E72:$K72,0,AR$8))/(INDEX($D$5:$J$5,0,AR$8+1)-INDEX($D$5:$J$5,0,AR$8))+AQ72)))</f>
        <v>44.383389830921978</v>
      </c>
      <c r="AS72" s="5" cm="1">
        <f t="array" ref="AS72">IF(AS$8=-1,AT72,IF(AS$8=99,AR72,IF(AS$8=0,INDEX($E72:$K72,0,AS$6),(INDEX($E72:$K72,0,AS$8+1)-INDEX($E72:$K72,0,AS$8))/(INDEX($D$5:$J$5,0,AS$8+1)-INDEX($D$5:$J$5,0,AS$8))+AR72)))</f>
        <v>44.383389830921978</v>
      </c>
      <c r="AT72" s="5" cm="1">
        <f t="array" ref="AT72">IF(AT$8=-1,AU72,IF(AT$8=99,AS72,IF(AT$8=0,INDEX($E72:$K72,0,AT$6),(INDEX($E72:$K72,0,AT$8+1)-INDEX($E72:$K72,0,AT$8))/(INDEX($D$5:$J$5,0,AT$8+1)-INDEX($D$5:$J$5,0,AT$8))+AS72)))</f>
        <v>44.383389830921978</v>
      </c>
      <c r="AU72" s="5" cm="1">
        <f t="array" ref="AU72">IF(AU$8=-1,AV72,IF(AU$8=99,AT72,IF(AU$8=0,INDEX($E72:$K72,0,AU$6),(INDEX($E72:$K72,0,AU$8+1)-INDEX($E72:$K72,0,AU$8))/(INDEX($D$5:$J$5,0,AU$8+1)-INDEX($D$5:$J$5,0,AU$8))+AT72)))</f>
        <v>44.383389830921978</v>
      </c>
      <c r="AV72" s="5" cm="1">
        <f t="array" ref="AV72">IF(AV$8=-1,AW72,IF(AV$8=99,AU72,IF(AV$8=0,INDEX($E72:$K72,0,AV$6),(INDEX($E72:$K72,0,AV$8+1)-INDEX($E72:$K72,0,AV$8))/(INDEX($D$5:$J$5,0,AV$8+1)-INDEX($D$5:$J$5,0,AV$8))+AU72)))</f>
        <v>44.383389830921978</v>
      </c>
      <c r="AW72" s="5" cm="1">
        <f t="array" ref="AW72">IF(AW$8=-1,AX72,IF(AW$8=99,AV72,IF(AW$8=0,INDEX($E72:$K72,0,AW$6),(INDEX($E72:$K72,0,AW$8+1)-INDEX($E72:$K72,0,AW$8))/(INDEX($D$5:$J$5,0,AW$8+1)-INDEX($D$5:$J$5,0,AW$8))+AV72)))</f>
        <v>44.383389830921978</v>
      </c>
      <c r="AX72" s="5" cm="1">
        <f t="array" ref="AX72">IF(AX$8=-1,AY72,IF(AX$8=99,AW72,IF(AX$8=0,INDEX($E72:$K72,0,AX$6),(INDEX($E72:$K72,0,AX$8+1)-INDEX($E72:$K72,0,AX$8))/(INDEX($D$5:$J$5,0,AX$8+1)-INDEX($D$5:$J$5,0,AX$8))+AW72)))</f>
        <v>44.383389830921978</v>
      </c>
      <c r="AY72" s="5" cm="1">
        <f t="array" ref="AY72">IF(AY$8=-1,AZ72,IF(AY$8=99,AX72,IF(AY$8=0,INDEX($E72:$K72,0,AY$6),(INDEX($E72:$K72,0,AY$8+1)-INDEX($E72:$K72,0,AY$8))/(INDEX($D$5:$J$5,0,AY$8+1)-INDEX($D$5:$J$5,0,AY$8))+AX72)))</f>
        <v>44.383389830921978</v>
      </c>
      <c r="AZ72" s="5" cm="1">
        <f t="array" ref="AZ72">IF(AZ$8=-1,BA72,IF(AZ$8=99,AY72,IF(AZ$8=0,INDEX($E72:$K72,0,AZ$6),(INDEX($E72:$K72,0,AZ$8+1)-INDEX($E72:$K72,0,AZ$8))/(INDEX($D$5:$J$5,0,AZ$8+1)-INDEX($D$5:$J$5,0,AZ$8))+AY72)))</f>
        <v>44.383389830921978</v>
      </c>
      <c r="BA72" s="5" cm="1">
        <f t="array" ref="BA72">IF(BA$8=-1,BB72,IF(BA$8=99,AZ72,IF(BA$8=0,INDEX($E72:$K72,0,BA$6),(INDEX($E72:$K72,0,BA$8+1)-INDEX($E72:$K72,0,BA$8))/(INDEX($D$5:$J$5,0,BA$8+1)-INDEX($D$5:$J$5,0,BA$8))+AZ72)))</f>
        <v>44.383389830921978</v>
      </c>
      <c r="BB72" s="5" cm="1">
        <f t="array" ref="BB72">IF(BB$8=-1,BC72,IF(BB$8=99,BA72,IF(BB$8=0,INDEX($E72:$K72,0,BB$6),(INDEX($E72:$K72,0,BB$8+1)-INDEX($E72:$K72,0,BB$8))/(INDEX($D$5:$J$5,0,BB$8+1)-INDEX($D$5:$J$5,0,BB$8))+BA72)))</f>
        <v>44.383389830921978</v>
      </c>
      <c r="BC72" s="5" cm="1">
        <f t="array" ref="BC72">IF(BC$8=-1,BD72,IF(BC$8=99,BB72,IF(BC$8=0,INDEX($E72:$K72,0,BC$6),(INDEX($E72:$K72,0,BC$8+1)-INDEX($E72:$K72,0,BC$8))/(INDEX($D$5:$J$5,0,BC$8+1)-INDEX($D$5:$J$5,0,BC$8))+BB72)))</f>
        <v>44.383389830921978</v>
      </c>
      <c r="BD72" s="5" cm="1">
        <f t="array" ref="BD72">IF(BD$8=-1,BE72,IF(BD$8=99,BC72,IF(BD$8=0,INDEX($E72:$K72,0,BD$6),(INDEX($E72:$K72,0,BD$8+1)-INDEX($E72:$K72,0,BD$8))/(INDEX($D$5:$J$5,0,BD$8+1)-INDEX($D$5:$J$5,0,BD$8))+BC72)))</f>
        <v>44.383389830921978</v>
      </c>
      <c r="BE72" s="5" cm="1">
        <f t="array" ref="BE72">IF(BE$8=-1,BF72,IF(BE$8=99,BD72,IF(BE$8=0,INDEX($E72:$K72,0,BE$6),(INDEX($E72:$K72,0,BE$8+1)-INDEX($E72:$K72,0,BE$8))/(INDEX($D$5:$J$5,0,BE$8+1)-INDEX($D$5:$J$5,0,BE$8))+BD72)))</f>
        <v>44.383389830921978</v>
      </c>
      <c r="BF72" s="5" cm="1">
        <f t="array" ref="BF72">IF(BF$8=-1,BG72,IF(BF$8=99,BE72,IF(BF$8=0,INDEX($E72:$K72,0,BF$6),(INDEX($E72:$K72,0,BF$8+1)-INDEX($E72:$K72,0,BF$8))/(INDEX($D$5:$J$5,0,BF$8+1)-INDEX($D$5:$J$5,0,BF$8))+BE72)))</f>
        <v>44.383389830921978</v>
      </c>
      <c r="BG72" s="5" cm="1">
        <f t="array" ref="BG72">IF(BG$8=-1,BH72,IF(BG$8=99,BF72,IF(BG$8=0,INDEX($E72:$K72,0,BG$6),(INDEX($E72:$K72,0,BG$8+1)-INDEX($E72:$K72,0,BG$8))/(INDEX($D$5:$J$5,0,BG$8+1)-INDEX($D$5:$J$5,0,BG$8))+BF72)))</f>
        <v>44.383389830921978</v>
      </c>
      <c r="BH72" s="5" cm="1">
        <f t="array" ref="BH72">IF(BH$8=-1,BI72,IF(BH$8=99,BG72,IF(BH$8=0,INDEX($E72:$K72,0,BH$6),(INDEX($E72:$K72,0,BH$8+1)-INDEX($E72:$K72,0,BH$8))/(INDEX($D$5:$J$5,0,BH$8+1)-INDEX($D$5:$J$5,0,BH$8))+BG72)))</f>
        <v>44.383389830921978</v>
      </c>
      <c r="BI72" s="5" cm="1">
        <f t="array" ref="BI72">IF(BI$8=-1,BJ72,IF(BI$8=99,BH72,IF(BI$8=0,INDEX($E72:$K72,0,BI$6),(INDEX($E72:$K72,0,BI$8+1)-INDEX($E72:$K72,0,BI$8))/(INDEX($D$5:$J$5,0,BI$8+1)-INDEX($D$5:$J$5,0,BI$8))+BH72)))</f>
        <v>44.383389830921978</v>
      </c>
      <c r="BJ72" s="5" cm="1">
        <f t="array" ref="BJ72">IF(BJ$8=-1,BK72,IF(BJ$8=99,BI72,IF(BJ$8=0,INDEX($E72:$K72,0,BJ$6),(INDEX($E72:$K72,0,BJ$8+1)-INDEX($E72:$K72,0,BJ$8))/(INDEX($D$5:$J$5,0,BJ$8+1)-INDEX($D$5:$J$5,0,BJ$8))+BI72)))</f>
        <v>44.383389830921978</v>
      </c>
      <c r="BK72" s="5" cm="1">
        <f t="array" ref="BK72">IF(BK$8=-1,BL72,IF(BK$8=99,BJ72,IF(BK$8=0,INDEX($E72:$K72,0,BK$6),(INDEX($E72:$K72,0,BK$8+1)-INDEX($E72:$K72,0,BK$8))/(INDEX($D$5:$J$5,0,BK$8+1)-INDEX($D$5:$J$5,0,BK$8))+BJ72)))</f>
        <v>44.383389830921978</v>
      </c>
      <c r="BL72" s="5" cm="1">
        <f t="array" ref="BL72">IF(BL$8=-1,BM72,IF(BL$8=99,BK72,IF(BL$8=0,INDEX($E72:$K72,0,BL$6),(INDEX($E72:$K72,0,BL$8+1)-INDEX($E72:$K72,0,BL$8))/(INDEX($D$5:$J$5,0,BL$8+1)-INDEX($D$5:$J$5,0,BL$8))+BK72)))</f>
        <v>44.383389830921978</v>
      </c>
      <c r="BM72" s="5" cm="1">
        <f t="array" ref="BM72">IF(BM$8=-1,BN72,IF(BM$8=99,BL72,IF(BM$8=0,INDEX($E72:$K72,0,BM$6),(INDEX($E72:$K72,0,BM$8+1)-INDEX($E72:$K72,0,BM$8))/(INDEX($D$5:$J$5,0,BM$8+1)-INDEX($D$5:$J$5,0,BM$8))+BL72)))</f>
        <v>44.383389830921978</v>
      </c>
      <c r="BN72" s="5" cm="1">
        <f t="array" ref="BN72">IF(BN$8=-1,BO72,IF(BN$8=99,BM72,IF(BN$8=0,INDEX($E72:$K72,0,BN$6),(INDEX($E72:$K72,0,BN$8+1)-INDEX($E72:$K72,0,BN$8))/(INDEX($D$5:$J$5,0,BN$8+1)-INDEX($D$5:$J$5,0,BN$8))+BM72)))</f>
        <v>44.383389830921978</v>
      </c>
      <c r="BO72" s="5" cm="1">
        <f t="array" ref="BO72">IF(BO$8=-1,BP72,IF(BO$8=99,BN72,IF(BO$8=0,INDEX($E72:$K72,0,BO$6),(INDEX($E72:$K72,0,BO$8+1)-INDEX($E72:$K72,0,BO$8))/(INDEX($D$5:$J$5,0,BO$8+1)-INDEX($D$5:$J$5,0,BO$8))+BN72)))</f>
        <v>44.383389830921978</v>
      </c>
      <c r="BP72" s="5" cm="1">
        <f t="array" ref="BP72">IF(BP$8=-1,BQ72,IF(BP$8=99,BO72,IF(BP$8=0,INDEX($E72:$K72,0,BP$6),(INDEX($E72:$K72,0,BP$8+1)-INDEX($E72:$K72,0,BP$8))/(INDEX($D$5:$J$5,0,BP$8+1)-INDEX($D$5:$J$5,0,BP$8))+BO72)))</f>
        <v>44.383389830921978</v>
      </c>
      <c r="BQ72" s="5" cm="1">
        <f t="array" ref="BQ72">IF(BQ$8=-1,BR72,IF(BQ$8=99,BP72,IF(BQ$8=0,INDEX($E72:$K72,0,BQ$6),(INDEX($E72:$K72,0,BQ$8+1)-INDEX($E72:$K72,0,BQ$8))/(INDEX($D$5:$J$5,0,BQ$8+1)-INDEX($D$5:$J$5,0,BQ$8))+BP72)))</f>
        <v>44.383389830921978</v>
      </c>
      <c r="BR72" s="5" cm="1">
        <f t="array" ref="BR72">IF(BR$8=-1,BS72,IF(BR$8=99,BQ72,IF(BR$8=0,INDEX($E72:$K72,0,BR$6),(INDEX($E72:$K72,0,BR$8+1)-INDEX($E72:$K72,0,BR$8))/(INDEX($D$5:$J$5,0,BR$8+1)-INDEX($D$5:$J$5,0,BR$8))+BQ72)))</f>
        <v>44.383389830921978</v>
      </c>
    </row>
    <row r="73" spans="1:70">
      <c r="A73" t="s">
        <v>16</v>
      </c>
      <c r="B73" s="223" t="s">
        <v>228</v>
      </c>
      <c r="C73" s="70" t="str">
        <f t="shared" si="136"/>
        <v>Commercial - Lighting</v>
      </c>
      <c r="D73" s="70" t="s">
        <v>66</v>
      </c>
      <c r="E73" s="79">
        <f t="shared" si="140"/>
        <v>915.10615144128838</v>
      </c>
      <c r="F73" s="87">
        <f t="shared" si="141"/>
        <v>802.64469417063674</v>
      </c>
      <c r="G73" s="87">
        <f t="shared" si="137"/>
        <v>802.64469417063674</v>
      </c>
      <c r="H73" s="87">
        <f t="shared" si="142"/>
        <v>548.17658817580741</v>
      </c>
      <c r="I73" s="131">
        <f t="shared" si="137"/>
        <v>548.17658817580741</v>
      </c>
      <c r="J73" s="131">
        <f t="shared" si="138"/>
        <v>548.17658817580741</v>
      </c>
      <c r="K73" s="131">
        <f t="shared" si="139"/>
        <v>548.17658817580741</v>
      </c>
      <c r="L73" s="5" cm="1">
        <f t="array" ref="L73">IF(L$8=-1,M73,IF(L$8=99,I73,IF(L$8=0,INDEX($E73:$I73,0,L$6),(INDEX($E73:$I73,0,L$8+1)-INDEX($E73:$I73,0,L$8))/(INDEX($D$5:$H$5,0,L$8+1)-INDEX($D$5:$H$5,0,L$8))+I73)))</f>
        <v>915.10615144128838</v>
      </c>
      <c r="M73" s="5" cm="1">
        <f t="array" ref="M73">IF(M$8=-1,N73,IF(M$8=99,L73,IF(M$8=0,INDEX($E73:$I73,0,M$6),(INDEX($E73:$I73,0,M$8+1)-INDEX($E73:$I73,0,M$8))/(INDEX($D$5:$H$5,0,M$8+1)-INDEX($D$5:$H$5,0,M$8))+L73)))</f>
        <v>892.61385998715809</v>
      </c>
      <c r="N73" s="5" cm="1">
        <f t="array" ref="N73">IF(N$8=-1,O73,IF(N$8=99,M73,IF(N$8=0,INDEX($E73:$I73,0,N$6),(INDEX($E73:$I73,0,N$8+1)-INDEX($E73:$I73,0,N$8))/(INDEX($D$5:$H$5,0,N$8+1)-INDEX($D$5:$H$5,0,N$8))+M73)))</f>
        <v>870.12156853302781</v>
      </c>
      <c r="O73" s="5" cm="1">
        <f t="array" ref="O73">IF(O$8=-1,P73,IF(O$8=99,N73,IF(O$8=0,INDEX($E73:$I73,0,O$6),(INDEX($E73:$I73,0,O$8+1)-INDEX($E73:$I73,0,O$8))/(INDEX($D$5:$H$5,0,O$8+1)-INDEX($D$5:$H$5,0,O$8))+N73)))</f>
        <v>847.62927707889753</v>
      </c>
      <c r="P73" s="5" cm="1">
        <f t="array" ref="P73">IF(P$8=-1,Q73,IF(P$8=99,O73,IF(P$8=0,INDEX($E73:$I73,0,P$6),(INDEX($E73:$I73,0,P$8+1)-INDEX($E73:$I73,0,P$8))/(INDEX($D$5:$H$5,0,P$8+1)-INDEX($D$5:$H$5,0,P$8))+O73)))</f>
        <v>825.13698562476725</v>
      </c>
      <c r="Q73" s="5" cm="1">
        <f t="array" ref="Q73">IF(Q$8=-1,R73,IF(Q$8=99,P73,IF(Q$8=0,INDEX($E73:$I73,0,Q$6),(INDEX($E73:$I73,0,Q$8+1)-INDEX($E73:$I73,0,Q$8))/(INDEX($D$5:$H$5,0,Q$8+1)-INDEX($D$5:$H$5,0,Q$8))+P73)))</f>
        <v>802.64469417063674</v>
      </c>
      <c r="R73" s="5" cm="1">
        <f t="array" ref="R73">IF(R$8=-1,S73,IF(R$8=99,Q73,IF(R$8=0,INDEX($E73:$I73,0,R$6),(INDEX($E73:$I73,0,R$8+1)-INDEX($E73:$I73,0,R$8))/(INDEX($D$5:$H$5,0,R$8+1)-INDEX($D$5:$H$5,0,R$8))+Q73)))</f>
        <v>802.64469417063674</v>
      </c>
      <c r="S73" s="5" cm="1">
        <f t="array" ref="S73">IF(S$8=-1,T73,IF(S$8=99,R73,IF(S$8=0,INDEX($E73:$I73,0,S$6),(INDEX($E73:$I73,0,S$8+1)-INDEX($E73:$I73,0,S$8))/(INDEX($D$5:$H$5,0,S$8+1)-INDEX($D$5:$H$5,0,S$8))+R73)))</f>
        <v>802.64469417063674</v>
      </c>
      <c r="T73" s="5" cm="1">
        <f t="array" ref="T73">IF(T$8=-1,U73,IF(T$8=99,S73,IF(T$8=0,INDEX($E73:$I73,0,T$6),(INDEX($E73:$I73,0,T$8+1)-INDEX($E73:$I73,0,T$8))/(INDEX($D$5:$H$5,0,T$8+1)-INDEX($D$5:$H$5,0,T$8))+S73)))</f>
        <v>802.64469417063674</v>
      </c>
      <c r="U73" s="5" cm="1">
        <f t="array" ref="U73">IF(U$8=-1,V73,IF(U$8=99,T73,IF(U$8=0,INDEX($E73:$I73,0,U$6),(INDEX($E73:$I73,0,U$8+1)-INDEX($E73:$I73,0,U$8))/(INDEX($D$5:$H$5,0,U$8+1)-INDEX($D$5:$H$5,0,U$8))+T73)))</f>
        <v>777.19788357115385</v>
      </c>
      <c r="V73" s="5" cm="1">
        <f t="array" ref="V73">IF(V$8=-1,W73,IF(V$8=99,U73,IF(V$8=0,INDEX($E73:$I73,0,V$6),(INDEX($E73:$I73,0,V$8+1)-INDEX($E73:$I73,0,V$8))/(INDEX($D$5:$H$5,0,V$8+1)-INDEX($D$5:$H$5,0,V$8))+U73)))</f>
        <v>751.75107297167096</v>
      </c>
      <c r="W73" s="5" cm="1">
        <f t="array" ref="W73">IF(W$8=-1,X73,IF(W$8=99,V73,IF(W$8=0,INDEX($E73:$I73,0,W$6),(INDEX($E73:$I73,0,W$8+1)-INDEX($E73:$I73,0,W$8))/(INDEX($D$5:$H$5,0,W$8+1)-INDEX($D$5:$H$5,0,W$8))+V73)))</f>
        <v>726.30426237218808</v>
      </c>
      <c r="X73" s="5" cm="1">
        <f t="array" ref="X73">IF(X$8=-1,Y73,IF(X$8=99,W73,IF(X$8=0,INDEX($E73:$I73,0,X$6),(INDEX($E73:$I73,0,X$8+1)-INDEX($E73:$I73,0,X$8))/(INDEX($D$5:$H$5,0,X$8+1)-INDEX($D$5:$H$5,0,X$8))+W73)))</f>
        <v>700.85745177270519</v>
      </c>
      <c r="Y73" s="5" cm="1">
        <f t="array" ref="Y73">IF(Y$8=-1,Z73,IF(Y$8=99,X73,IF(Y$8=0,INDEX($E73:$I73,0,Y$6),(INDEX($E73:$I73,0,Y$8+1)-INDEX($E73:$I73,0,Y$8))/(INDEX($D$5:$H$5,0,Y$8+1)-INDEX($D$5:$H$5,0,Y$8))+X73)))</f>
        <v>675.4106411732223</v>
      </c>
      <c r="Z73" s="5" cm="1">
        <f t="array" ref="Z73">IF(Z$8=-1,AA73,IF(Z$8=99,Y73,IF(Z$8=0,INDEX($E73:$I73,0,Z$6),(INDEX($E73:$I73,0,Z$8+1)-INDEX($E73:$I73,0,Z$8))/(INDEX($D$5:$H$5,0,Z$8+1)-INDEX($D$5:$H$5,0,Z$8))+Y73)))</f>
        <v>649.96383057373941</v>
      </c>
      <c r="AA73" s="5" cm="1">
        <f t="array" ref="AA73">IF(AA$8=-1,AB73,IF(AA$8=99,Z73,IF(AA$8=0,INDEX($E73:$I73,0,AA$6),(INDEX($E73:$I73,0,AA$8+1)-INDEX($E73:$I73,0,AA$8))/(INDEX($D$5:$H$5,0,AA$8+1)-INDEX($D$5:$H$5,0,AA$8))+Z73)))</f>
        <v>624.51701997425653</v>
      </c>
      <c r="AB73" s="5" cm="1">
        <f t="array" ref="AB73">IF(AB$8=-1,AC73,IF(AB$8=99,AA73,IF(AB$8=0,INDEX($E73:$I73,0,AB$6),(INDEX($E73:$I73,0,AB$8+1)-INDEX($E73:$I73,0,AB$8))/(INDEX($D$5:$H$5,0,AB$8+1)-INDEX($D$5:$H$5,0,AB$8))+AA73)))</f>
        <v>599.07020937477364</v>
      </c>
      <c r="AC73" s="5" cm="1">
        <f t="array" ref="AC73">IF(AC$8=-1,AD73,IF(AC$8=99,AB73,IF(AC$8=0,INDEX($E73:$I73,0,AC$6),(INDEX($E73:$I73,0,AC$8+1)-INDEX($E73:$I73,0,AC$8))/(INDEX($D$5:$H$5,0,AC$8+1)-INDEX($D$5:$H$5,0,AC$8))+AB73)))</f>
        <v>573.62339877529075</v>
      </c>
      <c r="AD73" s="5" cm="1">
        <f t="array" ref="AD73">IF(AD$8=-1,AE73,IF(AD$8=99,AC73,IF(AD$8=0,INDEX($E73:$I73,0,AD$6),(INDEX($E73:$I73,0,AD$8+1)-INDEX($E73:$I73,0,AD$8))/(INDEX($D$5:$H$5,0,AD$8+1)-INDEX($D$5:$H$5,0,AD$8))+AC73)))</f>
        <v>548.17658817580741</v>
      </c>
      <c r="AE73" s="5" cm="1">
        <f t="array" ref="AE73">IF(AE$8=-1,AF73,IF(AE$8=99,AD73,IF(AE$8=0,INDEX($E73:$I73,0,AE$6),(INDEX($E73:$I73,0,AE$8+1)-INDEX($E73:$I73,0,AE$8))/(INDEX($D$5:$H$5,0,AE$8+1)-INDEX($D$5:$H$5,0,AE$8))+AD73)))</f>
        <v>548.17658817580741</v>
      </c>
      <c r="AF73" s="5" cm="1">
        <f t="array" ref="AF73">IF(AF$8=-1,AG73,IF(AF$8=99,AE73,IF(AF$8=0,INDEX($E73:$I73,0,AF$6),(INDEX($E73:$I73,0,AF$8+1)-INDEX($E73:$I73,0,AF$8))/(INDEX($D$5:$H$5,0,AF$8+1)-INDEX($D$5:$H$5,0,AF$8))+AE73)))</f>
        <v>548.17658817580741</v>
      </c>
      <c r="AG73" s="5" cm="1">
        <f t="array" ref="AG73">IF(AG$8=-1,AH73,IF(AG$8=99,AF73,IF(AG$8=0,INDEX($E73:$I73,0,AG$6),(INDEX($E73:$I73,0,AG$8+1)-INDEX($E73:$I73,0,AG$8))/(INDEX($D$5:$H$5,0,AG$8+1)-INDEX($D$5:$H$5,0,AG$8))+AF73)))</f>
        <v>548.17658817580741</v>
      </c>
      <c r="AH73" s="5" cm="1">
        <f t="array" ref="AH73">IF(AH$8=-1,AI73,IF(AH$8=99,AG73,IF(AH$8=0,INDEX($E73:$I73,0,AH$6),(INDEX($E73:$I73,0,AH$8+1)-INDEX($E73:$I73,0,AH$8))/(INDEX($D$5:$H$5,0,AH$8+1)-INDEX($D$5:$H$5,0,AH$8))+AG73)))</f>
        <v>548.17658817580741</v>
      </c>
      <c r="AI73" s="5" cm="1">
        <f t="array" ref="AI73">IF(AI$8=-1,AJ73,IF(AI$8=99,AH73,IF(AI$8=0,INDEX($E73:$I73,0,AI$6),(INDEX($E73:$I73,0,AI$8+1)-INDEX($E73:$I73,0,AI$8))/(INDEX($D$5:$H$5,0,AI$8+1)-INDEX($D$5:$H$5,0,AI$8))+AH73)))</f>
        <v>548.17658817580741</v>
      </c>
      <c r="AJ73" s="5" cm="1">
        <f t="array" ref="AJ73">IF(AJ$8=-1,AK73,IF(AJ$8=99,AI73,IF(AJ$8=0,INDEX($E73:$I73,0,AJ$6),(INDEX($E73:$I73,0,AJ$8+1)-INDEX($E73:$I73,0,AJ$8))/(INDEX($D$5:$H$5,0,AJ$8+1)-INDEX($D$5:$H$5,0,AJ$8))+AI73)))</f>
        <v>548.17658817580741</v>
      </c>
      <c r="AK73" s="5" cm="1">
        <f t="array" ref="AK73">IF(AK$8=-1,AL73,IF(AK$8=99,AJ73,IF(AK$8=0,INDEX($E73:$I73,0,AK$6),(INDEX($E73:$I73,0,AK$8+1)-INDEX($E73:$I73,0,AK$8))/(INDEX($D$5:$H$5,0,AK$8+1)-INDEX($D$5:$H$5,0,AK$8))+AJ73)))</f>
        <v>548.17658817580741</v>
      </c>
      <c r="AL73" s="5" cm="1">
        <f t="array" ref="AL73">IF(AL$8=-1,AM73,IF(AL$8=99,AK73,IF(AL$8=0,INDEX($E73:$I73,0,AL$6),(INDEX($E73:$I73,0,AL$8+1)-INDEX($E73:$I73,0,AL$8))/(INDEX($D$5:$H$5,0,AL$8+1)-INDEX($D$5:$H$5,0,AL$8))+AK73)))</f>
        <v>548.17658817580741</v>
      </c>
      <c r="AM73" s="5" cm="1">
        <f t="array" ref="AM73">IF(AM$8=-1,AN73,IF(AM$8=99,AL73,IF(AM$8=0,INDEX($E73:$I73,0,AM$6),(INDEX($E73:$I73,0,AM$8+1)-INDEX($E73:$I73,0,AM$8))/(INDEX($D$5:$H$5,0,AM$8+1)-INDEX($D$5:$H$5,0,AM$8))+AL73)))</f>
        <v>548.17658817580741</v>
      </c>
      <c r="AN73" s="5" cm="1">
        <f t="array" ref="AN73">IF(AN$8=-1,AO73,IF(AN$8=99,AM73,IF(AN$8=0,INDEX($E73:$I73,0,AN$6),(INDEX($E73:$I73,0,AN$8+1)-INDEX($E73:$I73,0,AN$8))/(INDEX($D$5:$H$5,0,AN$8+1)-INDEX($D$5:$H$5,0,AN$8))+AM73)))</f>
        <v>548.17658817580741</v>
      </c>
      <c r="AO73" s="5" cm="1">
        <f t="array" ref="AO73">IF(AO$8=-1,AP73,IF(AO$8=99,AN73,IF(AO$8=0,INDEX($E73:$K73,0,AO$6),(INDEX($E73:$K73,0,AO$8+1)-INDEX($E73:$K73,0,AO$8))/(INDEX($D$5:$J$5,0,AO$8+1)-INDEX($D$5:$J$5,0,AO$8))+AN73)))</f>
        <v>548.17658817580741</v>
      </c>
      <c r="AP73" s="5" cm="1">
        <f t="array" ref="AP73">IF(AP$8=-1,AQ73,IF(AP$8=99,AO73,IF(AP$8=0,INDEX($E73:$K73,0,AP$6),(INDEX($E73:$K73,0,AP$8+1)-INDEX($E73:$K73,0,AP$8))/(INDEX($D$5:$J$5,0,AP$8+1)-INDEX($D$5:$J$5,0,AP$8))+AO73)))</f>
        <v>548.17658817580741</v>
      </c>
      <c r="AQ73" s="5" cm="1">
        <f t="array" ref="AQ73">IF(AQ$8=-1,AR73,IF(AQ$8=99,AP73,IF(AQ$8=0,INDEX($E73:$K73,0,AQ$6),(INDEX($E73:$K73,0,AQ$8+1)-INDEX($E73:$K73,0,AQ$8))/(INDEX($D$5:$J$5,0,AQ$8+1)-INDEX($D$5:$J$5,0,AQ$8))+AP73)))</f>
        <v>548.17658817580741</v>
      </c>
      <c r="AR73" s="5" cm="1">
        <f t="array" ref="AR73">IF(AR$8=-1,AS73,IF(AR$8=99,AQ73,IF(AR$8=0,INDEX($E73:$K73,0,AR$6),(INDEX($E73:$K73,0,AR$8+1)-INDEX($E73:$K73,0,AR$8))/(INDEX($D$5:$J$5,0,AR$8+1)-INDEX($D$5:$J$5,0,AR$8))+AQ73)))</f>
        <v>548.17658817580741</v>
      </c>
      <c r="AS73" s="5" cm="1">
        <f t="array" ref="AS73">IF(AS$8=-1,AT73,IF(AS$8=99,AR73,IF(AS$8=0,INDEX($E73:$K73,0,AS$6),(INDEX($E73:$K73,0,AS$8+1)-INDEX($E73:$K73,0,AS$8))/(INDEX($D$5:$J$5,0,AS$8+1)-INDEX($D$5:$J$5,0,AS$8))+AR73)))</f>
        <v>548.17658817580741</v>
      </c>
      <c r="AT73" s="5" cm="1">
        <f t="array" ref="AT73">IF(AT$8=-1,AU73,IF(AT$8=99,AS73,IF(AT$8=0,INDEX($E73:$K73,0,AT$6),(INDEX($E73:$K73,0,AT$8+1)-INDEX($E73:$K73,0,AT$8))/(INDEX($D$5:$J$5,0,AT$8+1)-INDEX($D$5:$J$5,0,AT$8))+AS73)))</f>
        <v>548.17658817580741</v>
      </c>
      <c r="AU73" s="5" cm="1">
        <f t="array" ref="AU73">IF(AU$8=-1,AV73,IF(AU$8=99,AT73,IF(AU$8=0,INDEX($E73:$K73,0,AU$6),(INDEX($E73:$K73,0,AU$8+1)-INDEX($E73:$K73,0,AU$8))/(INDEX($D$5:$J$5,0,AU$8+1)-INDEX($D$5:$J$5,0,AU$8))+AT73)))</f>
        <v>548.17658817580741</v>
      </c>
      <c r="AV73" s="5" cm="1">
        <f t="array" ref="AV73">IF(AV$8=-1,AW73,IF(AV$8=99,AU73,IF(AV$8=0,INDEX($E73:$K73,0,AV$6),(INDEX($E73:$K73,0,AV$8+1)-INDEX($E73:$K73,0,AV$8))/(INDEX($D$5:$J$5,0,AV$8+1)-INDEX($D$5:$J$5,0,AV$8))+AU73)))</f>
        <v>548.17658817580741</v>
      </c>
      <c r="AW73" s="5" cm="1">
        <f t="array" ref="AW73">IF(AW$8=-1,AX73,IF(AW$8=99,AV73,IF(AW$8=0,INDEX($E73:$K73,0,AW$6),(INDEX($E73:$K73,0,AW$8+1)-INDEX($E73:$K73,0,AW$8))/(INDEX($D$5:$J$5,0,AW$8+1)-INDEX($D$5:$J$5,0,AW$8))+AV73)))</f>
        <v>548.17658817580741</v>
      </c>
      <c r="AX73" s="5" cm="1">
        <f t="array" ref="AX73">IF(AX$8=-1,AY73,IF(AX$8=99,AW73,IF(AX$8=0,INDEX($E73:$K73,0,AX$6),(INDEX($E73:$K73,0,AX$8+1)-INDEX($E73:$K73,0,AX$8))/(INDEX($D$5:$J$5,0,AX$8+1)-INDEX($D$5:$J$5,0,AX$8))+AW73)))</f>
        <v>548.17658817580741</v>
      </c>
      <c r="AY73" s="5" cm="1">
        <f t="array" ref="AY73">IF(AY$8=-1,AZ73,IF(AY$8=99,AX73,IF(AY$8=0,INDEX($E73:$K73,0,AY$6),(INDEX($E73:$K73,0,AY$8+1)-INDEX($E73:$K73,0,AY$8))/(INDEX($D$5:$J$5,0,AY$8+1)-INDEX($D$5:$J$5,0,AY$8))+AX73)))</f>
        <v>548.17658817580741</v>
      </c>
      <c r="AZ73" s="5" cm="1">
        <f t="array" ref="AZ73">IF(AZ$8=-1,BA73,IF(AZ$8=99,AY73,IF(AZ$8=0,INDEX($E73:$K73,0,AZ$6),(INDEX($E73:$K73,0,AZ$8+1)-INDEX($E73:$K73,0,AZ$8))/(INDEX($D$5:$J$5,0,AZ$8+1)-INDEX($D$5:$J$5,0,AZ$8))+AY73)))</f>
        <v>548.17658817580741</v>
      </c>
      <c r="BA73" s="5" cm="1">
        <f t="array" ref="BA73">IF(BA$8=-1,BB73,IF(BA$8=99,AZ73,IF(BA$8=0,INDEX($E73:$K73,0,BA$6),(INDEX($E73:$K73,0,BA$8+1)-INDEX($E73:$K73,0,BA$8))/(INDEX($D$5:$J$5,0,BA$8+1)-INDEX($D$5:$J$5,0,BA$8))+AZ73)))</f>
        <v>548.17658817580741</v>
      </c>
      <c r="BB73" s="5" cm="1">
        <f t="array" ref="BB73">IF(BB$8=-1,BC73,IF(BB$8=99,BA73,IF(BB$8=0,INDEX($E73:$K73,0,BB$6),(INDEX($E73:$K73,0,BB$8+1)-INDEX($E73:$K73,0,BB$8))/(INDEX($D$5:$J$5,0,BB$8+1)-INDEX($D$5:$J$5,0,BB$8))+BA73)))</f>
        <v>548.17658817580741</v>
      </c>
      <c r="BC73" s="5" cm="1">
        <f t="array" ref="BC73">IF(BC$8=-1,BD73,IF(BC$8=99,BB73,IF(BC$8=0,INDEX($E73:$K73,0,BC$6),(INDEX($E73:$K73,0,BC$8+1)-INDEX($E73:$K73,0,BC$8))/(INDEX($D$5:$J$5,0,BC$8+1)-INDEX($D$5:$J$5,0,BC$8))+BB73)))</f>
        <v>548.17658817580741</v>
      </c>
      <c r="BD73" s="5" cm="1">
        <f t="array" ref="BD73">IF(BD$8=-1,BE73,IF(BD$8=99,BC73,IF(BD$8=0,INDEX($E73:$K73,0,BD$6),(INDEX($E73:$K73,0,BD$8+1)-INDEX($E73:$K73,0,BD$8))/(INDEX($D$5:$J$5,0,BD$8+1)-INDEX($D$5:$J$5,0,BD$8))+BC73)))</f>
        <v>548.17658817580741</v>
      </c>
      <c r="BE73" s="5" cm="1">
        <f t="array" ref="BE73">IF(BE$8=-1,BF73,IF(BE$8=99,BD73,IF(BE$8=0,INDEX($E73:$K73,0,BE$6),(INDEX($E73:$K73,0,BE$8+1)-INDEX($E73:$K73,0,BE$8))/(INDEX($D$5:$J$5,0,BE$8+1)-INDEX($D$5:$J$5,0,BE$8))+BD73)))</f>
        <v>548.17658817580741</v>
      </c>
      <c r="BF73" s="5" cm="1">
        <f t="array" ref="BF73">IF(BF$8=-1,BG73,IF(BF$8=99,BE73,IF(BF$8=0,INDEX($E73:$K73,0,BF$6),(INDEX($E73:$K73,0,BF$8+1)-INDEX($E73:$K73,0,BF$8))/(INDEX($D$5:$J$5,0,BF$8+1)-INDEX($D$5:$J$5,0,BF$8))+BE73)))</f>
        <v>548.17658817580741</v>
      </c>
      <c r="BG73" s="5" cm="1">
        <f t="array" ref="BG73">IF(BG$8=-1,BH73,IF(BG$8=99,BF73,IF(BG$8=0,INDEX($E73:$K73,0,BG$6),(INDEX($E73:$K73,0,BG$8+1)-INDEX($E73:$K73,0,BG$8))/(INDEX($D$5:$J$5,0,BG$8+1)-INDEX($D$5:$J$5,0,BG$8))+BF73)))</f>
        <v>548.17658817580741</v>
      </c>
      <c r="BH73" s="5" cm="1">
        <f t="array" ref="BH73">IF(BH$8=-1,BI73,IF(BH$8=99,BG73,IF(BH$8=0,INDEX($E73:$K73,0,BH$6),(INDEX($E73:$K73,0,BH$8+1)-INDEX($E73:$K73,0,BH$8))/(INDEX($D$5:$J$5,0,BH$8+1)-INDEX($D$5:$J$5,0,BH$8))+BG73)))</f>
        <v>548.17658817580741</v>
      </c>
      <c r="BI73" s="5" cm="1">
        <f t="array" ref="BI73">IF(BI$8=-1,BJ73,IF(BI$8=99,BH73,IF(BI$8=0,INDEX($E73:$K73,0,BI$6),(INDEX($E73:$K73,0,BI$8+1)-INDEX($E73:$K73,0,BI$8))/(INDEX($D$5:$J$5,0,BI$8+1)-INDEX($D$5:$J$5,0,BI$8))+BH73)))</f>
        <v>548.17658817580741</v>
      </c>
      <c r="BJ73" s="5" cm="1">
        <f t="array" ref="BJ73">IF(BJ$8=-1,BK73,IF(BJ$8=99,BI73,IF(BJ$8=0,INDEX($E73:$K73,0,BJ$6),(INDEX($E73:$K73,0,BJ$8+1)-INDEX($E73:$K73,0,BJ$8))/(INDEX($D$5:$J$5,0,BJ$8+1)-INDEX($D$5:$J$5,0,BJ$8))+BI73)))</f>
        <v>548.17658817580741</v>
      </c>
      <c r="BK73" s="5" cm="1">
        <f t="array" ref="BK73">IF(BK$8=-1,BL73,IF(BK$8=99,BJ73,IF(BK$8=0,INDEX($E73:$K73,0,BK$6),(INDEX($E73:$K73,0,BK$8+1)-INDEX($E73:$K73,0,BK$8))/(INDEX($D$5:$J$5,0,BK$8+1)-INDEX($D$5:$J$5,0,BK$8))+BJ73)))</f>
        <v>548.17658817580741</v>
      </c>
      <c r="BL73" s="5" cm="1">
        <f t="array" ref="BL73">IF(BL$8=-1,BM73,IF(BL$8=99,BK73,IF(BL$8=0,INDEX($E73:$K73,0,BL$6),(INDEX($E73:$K73,0,BL$8+1)-INDEX($E73:$K73,0,BL$8))/(INDEX($D$5:$J$5,0,BL$8+1)-INDEX($D$5:$J$5,0,BL$8))+BK73)))</f>
        <v>548.17658817580741</v>
      </c>
      <c r="BM73" s="5" cm="1">
        <f t="array" ref="BM73">IF(BM$8=-1,BN73,IF(BM$8=99,BL73,IF(BM$8=0,INDEX($E73:$K73,0,BM$6),(INDEX($E73:$K73,0,BM$8+1)-INDEX($E73:$K73,0,BM$8))/(INDEX($D$5:$J$5,0,BM$8+1)-INDEX($D$5:$J$5,0,BM$8))+BL73)))</f>
        <v>548.17658817580741</v>
      </c>
      <c r="BN73" s="5" cm="1">
        <f t="array" ref="BN73">IF(BN$8=-1,BO73,IF(BN$8=99,BM73,IF(BN$8=0,INDEX($E73:$K73,0,BN$6),(INDEX($E73:$K73,0,BN$8+1)-INDEX($E73:$K73,0,BN$8))/(INDEX($D$5:$J$5,0,BN$8+1)-INDEX($D$5:$J$5,0,BN$8))+BM73)))</f>
        <v>548.17658817580741</v>
      </c>
      <c r="BO73" s="5" cm="1">
        <f t="array" ref="BO73">IF(BO$8=-1,BP73,IF(BO$8=99,BN73,IF(BO$8=0,INDEX($E73:$K73,0,BO$6),(INDEX($E73:$K73,0,BO$8+1)-INDEX($E73:$K73,0,BO$8))/(INDEX($D$5:$J$5,0,BO$8+1)-INDEX($D$5:$J$5,0,BO$8))+BN73)))</f>
        <v>548.17658817580741</v>
      </c>
      <c r="BP73" s="5" cm="1">
        <f t="array" ref="BP73">IF(BP$8=-1,BQ73,IF(BP$8=99,BO73,IF(BP$8=0,INDEX($E73:$K73,0,BP$6),(INDEX($E73:$K73,0,BP$8+1)-INDEX($E73:$K73,0,BP$8))/(INDEX($D$5:$J$5,0,BP$8+1)-INDEX($D$5:$J$5,0,BP$8))+BO73)))</f>
        <v>548.17658817580741</v>
      </c>
      <c r="BQ73" s="5" cm="1">
        <f t="array" ref="BQ73">IF(BQ$8=-1,BR73,IF(BQ$8=99,BP73,IF(BQ$8=0,INDEX($E73:$K73,0,BQ$6),(INDEX($E73:$K73,0,BQ$8+1)-INDEX($E73:$K73,0,BQ$8))/(INDEX($D$5:$J$5,0,BQ$8+1)-INDEX($D$5:$J$5,0,BQ$8))+BP73)))</f>
        <v>548.17658817580741</v>
      </c>
      <c r="BR73" s="5" cm="1">
        <f t="array" ref="BR73">IF(BR$8=-1,BS73,IF(BR$8=99,BQ73,IF(BR$8=0,INDEX($E73:$K73,0,BR$6),(INDEX($E73:$K73,0,BR$8+1)-INDEX($E73:$K73,0,BR$8))/(INDEX($D$5:$J$5,0,BR$8+1)-INDEX($D$5:$J$5,0,BR$8))+BQ73)))</f>
        <v>548.17658817580741</v>
      </c>
    </row>
    <row r="74" spans="1:70">
      <c r="A74" t="s">
        <v>16</v>
      </c>
      <c r="B74" s="223" t="s">
        <v>229</v>
      </c>
      <c r="C74" s="70" t="str">
        <f t="shared" si="136"/>
        <v>Commercial - Refrigeration</v>
      </c>
      <c r="D74" s="70" t="s">
        <v>66</v>
      </c>
      <c r="E74" s="79">
        <f t="shared" si="140"/>
        <v>222.61251585750318</v>
      </c>
      <c r="F74" s="87">
        <f t="shared" si="141"/>
        <v>195.25467556696461</v>
      </c>
      <c r="G74" s="87">
        <f t="shared" si="137"/>
        <v>195.25467556696461</v>
      </c>
      <c r="H74" s="87">
        <f t="shared" si="142"/>
        <v>133.35170923701128</v>
      </c>
      <c r="I74" s="131">
        <f t="shared" si="137"/>
        <v>133.35170923701128</v>
      </c>
      <c r="J74" s="131">
        <f t="shared" si="138"/>
        <v>133.35170923701128</v>
      </c>
      <c r="K74" s="131">
        <f t="shared" si="139"/>
        <v>133.35170923701128</v>
      </c>
      <c r="L74" s="5" cm="1">
        <f t="array" ref="L74">IF(L$8=-1,M74,IF(L$8=99,I74,IF(L$8=0,INDEX($E74:$I74,0,L$6),(INDEX($E74:$I74,0,L$8+1)-INDEX($E74:$I74,0,L$8))/(INDEX($D$5:$H$5,0,L$8+1)-INDEX($D$5:$H$5,0,L$8))+I74)))</f>
        <v>222.61251585750318</v>
      </c>
      <c r="M74" s="5" cm="1">
        <f t="array" ref="M74">IF(M$8=-1,N74,IF(M$8=99,L74,IF(M$8=0,INDEX($E74:$I74,0,M$6),(INDEX($E74:$I74,0,M$8+1)-INDEX($E74:$I74,0,M$8))/(INDEX($D$5:$H$5,0,M$8+1)-INDEX($D$5:$H$5,0,M$8))+L74)))</f>
        <v>217.14094779939546</v>
      </c>
      <c r="N74" s="5" cm="1">
        <f t="array" ref="N74">IF(N$8=-1,O74,IF(N$8=99,M74,IF(N$8=0,INDEX($E74:$I74,0,N$6),(INDEX($E74:$I74,0,N$8+1)-INDEX($E74:$I74,0,N$8))/(INDEX($D$5:$H$5,0,N$8+1)-INDEX($D$5:$H$5,0,N$8))+M74)))</f>
        <v>211.66937974128774</v>
      </c>
      <c r="O74" s="5" cm="1">
        <f t="array" ref="O74">IF(O$8=-1,P74,IF(O$8=99,N74,IF(O$8=0,INDEX($E74:$I74,0,O$6),(INDEX($E74:$I74,0,O$8+1)-INDEX($E74:$I74,0,O$8))/(INDEX($D$5:$H$5,0,O$8+1)-INDEX($D$5:$H$5,0,O$8))+N74)))</f>
        <v>206.19781168318002</v>
      </c>
      <c r="P74" s="5" cm="1">
        <f t="array" ref="P74">IF(P$8=-1,Q74,IF(P$8=99,O74,IF(P$8=0,INDEX($E74:$I74,0,P$6),(INDEX($E74:$I74,0,P$8+1)-INDEX($E74:$I74,0,P$8))/(INDEX($D$5:$H$5,0,P$8+1)-INDEX($D$5:$H$5,0,P$8))+O74)))</f>
        <v>200.7262436250723</v>
      </c>
      <c r="Q74" s="5" cm="1">
        <f t="array" ref="Q74">IF(Q$8=-1,R74,IF(Q$8=99,P74,IF(Q$8=0,INDEX($E74:$I74,0,Q$6),(INDEX($E74:$I74,0,Q$8+1)-INDEX($E74:$I74,0,Q$8))/(INDEX($D$5:$H$5,0,Q$8+1)-INDEX($D$5:$H$5,0,Q$8))+P74)))</f>
        <v>195.25467556696461</v>
      </c>
      <c r="R74" s="5" cm="1">
        <f t="array" ref="R74">IF(R$8=-1,S74,IF(R$8=99,Q74,IF(R$8=0,INDEX($E74:$I74,0,R$6),(INDEX($E74:$I74,0,R$8+1)-INDEX($E74:$I74,0,R$8))/(INDEX($D$5:$H$5,0,R$8+1)-INDEX($D$5:$H$5,0,R$8))+Q74)))</f>
        <v>195.25467556696461</v>
      </c>
      <c r="S74" s="5" cm="1">
        <f t="array" ref="S74">IF(S$8=-1,T74,IF(S$8=99,R74,IF(S$8=0,INDEX($E74:$I74,0,S$6),(INDEX($E74:$I74,0,S$8+1)-INDEX($E74:$I74,0,S$8))/(INDEX($D$5:$H$5,0,S$8+1)-INDEX($D$5:$H$5,0,S$8))+R74)))</f>
        <v>195.25467556696461</v>
      </c>
      <c r="T74" s="5" cm="1">
        <f t="array" ref="T74">IF(T$8=-1,U74,IF(T$8=99,S74,IF(T$8=0,INDEX($E74:$I74,0,T$6),(INDEX($E74:$I74,0,T$8+1)-INDEX($E74:$I74,0,T$8))/(INDEX($D$5:$H$5,0,T$8+1)-INDEX($D$5:$H$5,0,T$8))+S74)))</f>
        <v>195.25467556696461</v>
      </c>
      <c r="U74" s="5" cm="1">
        <f t="array" ref="U74">IF(U$8=-1,V74,IF(U$8=99,T74,IF(U$8=0,INDEX($E74:$I74,0,U$6),(INDEX($E74:$I74,0,U$8+1)-INDEX($E74:$I74,0,U$8))/(INDEX($D$5:$H$5,0,U$8+1)-INDEX($D$5:$H$5,0,U$8))+T74)))</f>
        <v>189.06437893396927</v>
      </c>
      <c r="V74" s="5" cm="1">
        <f t="array" ref="V74">IF(V$8=-1,W74,IF(V$8=99,U74,IF(V$8=0,INDEX($E74:$I74,0,V$6),(INDEX($E74:$I74,0,V$8+1)-INDEX($E74:$I74,0,V$8))/(INDEX($D$5:$H$5,0,V$8+1)-INDEX($D$5:$H$5,0,V$8))+U74)))</f>
        <v>182.87408230097392</v>
      </c>
      <c r="W74" s="5" cm="1">
        <f t="array" ref="W74">IF(W$8=-1,X74,IF(W$8=99,V74,IF(W$8=0,INDEX($E74:$I74,0,W$6),(INDEX($E74:$I74,0,W$8+1)-INDEX($E74:$I74,0,W$8))/(INDEX($D$5:$H$5,0,W$8+1)-INDEX($D$5:$H$5,0,W$8))+V74)))</f>
        <v>176.68378566797858</v>
      </c>
      <c r="X74" s="5" cm="1">
        <f t="array" ref="X74">IF(X$8=-1,Y74,IF(X$8=99,W74,IF(X$8=0,INDEX($E74:$I74,0,X$6),(INDEX($E74:$I74,0,X$8+1)-INDEX($E74:$I74,0,X$8))/(INDEX($D$5:$H$5,0,X$8+1)-INDEX($D$5:$H$5,0,X$8))+W74)))</f>
        <v>170.49348903498324</v>
      </c>
      <c r="Y74" s="5" cm="1">
        <f t="array" ref="Y74">IF(Y$8=-1,Z74,IF(Y$8=99,X74,IF(Y$8=0,INDEX($E74:$I74,0,Y$6),(INDEX($E74:$I74,0,Y$8+1)-INDEX($E74:$I74,0,Y$8))/(INDEX($D$5:$H$5,0,Y$8+1)-INDEX($D$5:$H$5,0,Y$8))+X74)))</f>
        <v>164.3031924019879</v>
      </c>
      <c r="Z74" s="5" cm="1">
        <f t="array" ref="Z74">IF(Z$8=-1,AA74,IF(Z$8=99,Y74,IF(Z$8=0,INDEX($E74:$I74,0,Z$6),(INDEX($E74:$I74,0,Z$8+1)-INDEX($E74:$I74,0,Z$8))/(INDEX($D$5:$H$5,0,Z$8+1)-INDEX($D$5:$H$5,0,Z$8))+Y74)))</f>
        <v>158.11289576899256</v>
      </c>
      <c r="AA74" s="5" cm="1">
        <f t="array" ref="AA74">IF(AA$8=-1,AB74,IF(AA$8=99,Z74,IF(AA$8=0,INDEX($E74:$I74,0,AA$6),(INDEX($E74:$I74,0,AA$8+1)-INDEX($E74:$I74,0,AA$8))/(INDEX($D$5:$H$5,0,AA$8+1)-INDEX($D$5:$H$5,0,AA$8))+Z74)))</f>
        <v>151.92259913599722</v>
      </c>
      <c r="AB74" s="5" cm="1">
        <f t="array" ref="AB74">IF(AB$8=-1,AC74,IF(AB$8=99,AA74,IF(AB$8=0,INDEX($E74:$I74,0,AB$6),(INDEX($E74:$I74,0,AB$8+1)-INDEX($E74:$I74,0,AB$8))/(INDEX($D$5:$H$5,0,AB$8+1)-INDEX($D$5:$H$5,0,AB$8))+AA74)))</f>
        <v>145.73230250300188</v>
      </c>
      <c r="AC74" s="5" cm="1">
        <f t="array" ref="AC74">IF(AC$8=-1,AD74,IF(AC$8=99,AB74,IF(AC$8=0,INDEX($E74:$I74,0,AC$6),(INDEX($E74:$I74,0,AC$8+1)-INDEX($E74:$I74,0,AC$8))/(INDEX($D$5:$H$5,0,AC$8+1)-INDEX($D$5:$H$5,0,AC$8))+AB74)))</f>
        <v>139.54200587000653</v>
      </c>
      <c r="AD74" s="5" cm="1">
        <f t="array" ref="AD74">IF(AD$8=-1,AE74,IF(AD$8=99,AC74,IF(AD$8=0,INDEX($E74:$I74,0,AD$6),(INDEX($E74:$I74,0,AD$8+1)-INDEX($E74:$I74,0,AD$8))/(INDEX($D$5:$H$5,0,AD$8+1)-INDEX($D$5:$H$5,0,AD$8))+AC74)))</f>
        <v>133.35170923701128</v>
      </c>
      <c r="AE74" s="5" cm="1">
        <f t="array" ref="AE74">IF(AE$8=-1,AF74,IF(AE$8=99,AD74,IF(AE$8=0,INDEX($E74:$I74,0,AE$6),(INDEX($E74:$I74,0,AE$8+1)-INDEX($E74:$I74,0,AE$8))/(INDEX($D$5:$H$5,0,AE$8+1)-INDEX($D$5:$H$5,0,AE$8))+AD74)))</f>
        <v>133.35170923701128</v>
      </c>
      <c r="AF74" s="5" cm="1">
        <f t="array" ref="AF74">IF(AF$8=-1,AG74,IF(AF$8=99,AE74,IF(AF$8=0,INDEX($E74:$I74,0,AF$6),(INDEX($E74:$I74,0,AF$8+1)-INDEX($E74:$I74,0,AF$8))/(INDEX($D$5:$H$5,0,AF$8+1)-INDEX($D$5:$H$5,0,AF$8))+AE74)))</f>
        <v>133.35170923701128</v>
      </c>
      <c r="AG74" s="5" cm="1">
        <f t="array" ref="AG74">IF(AG$8=-1,AH74,IF(AG$8=99,AF74,IF(AG$8=0,INDEX($E74:$I74,0,AG$6),(INDEX($E74:$I74,0,AG$8+1)-INDEX($E74:$I74,0,AG$8))/(INDEX($D$5:$H$5,0,AG$8+1)-INDEX($D$5:$H$5,0,AG$8))+AF74)))</f>
        <v>133.35170923701128</v>
      </c>
      <c r="AH74" s="5" cm="1">
        <f t="array" ref="AH74">IF(AH$8=-1,AI74,IF(AH$8=99,AG74,IF(AH$8=0,INDEX($E74:$I74,0,AH$6),(INDEX($E74:$I74,0,AH$8+1)-INDEX($E74:$I74,0,AH$8))/(INDEX($D$5:$H$5,0,AH$8+1)-INDEX($D$5:$H$5,0,AH$8))+AG74)))</f>
        <v>133.35170923701128</v>
      </c>
      <c r="AI74" s="5" cm="1">
        <f t="array" ref="AI74">IF(AI$8=-1,AJ74,IF(AI$8=99,AH74,IF(AI$8=0,INDEX($E74:$I74,0,AI$6),(INDEX($E74:$I74,0,AI$8+1)-INDEX($E74:$I74,0,AI$8))/(INDEX($D$5:$H$5,0,AI$8+1)-INDEX($D$5:$H$5,0,AI$8))+AH74)))</f>
        <v>133.35170923701128</v>
      </c>
      <c r="AJ74" s="5" cm="1">
        <f t="array" ref="AJ74">IF(AJ$8=-1,AK74,IF(AJ$8=99,AI74,IF(AJ$8=0,INDEX($E74:$I74,0,AJ$6),(INDEX($E74:$I74,0,AJ$8+1)-INDEX($E74:$I74,0,AJ$8))/(INDEX($D$5:$H$5,0,AJ$8+1)-INDEX($D$5:$H$5,0,AJ$8))+AI74)))</f>
        <v>133.35170923701128</v>
      </c>
      <c r="AK74" s="5" cm="1">
        <f t="array" ref="AK74">IF(AK$8=-1,AL74,IF(AK$8=99,AJ74,IF(AK$8=0,INDEX($E74:$I74,0,AK$6),(INDEX($E74:$I74,0,AK$8+1)-INDEX($E74:$I74,0,AK$8))/(INDEX($D$5:$H$5,0,AK$8+1)-INDEX($D$5:$H$5,0,AK$8))+AJ74)))</f>
        <v>133.35170923701128</v>
      </c>
      <c r="AL74" s="5" cm="1">
        <f t="array" ref="AL74">IF(AL$8=-1,AM74,IF(AL$8=99,AK74,IF(AL$8=0,INDEX($E74:$I74,0,AL$6),(INDEX($E74:$I74,0,AL$8+1)-INDEX($E74:$I74,0,AL$8))/(INDEX($D$5:$H$5,0,AL$8+1)-INDEX($D$5:$H$5,0,AL$8))+AK74)))</f>
        <v>133.35170923701128</v>
      </c>
      <c r="AM74" s="5" cm="1">
        <f t="array" ref="AM74">IF(AM$8=-1,AN74,IF(AM$8=99,AL74,IF(AM$8=0,INDEX($E74:$I74,0,AM$6),(INDEX($E74:$I74,0,AM$8+1)-INDEX($E74:$I74,0,AM$8))/(INDEX($D$5:$H$5,0,AM$8+1)-INDEX($D$5:$H$5,0,AM$8))+AL74)))</f>
        <v>133.35170923701128</v>
      </c>
      <c r="AN74" s="5" cm="1">
        <f t="array" ref="AN74">IF(AN$8=-1,AO74,IF(AN$8=99,AM74,IF(AN$8=0,INDEX($E74:$I74,0,AN$6),(INDEX($E74:$I74,0,AN$8+1)-INDEX($E74:$I74,0,AN$8))/(INDEX($D$5:$H$5,0,AN$8+1)-INDEX($D$5:$H$5,0,AN$8))+AM74)))</f>
        <v>133.35170923701128</v>
      </c>
      <c r="AO74" s="5" cm="1">
        <f t="array" ref="AO74">IF(AO$8=-1,AP74,IF(AO$8=99,AN74,IF(AO$8=0,INDEX($E74:$K74,0,AO$6),(INDEX($E74:$K74,0,AO$8+1)-INDEX($E74:$K74,0,AO$8))/(INDEX($D$5:$J$5,0,AO$8+1)-INDEX($D$5:$J$5,0,AO$8))+AN74)))</f>
        <v>133.35170923701128</v>
      </c>
      <c r="AP74" s="5" cm="1">
        <f t="array" ref="AP74">IF(AP$8=-1,AQ74,IF(AP$8=99,AO74,IF(AP$8=0,INDEX($E74:$K74,0,AP$6),(INDEX($E74:$K74,0,AP$8+1)-INDEX($E74:$K74,0,AP$8))/(INDEX($D$5:$J$5,0,AP$8+1)-INDEX($D$5:$J$5,0,AP$8))+AO74)))</f>
        <v>133.35170923701128</v>
      </c>
      <c r="AQ74" s="5" cm="1">
        <f t="array" ref="AQ74">IF(AQ$8=-1,AR74,IF(AQ$8=99,AP74,IF(AQ$8=0,INDEX($E74:$K74,0,AQ$6),(INDEX($E74:$K74,0,AQ$8+1)-INDEX($E74:$K74,0,AQ$8))/(INDEX($D$5:$J$5,0,AQ$8+1)-INDEX($D$5:$J$5,0,AQ$8))+AP74)))</f>
        <v>133.35170923701128</v>
      </c>
      <c r="AR74" s="5" cm="1">
        <f t="array" ref="AR74">IF(AR$8=-1,AS74,IF(AR$8=99,AQ74,IF(AR$8=0,INDEX($E74:$K74,0,AR$6),(INDEX($E74:$K74,0,AR$8+1)-INDEX($E74:$K74,0,AR$8))/(INDEX($D$5:$J$5,0,AR$8+1)-INDEX($D$5:$J$5,0,AR$8))+AQ74)))</f>
        <v>133.35170923701128</v>
      </c>
      <c r="AS74" s="5" cm="1">
        <f t="array" ref="AS74">IF(AS$8=-1,AT74,IF(AS$8=99,AR74,IF(AS$8=0,INDEX($E74:$K74,0,AS$6),(INDEX($E74:$K74,0,AS$8+1)-INDEX($E74:$K74,0,AS$8))/(INDEX($D$5:$J$5,0,AS$8+1)-INDEX($D$5:$J$5,0,AS$8))+AR74)))</f>
        <v>133.35170923701128</v>
      </c>
      <c r="AT74" s="5" cm="1">
        <f t="array" ref="AT74">IF(AT$8=-1,AU74,IF(AT$8=99,AS74,IF(AT$8=0,INDEX($E74:$K74,0,AT$6),(INDEX($E74:$K74,0,AT$8+1)-INDEX($E74:$K74,0,AT$8))/(INDEX($D$5:$J$5,0,AT$8+1)-INDEX($D$5:$J$5,0,AT$8))+AS74)))</f>
        <v>133.35170923701128</v>
      </c>
      <c r="AU74" s="5" cm="1">
        <f t="array" ref="AU74">IF(AU$8=-1,AV74,IF(AU$8=99,AT74,IF(AU$8=0,INDEX($E74:$K74,0,AU$6),(INDEX($E74:$K74,0,AU$8+1)-INDEX($E74:$K74,0,AU$8))/(INDEX($D$5:$J$5,0,AU$8+1)-INDEX($D$5:$J$5,0,AU$8))+AT74)))</f>
        <v>133.35170923701128</v>
      </c>
      <c r="AV74" s="5" cm="1">
        <f t="array" ref="AV74">IF(AV$8=-1,AW74,IF(AV$8=99,AU74,IF(AV$8=0,INDEX($E74:$K74,0,AV$6),(INDEX($E74:$K74,0,AV$8+1)-INDEX($E74:$K74,0,AV$8))/(INDEX($D$5:$J$5,0,AV$8+1)-INDEX($D$5:$J$5,0,AV$8))+AU74)))</f>
        <v>133.35170923701128</v>
      </c>
      <c r="AW74" s="5" cm="1">
        <f t="array" ref="AW74">IF(AW$8=-1,AX74,IF(AW$8=99,AV74,IF(AW$8=0,INDEX($E74:$K74,0,AW$6),(INDEX($E74:$K74,0,AW$8+1)-INDEX($E74:$K74,0,AW$8))/(INDEX($D$5:$J$5,0,AW$8+1)-INDEX($D$5:$J$5,0,AW$8))+AV74)))</f>
        <v>133.35170923701128</v>
      </c>
      <c r="AX74" s="5" cm="1">
        <f t="array" ref="AX74">IF(AX$8=-1,AY74,IF(AX$8=99,AW74,IF(AX$8=0,INDEX($E74:$K74,0,AX$6),(INDEX($E74:$K74,0,AX$8+1)-INDEX($E74:$K74,0,AX$8))/(INDEX($D$5:$J$5,0,AX$8+1)-INDEX($D$5:$J$5,0,AX$8))+AW74)))</f>
        <v>133.35170923701128</v>
      </c>
      <c r="AY74" s="5" cm="1">
        <f t="array" ref="AY74">IF(AY$8=-1,AZ74,IF(AY$8=99,AX74,IF(AY$8=0,INDEX($E74:$K74,0,AY$6),(INDEX($E74:$K74,0,AY$8+1)-INDEX($E74:$K74,0,AY$8))/(INDEX($D$5:$J$5,0,AY$8+1)-INDEX($D$5:$J$5,0,AY$8))+AX74)))</f>
        <v>133.35170923701128</v>
      </c>
      <c r="AZ74" s="5" cm="1">
        <f t="array" ref="AZ74">IF(AZ$8=-1,BA74,IF(AZ$8=99,AY74,IF(AZ$8=0,INDEX($E74:$K74,0,AZ$6),(INDEX($E74:$K74,0,AZ$8+1)-INDEX($E74:$K74,0,AZ$8))/(INDEX($D$5:$J$5,0,AZ$8+1)-INDEX($D$5:$J$5,0,AZ$8))+AY74)))</f>
        <v>133.35170923701128</v>
      </c>
      <c r="BA74" s="5" cm="1">
        <f t="array" ref="BA74">IF(BA$8=-1,BB74,IF(BA$8=99,AZ74,IF(BA$8=0,INDEX($E74:$K74,0,BA$6),(INDEX($E74:$K74,0,BA$8+1)-INDEX($E74:$K74,0,BA$8))/(INDEX($D$5:$J$5,0,BA$8+1)-INDEX($D$5:$J$5,0,BA$8))+AZ74)))</f>
        <v>133.35170923701128</v>
      </c>
      <c r="BB74" s="5" cm="1">
        <f t="array" ref="BB74">IF(BB$8=-1,BC74,IF(BB$8=99,BA74,IF(BB$8=0,INDEX($E74:$K74,0,BB$6),(INDEX($E74:$K74,0,BB$8+1)-INDEX($E74:$K74,0,BB$8))/(INDEX($D$5:$J$5,0,BB$8+1)-INDEX($D$5:$J$5,0,BB$8))+BA74)))</f>
        <v>133.35170923701128</v>
      </c>
      <c r="BC74" s="5" cm="1">
        <f t="array" ref="BC74">IF(BC$8=-1,BD74,IF(BC$8=99,BB74,IF(BC$8=0,INDEX($E74:$K74,0,BC$6),(INDEX($E74:$K74,0,BC$8+1)-INDEX($E74:$K74,0,BC$8))/(INDEX($D$5:$J$5,0,BC$8+1)-INDEX($D$5:$J$5,0,BC$8))+BB74)))</f>
        <v>133.35170923701128</v>
      </c>
      <c r="BD74" s="5" cm="1">
        <f t="array" ref="BD74">IF(BD$8=-1,BE74,IF(BD$8=99,BC74,IF(BD$8=0,INDEX($E74:$K74,0,BD$6),(INDEX($E74:$K74,0,BD$8+1)-INDEX($E74:$K74,0,BD$8))/(INDEX($D$5:$J$5,0,BD$8+1)-INDEX($D$5:$J$5,0,BD$8))+BC74)))</f>
        <v>133.35170923701128</v>
      </c>
      <c r="BE74" s="5" cm="1">
        <f t="array" ref="BE74">IF(BE$8=-1,BF74,IF(BE$8=99,BD74,IF(BE$8=0,INDEX($E74:$K74,0,BE$6),(INDEX($E74:$K74,0,BE$8+1)-INDEX($E74:$K74,0,BE$8))/(INDEX($D$5:$J$5,0,BE$8+1)-INDEX($D$5:$J$5,0,BE$8))+BD74)))</f>
        <v>133.35170923701128</v>
      </c>
      <c r="BF74" s="5" cm="1">
        <f t="array" ref="BF74">IF(BF$8=-1,BG74,IF(BF$8=99,BE74,IF(BF$8=0,INDEX($E74:$K74,0,BF$6),(INDEX($E74:$K74,0,BF$8+1)-INDEX($E74:$K74,0,BF$8))/(INDEX($D$5:$J$5,0,BF$8+1)-INDEX($D$5:$J$5,0,BF$8))+BE74)))</f>
        <v>133.35170923701128</v>
      </c>
      <c r="BG74" s="5" cm="1">
        <f t="array" ref="BG74">IF(BG$8=-1,BH74,IF(BG$8=99,BF74,IF(BG$8=0,INDEX($E74:$K74,0,BG$6),(INDEX($E74:$K74,0,BG$8+1)-INDEX($E74:$K74,0,BG$8))/(INDEX($D$5:$J$5,0,BG$8+1)-INDEX($D$5:$J$5,0,BG$8))+BF74)))</f>
        <v>133.35170923701128</v>
      </c>
      <c r="BH74" s="5" cm="1">
        <f t="array" ref="BH74">IF(BH$8=-1,BI74,IF(BH$8=99,BG74,IF(BH$8=0,INDEX($E74:$K74,0,BH$6),(INDEX($E74:$K74,0,BH$8+1)-INDEX($E74:$K74,0,BH$8))/(INDEX($D$5:$J$5,0,BH$8+1)-INDEX($D$5:$J$5,0,BH$8))+BG74)))</f>
        <v>133.35170923701128</v>
      </c>
      <c r="BI74" s="5" cm="1">
        <f t="array" ref="BI74">IF(BI$8=-1,BJ74,IF(BI$8=99,BH74,IF(BI$8=0,INDEX($E74:$K74,0,BI$6),(INDEX($E74:$K74,0,BI$8+1)-INDEX($E74:$K74,0,BI$8))/(INDEX($D$5:$J$5,0,BI$8+1)-INDEX($D$5:$J$5,0,BI$8))+BH74)))</f>
        <v>133.35170923701128</v>
      </c>
      <c r="BJ74" s="5" cm="1">
        <f t="array" ref="BJ74">IF(BJ$8=-1,BK74,IF(BJ$8=99,BI74,IF(BJ$8=0,INDEX($E74:$K74,0,BJ$6),(INDEX($E74:$K74,0,BJ$8+1)-INDEX($E74:$K74,0,BJ$8))/(INDEX($D$5:$J$5,0,BJ$8+1)-INDEX($D$5:$J$5,0,BJ$8))+BI74)))</f>
        <v>133.35170923701128</v>
      </c>
      <c r="BK74" s="5" cm="1">
        <f t="array" ref="BK74">IF(BK$8=-1,BL74,IF(BK$8=99,BJ74,IF(BK$8=0,INDEX($E74:$K74,0,BK$6),(INDEX($E74:$K74,0,BK$8+1)-INDEX($E74:$K74,0,BK$8))/(INDEX($D$5:$J$5,0,BK$8+1)-INDEX($D$5:$J$5,0,BK$8))+BJ74)))</f>
        <v>133.35170923701128</v>
      </c>
      <c r="BL74" s="5" cm="1">
        <f t="array" ref="BL74">IF(BL$8=-1,BM74,IF(BL$8=99,BK74,IF(BL$8=0,INDEX($E74:$K74,0,BL$6),(INDEX($E74:$K74,0,BL$8+1)-INDEX($E74:$K74,0,BL$8))/(INDEX($D$5:$J$5,0,BL$8+1)-INDEX($D$5:$J$5,0,BL$8))+BK74)))</f>
        <v>133.35170923701128</v>
      </c>
      <c r="BM74" s="5" cm="1">
        <f t="array" ref="BM74">IF(BM$8=-1,BN74,IF(BM$8=99,BL74,IF(BM$8=0,INDEX($E74:$K74,0,BM$6),(INDEX($E74:$K74,0,BM$8+1)-INDEX($E74:$K74,0,BM$8))/(INDEX($D$5:$J$5,0,BM$8+1)-INDEX($D$5:$J$5,0,BM$8))+BL74)))</f>
        <v>133.35170923701128</v>
      </c>
      <c r="BN74" s="5" cm="1">
        <f t="array" ref="BN74">IF(BN$8=-1,BO74,IF(BN$8=99,BM74,IF(BN$8=0,INDEX($E74:$K74,0,BN$6),(INDEX($E74:$K74,0,BN$8+1)-INDEX($E74:$K74,0,BN$8))/(INDEX($D$5:$J$5,0,BN$8+1)-INDEX($D$5:$J$5,0,BN$8))+BM74)))</f>
        <v>133.35170923701128</v>
      </c>
      <c r="BO74" s="5" cm="1">
        <f t="array" ref="BO74">IF(BO$8=-1,BP74,IF(BO$8=99,BN74,IF(BO$8=0,INDEX($E74:$K74,0,BO$6),(INDEX($E74:$K74,0,BO$8+1)-INDEX($E74:$K74,0,BO$8))/(INDEX($D$5:$J$5,0,BO$8+1)-INDEX($D$5:$J$5,0,BO$8))+BN74)))</f>
        <v>133.35170923701128</v>
      </c>
      <c r="BP74" s="5" cm="1">
        <f t="array" ref="BP74">IF(BP$8=-1,BQ74,IF(BP$8=99,BO74,IF(BP$8=0,INDEX($E74:$K74,0,BP$6),(INDEX($E74:$K74,0,BP$8+1)-INDEX($E74:$K74,0,BP$8))/(INDEX($D$5:$J$5,0,BP$8+1)-INDEX($D$5:$J$5,0,BP$8))+BO74)))</f>
        <v>133.35170923701128</v>
      </c>
      <c r="BQ74" s="5" cm="1">
        <f t="array" ref="BQ74">IF(BQ$8=-1,BR74,IF(BQ$8=99,BP74,IF(BQ$8=0,INDEX($E74:$K74,0,BQ$6),(INDEX($E74:$K74,0,BQ$8+1)-INDEX($E74:$K74,0,BQ$8))/(INDEX($D$5:$J$5,0,BQ$8+1)-INDEX($D$5:$J$5,0,BQ$8))+BP74)))</f>
        <v>133.35170923701128</v>
      </c>
      <c r="BR74" s="5" cm="1">
        <f t="array" ref="BR74">IF(BR$8=-1,BS74,IF(BR$8=99,BQ74,IF(BR$8=0,INDEX($E74:$K74,0,BR$6),(INDEX($E74:$K74,0,BR$8+1)-INDEX($E74:$K74,0,BR$8))/(INDEX($D$5:$J$5,0,BR$8+1)-INDEX($D$5:$J$5,0,BR$8))+BQ74)))</f>
        <v>133.35170923701128</v>
      </c>
    </row>
    <row r="75" spans="1:70">
      <c r="A75" t="s">
        <v>16</v>
      </c>
      <c r="B75" s="223" t="s">
        <v>230</v>
      </c>
      <c r="C75" s="70" t="str">
        <f t="shared" si="136"/>
        <v>Commercial - Water Heating</v>
      </c>
      <c r="D75" s="70" t="s">
        <v>66</v>
      </c>
      <c r="E75" s="79">
        <f t="shared" si="140"/>
        <v>72.906473658117989</v>
      </c>
      <c r="F75" s="87">
        <f t="shared" si="141"/>
        <v>103.37272938194623</v>
      </c>
      <c r="G75" s="87">
        <f t="shared" si="137"/>
        <v>103.37272938194623</v>
      </c>
      <c r="H75" s="87">
        <f t="shared" si="142"/>
        <v>53.60857484701905</v>
      </c>
      <c r="I75" s="131">
        <f t="shared" si="137"/>
        <v>53.60857484701905</v>
      </c>
      <c r="J75" s="131">
        <f t="shared" si="138"/>
        <v>53.60857484701905</v>
      </c>
      <c r="K75" s="131">
        <f t="shared" si="139"/>
        <v>53.60857484701905</v>
      </c>
      <c r="L75" s="5" cm="1">
        <f t="array" ref="L75">IF(L$8=-1,M75,IF(L$8=99,I75,IF(L$8=0,INDEX($E75:$I75,0,L$6),(INDEX($E75:$I75,0,L$8+1)-INDEX($E75:$I75,0,L$8))/(INDEX($D$5:$H$5,0,L$8+1)-INDEX($D$5:$H$5,0,L$8))+I75)))</f>
        <v>72.906473658117989</v>
      </c>
      <c r="M75" s="5" cm="1">
        <f t="array" ref="M75">IF(M$8=-1,N75,IF(M$8=99,L75,IF(M$8=0,INDEX($E75:$I75,0,M$6),(INDEX($E75:$I75,0,M$8+1)-INDEX($E75:$I75,0,M$8))/(INDEX($D$5:$H$5,0,M$8+1)-INDEX($D$5:$H$5,0,M$8))+L75)))</f>
        <v>78.999724802883634</v>
      </c>
      <c r="N75" s="5" cm="1">
        <f t="array" ref="N75">IF(N$8=-1,O75,IF(N$8=99,M75,IF(N$8=0,INDEX($E75:$I75,0,N$6),(INDEX($E75:$I75,0,N$8+1)-INDEX($E75:$I75,0,N$8))/(INDEX($D$5:$H$5,0,N$8+1)-INDEX($D$5:$H$5,0,N$8))+M75)))</f>
        <v>85.092975947649279</v>
      </c>
      <c r="O75" s="5" cm="1">
        <f t="array" ref="O75">IF(O$8=-1,P75,IF(O$8=99,N75,IF(O$8=0,INDEX($E75:$I75,0,O$6),(INDEX($E75:$I75,0,O$8+1)-INDEX($E75:$I75,0,O$8))/(INDEX($D$5:$H$5,0,O$8+1)-INDEX($D$5:$H$5,0,O$8))+N75)))</f>
        <v>91.186227092414924</v>
      </c>
      <c r="P75" s="5" cm="1">
        <f t="array" ref="P75">IF(P$8=-1,Q75,IF(P$8=99,O75,IF(P$8=0,INDEX($E75:$I75,0,P$6),(INDEX($E75:$I75,0,P$8+1)-INDEX($E75:$I75,0,P$8))/(INDEX($D$5:$H$5,0,P$8+1)-INDEX($D$5:$H$5,0,P$8))+O75)))</f>
        <v>97.27947823718057</v>
      </c>
      <c r="Q75" s="5" cm="1">
        <f t="array" ref="Q75">IF(Q$8=-1,R75,IF(Q$8=99,P75,IF(Q$8=0,INDEX($E75:$I75,0,Q$6),(INDEX($E75:$I75,0,Q$8+1)-INDEX($E75:$I75,0,Q$8))/(INDEX($D$5:$H$5,0,Q$8+1)-INDEX($D$5:$H$5,0,Q$8))+P75)))</f>
        <v>103.37272938194623</v>
      </c>
      <c r="R75" s="5" cm="1">
        <f t="array" ref="R75">IF(R$8=-1,S75,IF(R$8=99,Q75,IF(R$8=0,INDEX($E75:$I75,0,R$6),(INDEX($E75:$I75,0,R$8+1)-INDEX($E75:$I75,0,R$8))/(INDEX($D$5:$H$5,0,R$8+1)-INDEX($D$5:$H$5,0,R$8))+Q75)))</f>
        <v>103.37272938194623</v>
      </c>
      <c r="S75" s="5" cm="1">
        <f t="array" ref="S75">IF(S$8=-1,T75,IF(S$8=99,R75,IF(S$8=0,INDEX($E75:$I75,0,S$6),(INDEX($E75:$I75,0,S$8+1)-INDEX($E75:$I75,0,S$8))/(INDEX($D$5:$H$5,0,S$8+1)-INDEX($D$5:$H$5,0,S$8))+R75)))</f>
        <v>103.37272938194623</v>
      </c>
      <c r="T75" s="5" cm="1">
        <f t="array" ref="T75">IF(T$8=-1,U75,IF(T$8=99,S75,IF(T$8=0,INDEX($E75:$I75,0,T$6),(INDEX($E75:$I75,0,T$8+1)-INDEX($E75:$I75,0,T$8))/(INDEX($D$5:$H$5,0,T$8+1)-INDEX($D$5:$H$5,0,T$8))+S75)))</f>
        <v>103.37272938194623</v>
      </c>
      <c r="U75" s="5" cm="1">
        <f t="array" ref="U75">IF(U$8=-1,V75,IF(U$8=99,T75,IF(U$8=0,INDEX($E75:$I75,0,U$6),(INDEX($E75:$I75,0,U$8+1)-INDEX($E75:$I75,0,U$8))/(INDEX($D$5:$H$5,0,U$8+1)-INDEX($D$5:$H$5,0,U$8))+T75)))</f>
        <v>98.396313928453509</v>
      </c>
      <c r="V75" s="5" cm="1">
        <f t="array" ref="V75">IF(V$8=-1,W75,IF(V$8=99,U75,IF(V$8=0,INDEX($E75:$I75,0,V$6),(INDEX($E75:$I75,0,V$8+1)-INDEX($E75:$I75,0,V$8))/(INDEX($D$5:$H$5,0,V$8+1)-INDEX($D$5:$H$5,0,V$8))+U75)))</f>
        <v>93.419898474960789</v>
      </c>
      <c r="W75" s="5" cm="1">
        <f t="array" ref="W75">IF(W$8=-1,X75,IF(W$8=99,V75,IF(W$8=0,INDEX($E75:$I75,0,W$6),(INDEX($E75:$I75,0,W$8+1)-INDEX($E75:$I75,0,W$8))/(INDEX($D$5:$H$5,0,W$8+1)-INDEX($D$5:$H$5,0,W$8))+V75)))</f>
        <v>88.443483021468069</v>
      </c>
      <c r="X75" s="5" cm="1">
        <f t="array" ref="X75">IF(X$8=-1,Y75,IF(X$8=99,W75,IF(X$8=0,INDEX($E75:$I75,0,X$6),(INDEX($E75:$I75,0,X$8+1)-INDEX($E75:$I75,0,X$8))/(INDEX($D$5:$H$5,0,X$8+1)-INDEX($D$5:$H$5,0,X$8))+W75)))</f>
        <v>83.467067567975349</v>
      </c>
      <c r="Y75" s="5" cm="1">
        <f t="array" ref="Y75">IF(Y$8=-1,Z75,IF(Y$8=99,X75,IF(Y$8=0,INDEX($E75:$I75,0,Y$6),(INDEX($E75:$I75,0,Y$8+1)-INDEX($E75:$I75,0,Y$8))/(INDEX($D$5:$H$5,0,Y$8+1)-INDEX($D$5:$H$5,0,Y$8))+X75)))</f>
        <v>78.490652114482629</v>
      </c>
      <c r="Z75" s="5" cm="1">
        <f t="array" ref="Z75">IF(Z$8=-1,AA75,IF(Z$8=99,Y75,IF(Z$8=0,INDEX($E75:$I75,0,Z$6),(INDEX($E75:$I75,0,Z$8+1)-INDEX($E75:$I75,0,Z$8))/(INDEX($D$5:$H$5,0,Z$8+1)-INDEX($D$5:$H$5,0,Z$8))+Y75)))</f>
        <v>73.514236660989909</v>
      </c>
      <c r="AA75" s="5" cm="1">
        <f t="array" ref="AA75">IF(AA$8=-1,AB75,IF(AA$8=99,Z75,IF(AA$8=0,INDEX($E75:$I75,0,AA$6),(INDEX($E75:$I75,0,AA$8+1)-INDEX($E75:$I75,0,AA$8))/(INDEX($D$5:$H$5,0,AA$8+1)-INDEX($D$5:$H$5,0,AA$8))+Z75)))</f>
        <v>68.537821207497188</v>
      </c>
      <c r="AB75" s="5" cm="1">
        <f t="array" ref="AB75">IF(AB$8=-1,AC75,IF(AB$8=99,AA75,IF(AB$8=0,INDEX($E75:$I75,0,AB$6),(INDEX($E75:$I75,0,AB$8+1)-INDEX($E75:$I75,0,AB$8))/(INDEX($D$5:$H$5,0,AB$8+1)-INDEX($D$5:$H$5,0,AB$8))+AA75)))</f>
        <v>63.561405754004468</v>
      </c>
      <c r="AC75" s="5" cm="1">
        <f t="array" ref="AC75">IF(AC$8=-1,AD75,IF(AC$8=99,AB75,IF(AC$8=0,INDEX($E75:$I75,0,AC$6),(INDEX($E75:$I75,0,AC$8+1)-INDEX($E75:$I75,0,AC$8))/(INDEX($D$5:$H$5,0,AC$8+1)-INDEX($D$5:$H$5,0,AC$8))+AB75)))</f>
        <v>58.584990300511748</v>
      </c>
      <c r="AD75" s="5" cm="1">
        <f t="array" ref="AD75">IF(AD$8=-1,AE75,IF(AD$8=99,AC75,IF(AD$8=0,INDEX($E75:$I75,0,AD$6),(INDEX($E75:$I75,0,AD$8+1)-INDEX($E75:$I75,0,AD$8))/(INDEX($D$5:$H$5,0,AD$8+1)-INDEX($D$5:$H$5,0,AD$8))+AC75)))</f>
        <v>53.60857484701905</v>
      </c>
      <c r="AE75" s="5" cm="1">
        <f t="array" ref="AE75">IF(AE$8=-1,AF75,IF(AE$8=99,AD75,IF(AE$8=0,INDEX($E75:$I75,0,AE$6),(INDEX($E75:$I75,0,AE$8+1)-INDEX($E75:$I75,0,AE$8))/(INDEX($D$5:$H$5,0,AE$8+1)-INDEX($D$5:$H$5,0,AE$8))+AD75)))</f>
        <v>53.60857484701905</v>
      </c>
      <c r="AF75" s="5" cm="1">
        <f t="array" ref="AF75">IF(AF$8=-1,AG75,IF(AF$8=99,AE75,IF(AF$8=0,INDEX($E75:$I75,0,AF$6),(INDEX($E75:$I75,0,AF$8+1)-INDEX($E75:$I75,0,AF$8))/(INDEX($D$5:$H$5,0,AF$8+1)-INDEX($D$5:$H$5,0,AF$8))+AE75)))</f>
        <v>53.60857484701905</v>
      </c>
      <c r="AG75" s="5" cm="1">
        <f t="array" ref="AG75">IF(AG$8=-1,AH75,IF(AG$8=99,AF75,IF(AG$8=0,INDEX($E75:$I75,0,AG$6),(INDEX($E75:$I75,0,AG$8+1)-INDEX($E75:$I75,0,AG$8))/(INDEX($D$5:$H$5,0,AG$8+1)-INDEX($D$5:$H$5,0,AG$8))+AF75)))</f>
        <v>53.60857484701905</v>
      </c>
      <c r="AH75" s="5" cm="1">
        <f t="array" ref="AH75">IF(AH$8=-1,AI75,IF(AH$8=99,AG75,IF(AH$8=0,INDEX($E75:$I75,0,AH$6),(INDEX($E75:$I75,0,AH$8+1)-INDEX($E75:$I75,0,AH$8))/(INDEX($D$5:$H$5,0,AH$8+1)-INDEX($D$5:$H$5,0,AH$8))+AG75)))</f>
        <v>53.60857484701905</v>
      </c>
      <c r="AI75" s="5" cm="1">
        <f t="array" ref="AI75">IF(AI$8=-1,AJ75,IF(AI$8=99,AH75,IF(AI$8=0,INDEX($E75:$I75,0,AI$6),(INDEX($E75:$I75,0,AI$8+1)-INDEX($E75:$I75,0,AI$8))/(INDEX($D$5:$H$5,0,AI$8+1)-INDEX($D$5:$H$5,0,AI$8))+AH75)))</f>
        <v>53.60857484701905</v>
      </c>
      <c r="AJ75" s="5" cm="1">
        <f t="array" ref="AJ75">IF(AJ$8=-1,AK75,IF(AJ$8=99,AI75,IF(AJ$8=0,INDEX($E75:$I75,0,AJ$6),(INDEX($E75:$I75,0,AJ$8+1)-INDEX($E75:$I75,0,AJ$8))/(INDEX($D$5:$H$5,0,AJ$8+1)-INDEX($D$5:$H$5,0,AJ$8))+AI75)))</f>
        <v>53.60857484701905</v>
      </c>
      <c r="AK75" s="5" cm="1">
        <f t="array" ref="AK75">IF(AK$8=-1,AL75,IF(AK$8=99,AJ75,IF(AK$8=0,INDEX($E75:$I75,0,AK$6),(INDEX($E75:$I75,0,AK$8+1)-INDEX($E75:$I75,0,AK$8))/(INDEX($D$5:$H$5,0,AK$8+1)-INDEX($D$5:$H$5,0,AK$8))+AJ75)))</f>
        <v>53.60857484701905</v>
      </c>
      <c r="AL75" s="5" cm="1">
        <f t="array" ref="AL75">IF(AL$8=-1,AM75,IF(AL$8=99,AK75,IF(AL$8=0,INDEX($E75:$I75,0,AL$6),(INDEX($E75:$I75,0,AL$8+1)-INDEX($E75:$I75,0,AL$8))/(INDEX($D$5:$H$5,0,AL$8+1)-INDEX($D$5:$H$5,0,AL$8))+AK75)))</f>
        <v>53.60857484701905</v>
      </c>
      <c r="AM75" s="5" cm="1">
        <f t="array" ref="AM75">IF(AM$8=-1,AN75,IF(AM$8=99,AL75,IF(AM$8=0,INDEX($E75:$I75,0,AM$6),(INDEX($E75:$I75,0,AM$8+1)-INDEX($E75:$I75,0,AM$8))/(INDEX($D$5:$H$5,0,AM$8+1)-INDEX($D$5:$H$5,0,AM$8))+AL75)))</f>
        <v>53.60857484701905</v>
      </c>
      <c r="AN75" s="5" cm="1">
        <f t="array" ref="AN75">IF(AN$8=-1,AO75,IF(AN$8=99,AM75,IF(AN$8=0,INDEX($E75:$I75,0,AN$6),(INDEX($E75:$I75,0,AN$8+1)-INDEX($E75:$I75,0,AN$8))/(INDEX($D$5:$H$5,0,AN$8+1)-INDEX($D$5:$H$5,0,AN$8))+AM75)))</f>
        <v>53.60857484701905</v>
      </c>
      <c r="AO75" s="5" cm="1">
        <f t="array" ref="AO75">IF(AO$8=-1,AP75,IF(AO$8=99,AN75,IF(AO$8=0,INDEX($E75:$K75,0,AO$6),(INDEX($E75:$K75,0,AO$8+1)-INDEX($E75:$K75,0,AO$8))/(INDEX($D$5:$J$5,0,AO$8+1)-INDEX($D$5:$J$5,0,AO$8))+AN75)))</f>
        <v>53.60857484701905</v>
      </c>
      <c r="AP75" s="5" cm="1">
        <f t="array" ref="AP75">IF(AP$8=-1,AQ75,IF(AP$8=99,AO75,IF(AP$8=0,INDEX($E75:$K75,0,AP$6),(INDEX($E75:$K75,0,AP$8+1)-INDEX($E75:$K75,0,AP$8))/(INDEX($D$5:$J$5,0,AP$8+1)-INDEX($D$5:$J$5,0,AP$8))+AO75)))</f>
        <v>53.60857484701905</v>
      </c>
      <c r="AQ75" s="5" cm="1">
        <f t="array" ref="AQ75">IF(AQ$8=-1,AR75,IF(AQ$8=99,AP75,IF(AQ$8=0,INDEX($E75:$K75,0,AQ$6),(INDEX($E75:$K75,0,AQ$8+1)-INDEX($E75:$K75,0,AQ$8))/(INDEX($D$5:$J$5,0,AQ$8+1)-INDEX($D$5:$J$5,0,AQ$8))+AP75)))</f>
        <v>53.60857484701905</v>
      </c>
      <c r="AR75" s="5" cm="1">
        <f t="array" ref="AR75">IF(AR$8=-1,AS75,IF(AR$8=99,AQ75,IF(AR$8=0,INDEX($E75:$K75,0,AR$6),(INDEX($E75:$K75,0,AR$8+1)-INDEX($E75:$K75,0,AR$8))/(INDEX($D$5:$J$5,0,AR$8+1)-INDEX($D$5:$J$5,0,AR$8))+AQ75)))</f>
        <v>53.60857484701905</v>
      </c>
      <c r="AS75" s="5" cm="1">
        <f t="array" ref="AS75">IF(AS$8=-1,AT75,IF(AS$8=99,AR75,IF(AS$8=0,INDEX($E75:$K75,0,AS$6),(INDEX($E75:$K75,0,AS$8+1)-INDEX($E75:$K75,0,AS$8))/(INDEX($D$5:$J$5,0,AS$8+1)-INDEX($D$5:$J$5,0,AS$8))+AR75)))</f>
        <v>53.60857484701905</v>
      </c>
      <c r="AT75" s="5" cm="1">
        <f t="array" ref="AT75">IF(AT$8=-1,AU75,IF(AT$8=99,AS75,IF(AT$8=0,INDEX($E75:$K75,0,AT$6),(INDEX($E75:$K75,0,AT$8+1)-INDEX($E75:$K75,0,AT$8))/(INDEX($D$5:$J$5,0,AT$8+1)-INDEX($D$5:$J$5,0,AT$8))+AS75)))</f>
        <v>53.60857484701905</v>
      </c>
      <c r="AU75" s="5" cm="1">
        <f t="array" ref="AU75">IF(AU$8=-1,AV75,IF(AU$8=99,AT75,IF(AU$8=0,INDEX($E75:$K75,0,AU$6),(INDEX($E75:$K75,0,AU$8+1)-INDEX($E75:$K75,0,AU$8))/(INDEX($D$5:$J$5,0,AU$8+1)-INDEX($D$5:$J$5,0,AU$8))+AT75)))</f>
        <v>53.60857484701905</v>
      </c>
      <c r="AV75" s="5" cm="1">
        <f t="array" ref="AV75">IF(AV$8=-1,AW75,IF(AV$8=99,AU75,IF(AV$8=0,INDEX($E75:$K75,0,AV$6),(INDEX($E75:$K75,0,AV$8+1)-INDEX($E75:$K75,0,AV$8))/(INDEX($D$5:$J$5,0,AV$8+1)-INDEX($D$5:$J$5,0,AV$8))+AU75)))</f>
        <v>53.60857484701905</v>
      </c>
      <c r="AW75" s="5" cm="1">
        <f t="array" ref="AW75">IF(AW$8=-1,AX75,IF(AW$8=99,AV75,IF(AW$8=0,INDEX($E75:$K75,0,AW$6),(INDEX($E75:$K75,0,AW$8+1)-INDEX($E75:$K75,0,AW$8))/(INDEX($D$5:$J$5,0,AW$8+1)-INDEX($D$5:$J$5,0,AW$8))+AV75)))</f>
        <v>53.60857484701905</v>
      </c>
      <c r="AX75" s="5" cm="1">
        <f t="array" ref="AX75">IF(AX$8=-1,AY75,IF(AX$8=99,AW75,IF(AX$8=0,INDEX($E75:$K75,0,AX$6),(INDEX($E75:$K75,0,AX$8+1)-INDEX($E75:$K75,0,AX$8))/(INDEX($D$5:$J$5,0,AX$8+1)-INDEX($D$5:$J$5,0,AX$8))+AW75)))</f>
        <v>53.60857484701905</v>
      </c>
      <c r="AY75" s="5" cm="1">
        <f t="array" ref="AY75">IF(AY$8=-1,AZ75,IF(AY$8=99,AX75,IF(AY$8=0,INDEX($E75:$K75,0,AY$6),(INDEX($E75:$K75,0,AY$8+1)-INDEX($E75:$K75,0,AY$8))/(INDEX($D$5:$J$5,0,AY$8+1)-INDEX($D$5:$J$5,0,AY$8))+AX75)))</f>
        <v>53.60857484701905</v>
      </c>
      <c r="AZ75" s="5" cm="1">
        <f t="array" ref="AZ75">IF(AZ$8=-1,BA75,IF(AZ$8=99,AY75,IF(AZ$8=0,INDEX($E75:$K75,0,AZ$6),(INDEX($E75:$K75,0,AZ$8+1)-INDEX($E75:$K75,0,AZ$8))/(INDEX($D$5:$J$5,0,AZ$8+1)-INDEX($D$5:$J$5,0,AZ$8))+AY75)))</f>
        <v>53.60857484701905</v>
      </c>
      <c r="BA75" s="5" cm="1">
        <f t="array" ref="BA75">IF(BA$8=-1,BB75,IF(BA$8=99,AZ75,IF(BA$8=0,INDEX($E75:$K75,0,BA$6),(INDEX($E75:$K75,0,BA$8+1)-INDEX($E75:$K75,0,BA$8))/(INDEX($D$5:$J$5,0,BA$8+1)-INDEX($D$5:$J$5,0,BA$8))+AZ75)))</f>
        <v>53.60857484701905</v>
      </c>
      <c r="BB75" s="5" cm="1">
        <f t="array" ref="BB75">IF(BB$8=-1,BC75,IF(BB$8=99,BA75,IF(BB$8=0,INDEX($E75:$K75,0,BB$6),(INDEX($E75:$K75,0,BB$8+1)-INDEX($E75:$K75,0,BB$8))/(INDEX($D$5:$J$5,0,BB$8+1)-INDEX($D$5:$J$5,0,BB$8))+BA75)))</f>
        <v>53.60857484701905</v>
      </c>
      <c r="BC75" s="5" cm="1">
        <f t="array" ref="BC75">IF(BC$8=-1,BD75,IF(BC$8=99,BB75,IF(BC$8=0,INDEX($E75:$K75,0,BC$6),(INDEX($E75:$K75,0,BC$8+1)-INDEX($E75:$K75,0,BC$8))/(INDEX($D$5:$J$5,0,BC$8+1)-INDEX($D$5:$J$5,0,BC$8))+BB75)))</f>
        <v>53.60857484701905</v>
      </c>
      <c r="BD75" s="5" cm="1">
        <f t="array" ref="BD75">IF(BD$8=-1,BE75,IF(BD$8=99,BC75,IF(BD$8=0,INDEX($E75:$K75,0,BD$6),(INDEX($E75:$K75,0,BD$8+1)-INDEX($E75:$K75,0,BD$8))/(INDEX($D$5:$J$5,0,BD$8+1)-INDEX($D$5:$J$5,0,BD$8))+BC75)))</f>
        <v>53.60857484701905</v>
      </c>
      <c r="BE75" s="5" cm="1">
        <f t="array" ref="BE75">IF(BE$8=-1,BF75,IF(BE$8=99,BD75,IF(BE$8=0,INDEX($E75:$K75,0,BE$6),(INDEX($E75:$K75,0,BE$8+1)-INDEX($E75:$K75,0,BE$8))/(INDEX($D$5:$J$5,0,BE$8+1)-INDEX($D$5:$J$5,0,BE$8))+BD75)))</f>
        <v>53.60857484701905</v>
      </c>
      <c r="BF75" s="5" cm="1">
        <f t="array" ref="BF75">IF(BF$8=-1,BG75,IF(BF$8=99,BE75,IF(BF$8=0,INDEX($E75:$K75,0,BF$6),(INDEX($E75:$K75,0,BF$8+1)-INDEX($E75:$K75,0,BF$8))/(INDEX($D$5:$J$5,0,BF$8+1)-INDEX($D$5:$J$5,0,BF$8))+BE75)))</f>
        <v>53.60857484701905</v>
      </c>
      <c r="BG75" s="5" cm="1">
        <f t="array" ref="BG75">IF(BG$8=-1,BH75,IF(BG$8=99,BF75,IF(BG$8=0,INDEX($E75:$K75,0,BG$6),(INDEX($E75:$K75,0,BG$8+1)-INDEX($E75:$K75,0,BG$8))/(INDEX($D$5:$J$5,0,BG$8+1)-INDEX($D$5:$J$5,0,BG$8))+BF75)))</f>
        <v>53.60857484701905</v>
      </c>
      <c r="BH75" s="5" cm="1">
        <f t="array" ref="BH75">IF(BH$8=-1,BI75,IF(BH$8=99,BG75,IF(BH$8=0,INDEX($E75:$K75,0,BH$6),(INDEX($E75:$K75,0,BH$8+1)-INDEX($E75:$K75,0,BH$8))/(INDEX($D$5:$J$5,0,BH$8+1)-INDEX($D$5:$J$5,0,BH$8))+BG75)))</f>
        <v>53.60857484701905</v>
      </c>
      <c r="BI75" s="5" cm="1">
        <f t="array" ref="BI75">IF(BI$8=-1,BJ75,IF(BI$8=99,BH75,IF(BI$8=0,INDEX($E75:$K75,0,BI$6),(INDEX($E75:$K75,0,BI$8+1)-INDEX($E75:$K75,0,BI$8))/(INDEX($D$5:$J$5,0,BI$8+1)-INDEX($D$5:$J$5,0,BI$8))+BH75)))</f>
        <v>53.60857484701905</v>
      </c>
      <c r="BJ75" s="5" cm="1">
        <f t="array" ref="BJ75">IF(BJ$8=-1,BK75,IF(BJ$8=99,BI75,IF(BJ$8=0,INDEX($E75:$K75,0,BJ$6),(INDEX($E75:$K75,0,BJ$8+1)-INDEX($E75:$K75,0,BJ$8))/(INDEX($D$5:$J$5,0,BJ$8+1)-INDEX($D$5:$J$5,0,BJ$8))+BI75)))</f>
        <v>53.60857484701905</v>
      </c>
      <c r="BK75" s="5" cm="1">
        <f t="array" ref="BK75">IF(BK$8=-1,BL75,IF(BK$8=99,BJ75,IF(BK$8=0,INDEX($E75:$K75,0,BK$6),(INDEX($E75:$K75,0,BK$8+1)-INDEX($E75:$K75,0,BK$8))/(INDEX($D$5:$J$5,0,BK$8+1)-INDEX($D$5:$J$5,0,BK$8))+BJ75)))</f>
        <v>53.60857484701905</v>
      </c>
      <c r="BL75" s="5" cm="1">
        <f t="array" ref="BL75">IF(BL$8=-1,BM75,IF(BL$8=99,BK75,IF(BL$8=0,INDEX($E75:$K75,0,BL$6),(INDEX($E75:$K75,0,BL$8+1)-INDEX($E75:$K75,0,BL$8))/(INDEX($D$5:$J$5,0,BL$8+1)-INDEX($D$5:$J$5,0,BL$8))+BK75)))</f>
        <v>53.60857484701905</v>
      </c>
      <c r="BM75" s="5" cm="1">
        <f t="array" ref="BM75">IF(BM$8=-1,BN75,IF(BM$8=99,BL75,IF(BM$8=0,INDEX($E75:$K75,0,BM$6),(INDEX($E75:$K75,0,BM$8+1)-INDEX($E75:$K75,0,BM$8))/(INDEX($D$5:$J$5,0,BM$8+1)-INDEX($D$5:$J$5,0,BM$8))+BL75)))</f>
        <v>53.60857484701905</v>
      </c>
      <c r="BN75" s="5" cm="1">
        <f t="array" ref="BN75">IF(BN$8=-1,BO75,IF(BN$8=99,BM75,IF(BN$8=0,INDEX($E75:$K75,0,BN$6),(INDEX($E75:$K75,0,BN$8+1)-INDEX($E75:$K75,0,BN$8))/(INDEX($D$5:$J$5,0,BN$8+1)-INDEX($D$5:$J$5,0,BN$8))+BM75)))</f>
        <v>53.60857484701905</v>
      </c>
      <c r="BO75" s="5" cm="1">
        <f t="array" ref="BO75">IF(BO$8=-1,BP75,IF(BO$8=99,BN75,IF(BO$8=0,INDEX($E75:$K75,0,BO$6),(INDEX($E75:$K75,0,BO$8+1)-INDEX($E75:$K75,0,BO$8))/(INDEX($D$5:$J$5,0,BO$8+1)-INDEX($D$5:$J$5,0,BO$8))+BN75)))</f>
        <v>53.60857484701905</v>
      </c>
      <c r="BP75" s="5" cm="1">
        <f t="array" ref="BP75">IF(BP$8=-1,BQ75,IF(BP$8=99,BO75,IF(BP$8=0,INDEX($E75:$K75,0,BP$6),(INDEX($E75:$K75,0,BP$8+1)-INDEX($E75:$K75,0,BP$8))/(INDEX($D$5:$J$5,0,BP$8+1)-INDEX($D$5:$J$5,0,BP$8))+BO75)))</f>
        <v>53.60857484701905</v>
      </c>
      <c r="BQ75" s="5" cm="1">
        <f t="array" ref="BQ75">IF(BQ$8=-1,BR75,IF(BQ$8=99,BP75,IF(BQ$8=0,INDEX($E75:$K75,0,BQ$6),(INDEX($E75:$K75,0,BQ$8+1)-INDEX($E75:$K75,0,BQ$8))/(INDEX($D$5:$J$5,0,BQ$8+1)-INDEX($D$5:$J$5,0,BQ$8))+BP75)))</f>
        <v>53.60857484701905</v>
      </c>
      <c r="BR75" s="5" cm="1">
        <f t="array" ref="BR75">IF(BR$8=-1,BS75,IF(BR$8=99,BQ75,IF(BR$8=0,INDEX($E75:$K75,0,BR$6),(INDEX($E75:$K75,0,BR$8+1)-INDEX($E75:$K75,0,BR$8))/(INDEX($D$5:$J$5,0,BR$8+1)-INDEX($D$5:$J$5,0,BR$8))+BQ75)))</f>
        <v>53.60857484701905</v>
      </c>
    </row>
    <row r="76" spans="1:70">
      <c r="A76" t="s">
        <v>16</v>
      </c>
      <c r="B76" s="223" t="s">
        <v>231</v>
      </c>
      <c r="C76" s="90" t="str">
        <f t="shared" si="136"/>
        <v>Commercial - Public lights</v>
      </c>
      <c r="D76" s="90" t="s">
        <v>66</v>
      </c>
      <c r="E76" s="147">
        <v>0</v>
      </c>
      <c r="F76" s="87">
        <v>0</v>
      </c>
      <c r="G76" s="148">
        <f t="shared" si="137"/>
        <v>0</v>
      </c>
      <c r="H76" s="87">
        <f t="shared" si="142"/>
        <v>0</v>
      </c>
      <c r="I76" s="149">
        <f t="shared" si="137"/>
        <v>0</v>
      </c>
      <c r="J76" s="149">
        <f t="shared" si="138"/>
        <v>0</v>
      </c>
      <c r="K76" s="149">
        <f t="shared" si="139"/>
        <v>0</v>
      </c>
      <c r="L76" s="5" cm="1">
        <f t="array" ref="L76">IF(L$8=-1,M76,IF(L$8=99,I76,IF(L$8=0,INDEX($E76:$I76,0,L$6),(INDEX($E76:$I76,0,L$8+1)-INDEX($E76:$I76,0,L$8))/(INDEX($D$5:$H$5,0,L$8+1)-INDEX($D$5:$H$5,0,L$8))+I76)))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IF(AO$8=-1,AP76,IF(AO$8=99,AN76,IF(AO$8=0,INDEX($E76:$K76,0,AO$6),(INDEX($E76:$K76,0,AO$8+1)-INDEX($E76:$K76,0,AO$8))/(INDEX($D$5:$J$5,0,AO$8+1)-INDEX($D$5:$J$5,0,AO$8))+AN76)))</f>
        <v>0</v>
      </c>
      <c r="AP76" s="5" cm="1">
        <f t="array" ref="AP76">IF(AP$8=-1,AQ76,IF(AP$8=99,AO76,IF(AP$8=0,INDEX($E76:$K76,0,AP$6),(INDEX($E76:$K76,0,AP$8+1)-INDEX($E76:$K76,0,AP$8))/(INDEX($D$5:$J$5,0,AP$8+1)-INDEX($D$5:$J$5,0,AP$8))+AO76)))</f>
        <v>0</v>
      </c>
      <c r="AQ76" s="5" cm="1">
        <f t="array" ref="AQ76">IF(AQ$8=-1,AR76,IF(AQ$8=99,AP76,IF(AQ$8=0,INDEX($E76:$K76,0,AQ$6),(INDEX($E76:$K76,0,AQ$8+1)-INDEX($E76:$K76,0,AQ$8))/(INDEX($D$5:$J$5,0,AQ$8+1)-INDEX($D$5:$J$5,0,AQ$8))+AP76)))</f>
        <v>0</v>
      </c>
      <c r="AR76" s="5" cm="1">
        <f t="array" ref="AR76">IF(AR$8=-1,AS76,IF(AR$8=99,AQ76,IF(AR$8=0,INDEX($E76:$K76,0,AR$6),(INDEX($E76:$K76,0,AR$8+1)-INDEX($E76:$K76,0,AR$8))/(INDEX($D$5:$J$5,0,AR$8+1)-INDEX($D$5:$J$5,0,AR$8))+AQ76)))</f>
        <v>0</v>
      </c>
      <c r="AS76" s="5" cm="1">
        <f t="array" ref="AS76">IF(AS$8=-1,AT76,IF(AS$8=99,AR76,IF(AS$8=0,INDEX($E76:$K76,0,AS$6),(INDEX($E76:$K76,0,AS$8+1)-INDEX($E76:$K76,0,AS$8))/(INDEX($D$5:$J$5,0,AS$8+1)-INDEX($D$5:$J$5,0,AS$8))+AR76)))</f>
        <v>0</v>
      </c>
      <c r="AT76" s="5" cm="1">
        <f t="array" ref="AT76">IF(AT$8=-1,AU76,IF(AT$8=99,AS76,IF(AT$8=0,INDEX($E76:$K76,0,AT$6),(INDEX($E76:$K76,0,AT$8+1)-INDEX($E76:$K76,0,AT$8))/(INDEX($D$5:$J$5,0,AT$8+1)-INDEX($D$5:$J$5,0,AT$8))+AS76)))</f>
        <v>0</v>
      </c>
      <c r="AU76" s="5" cm="1">
        <f t="array" ref="AU76">IF(AU$8=-1,AV76,IF(AU$8=99,AT76,IF(AU$8=0,INDEX($E76:$K76,0,AU$6),(INDEX($E76:$K76,0,AU$8+1)-INDEX($E76:$K76,0,AU$8))/(INDEX($D$5:$J$5,0,AU$8+1)-INDEX($D$5:$J$5,0,AU$8))+AT76)))</f>
        <v>0</v>
      </c>
      <c r="AV76" s="5" cm="1">
        <f t="array" ref="AV76">IF(AV$8=-1,AW76,IF(AV$8=99,AU76,IF(AV$8=0,INDEX($E76:$K76,0,AV$6),(INDEX($E76:$K76,0,AV$8+1)-INDEX($E76:$K76,0,AV$8))/(INDEX($D$5:$J$5,0,AV$8+1)-INDEX($D$5:$J$5,0,AV$8))+AU76)))</f>
        <v>0</v>
      </c>
      <c r="AW76" s="5" cm="1">
        <f t="array" ref="AW76">IF(AW$8=-1,AX76,IF(AW$8=99,AV76,IF(AW$8=0,INDEX($E76:$K76,0,AW$6),(INDEX($E76:$K76,0,AW$8+1)-INDEX($E76:$K76,0,AW$8))/(INDEX($D$5:$J$5,0,AW$8+1)-INDEX($D$5:$J$5,0,AW$8))+AV76)))</f>
        <v>0</v>
      </c>
      <c r="AX76" s="5" cm="1">
        <f t="array" ref="AX76">IF(AX$8=-1,AY76,IF(AX$8=99,AW76,IF(AX$8=0,INDEX($E76:$K76,0,AX$6),(INDEX($E76:$K76,0,AX$8+1)-INDEX($E76:$K76,0,AX$8))/(INDEX($D$5:$J$5,0,AX$8+1)-INDEX($D$5:$J$5,0,AX$8))+AW76)))</f>
        <v>0</v>
      </c>
      <c r="AY76" s="5" cm="1">
        <f t="array" ref="AY76">IF(AY$8=-1,AZ76,IF(AY$8=99,AX76,IF(AY$8=0,INDEX($E76:$K76,0,AY$6),(INDEX($E76:$K76,0,AY$8+1)-INDEX($E76:$K76,0,AY$8))/(INDEX($D$5:$J$5,0,AY$8+1)-INDEX($D$5:$J$5,0,AY$8))+AX76)))</f>
        <v>0</v>
      </c>
      <c r="AZ76" s="5" cm="1">
        <f t="array" ref="AZ76">IF(AZ$8=-1,BA76,IF(AZ$8=99,AY76,IF(AZ$8=0,INDEX($E76:$K76,0,AZ$6),(INDEX($E76:$K76,0,AZ$8+1)-INDEX($E76:$K76,0,AZ$8))/(INDEX($D$5:$J$5,0,AZ$8+1)-INDEX($D$5:$J$5,0,AZ$8))+AY76)))</f>
        <v>0</v>
      </c>
      <c r="BA76" s="5" cm="1">
        <f t="array" ref="BA76">IF(BA$8=-1,BB76,IF(BA$8=99,AZ76,IF(BA$8=0,INDEX($E76:$K76,0,BA$6),(INDEX($E76:$K76,0,BA$8+1)-INDEX($E76:$K76,0,BA$8))/(INDEX($D$5:$J$5,0,BA$8+1)-INDEX($D$5:$J$5,0,BA$8))+AZ76)))</f>
        <v>0</v>
      </c>
      <c r="BB76" s="5" cm="1">
        <f t="array" ref="BB76">IF(BB$8=-1,BC76,IF(BB$8=99,BA76,IF(BB$8=0,INDEX($E76:$K76,0,BB$6),(INDEX($E76:$K76,0,BB$8+1)-INDEX($E76:$K76,0,BB$8))/(INDEX($D$5:$J$5,0,BB$8+1)-INDEX($D$5:$J$5,0,BB$8))+BA76)))</f>
        <v>0</v>
      </c>
      <c r="BC76" s="5" cm="1">
        <f t="array" ref="BC76">IF(BC$8=-1,BD76,IF(BC$8=99,BB76,IF(BC$8=0,INDEX($E76:$K76,0,BC$6),(INDEX($E76:$K76,0,BC$8+1)-INDEX($E76:$K76,0,BC$8))/(INDEX($D$5:$J$5,0,BC$8+1)-INDEX($D$5:$J$5,0,BC$8))+BB76)))</f>
        <v>0</v>
      </c>
      <c r="BD76" s="5" cm="1">
        <f t="array" ref="BD76">IF(BD$8=-1,BE76,IF(BD$8=99,BC76,IF(BD$8=0,INDEX($E76:$K76,0,BD$6),(INDEX($E76:$K76,0,BD$8+1)-INDEX($E76:$K76,0,BD$8))/(INDEX($D$5:$J$5,0,BD$8+1)-INDEX($D$5:$J$5,0,BD$8))+BC76)))</f>
        <v>0</v>
      </c>
      <c r="BE76" s="5" cm="1">
        <f t="array" ref="BE76">IF(BE$8=-1,BF76,IF(BE$8=99,BD76,IF(BE$8=0,INDEX($E76:$K76,0,BE$6),(INDEX($E76:$K76,0,BE$8+1)-INDEX($E76:$K76,0,BE$8))/(INDEX($D$5:$J$5,0,BE$8+1)-INDEX($D$5:$J$5,0,BE$8))+BD76)))</f>
        <v>0</v>
      </c>
      <c r="BF76" s="5" cm="1">
        <f t="array" ref="BF76">IF(BF$8=-1,BG76,IF(BF$8=99,BE76,IF(BF$8=0,INDEX($E76:$K76,0,BF$6),(INDEX($E76:$K76,0,BF$8+1)-INDEX($E76:$K76,0,BF$8))/(INDEX($D$5:$J$5,0,BF$8+1)-INDEX($D$5:$J$5,0,BF$8))+BE76)))</f>
        <v>0</v>
      </c>
      <c r="BG76" s="5" cm="1">
        <f t="array" ref="BG76">IF(BG$8=-1,BH76,IF(BG$8=99,BF76,IF(BG$8=0,INDEX($E76:$K76,0,BG$6),(INDEX($E76:$K76,0,BG$8+1)-INDEX($E76:$K76,0,BG$8))/(INDEX($D$5:$J$5,0,BG$8+1)-INDEX($D$5:$J$5,0,BG$8))+BF76)))</f>
        <v>0</v>
      </c>
      <c r="BH76" s="5" cm="1">
        <f t="array" ref="BH76">IF(BH$8=-1,BI76,IF(BH$8=99,BG76,IF(BH$8=0,INDEX($E76:$K76,0,BH$6),(INDEX($E76:$K76,0,BH$8+1)-INDEX($E76:$K76,0,BH$8))/(INDEX($D$5:$J$5,0,BH$8+1)-INDEX($D$5:$J$5,0,BH$8))+BG76)))</f>
        <v>0</v>
      </c>
      <c r="BI76" s="5" cm="1">
        <f t="array" ref="BI76">IF(BI$8=-1,BJ76,IF(BI$8=99,BH76,IF(BI$8=0,INDEX($E76:$K76,0,BI$6),(INDEX($E76:$K76,0,BI$8+1)-INDEX($E76:$K76,0,BI$8))/(INDEX($D$5:$J$5,0,BI$8+1)-INDEX($D$5:$J$5,0,BI$8))+BH76)))</f>
        <v>0</v>
      </c>
      <c r="BJ76" s="5" cm="1">
        <f t="array" ref="BJ76">IF(BJ$8=-1,BK76,IF(BJ$8=99,BI76,IF(BJ$8=0,INDEX($E76:$K76,0,BJ$6),(INDEX($E76:$K76,0,BJ$8+1)-INDEX($E76:$K76,0,BJ$8))/(INDEX($D$5:$J$5,0,BJ$8+1)-INDEX($D$5:$J$5,0,BJ$8))+BI76)))</f>
        <v>0</v>
      </c>
      <c r="BK76" s="5" cm="1">
        <f t="array" ref="BK76">IF(BK$8=-1,BL76,IF(BK$8=99,BJ76,IF(BK$8=0,INDEX($E76:$K76,0,BK$6),(INDEX($E76:$K76,0,BK$8+1)-INDEX($E76:$K76,0,BK$8))/(INDEX($D$5:$J$5,0,BK$8+1)-INDEX($D$5:$J$5,0,BK$8))+BJ76)))</f>
        <v>0</v>
      </c>
      <c r="BL76" s="5" cm="1">
        <f t="array" ref="BL76">IF(BL$8=-1,BM76,IF(BL$8=99,BK76,IF(BL$8=0,INDEX($E76:$K76,0,BL$6),(INDEX($E76:$K76,0,BL$8+1)-INDEX($E76:$K76,0,BL$8))/(INDEX($D$5:$J$5,0,BL$8+1)-INDEX($D$5:$J$5,0,BL$8))+BK76)))</f>
        <v>0</v>
      </c>
      <c r="BM76" s="5" cm="1">
        <f t="array" ref="BM76">IF(BM$8=-1,BN76,IF(BM$8=99,BL76,IF(BM$8=0,INDEX($E76:$K76,0,BM$6),(INDEX($E76:$K76,0,BM$8+1)-INDEX($E76:$K76,0,BM$8))/(INDEX($D$5:$J$5,0,BM$8+1)-INDEX($D$5:$J$5,0,BM$8))+BL76)))</f>
        <v>0</v>
      </c>
      <c r="BN76" s="5" cm="1">
        <f t="array" ref="BN76">IF(BN$8=-1,BO76,IF(BN$8=99,BM76,IF(BN$8=0,INDEX($E76:$K76,0,BN$6),(INDEX($E76:$K76,0,BN$8+1)-INDEX($E76:$K76,0,BN$8))/(INDEX($D$5:$J$5,0,BN$8+1)-INDEX($D$5:$J$5,0,BN$8))+BM76)))</f>
        <v>0</v>
      </c>
      <c r="BO76" s="5" cm="1">
        <f t="array" ref="BO76">IF(BO$8=-1,BP76,IF(BO$8=99,BN76,IF(BO$8=0,INDEX($E76:$K76,0,BO$6),(INDEX($E76:$K76,0,BO$8+1)-INDEX($E76:$K76,0,BO$8))/(INDEX($D$5:$J$5,0,BO$8+1)-INDEX($D$5:$J$5,0,BO$8))+BN76)))</f>
        <v>0</v>
      </c>
      <c r="BP76" s="5" cm="1">
        <f t="array" ref="BP76">IF(BP$8=-1,BQ76,IF(BP$8=99,BO76,IF(BP$8=0,INDEX($E76:$K76,0,BP$6),(INDEX($E76:$K76,0,BP$8+1)-INDEX($E76:$K76,0,BP$8))/(INDEX($D$5:$J$5,0,BP$8+1)-INDEX($D$5:$J$5,0,BP$8))+BO76)))</f>
        <v>0</v>
      </c>
      <c r="BQ76" s="5" cm="1">
        <f t="array" ref="BQ76">IF(BQ$8=-1,BR76,IF(BQ$8=99,BP76,IF(BQ$8=0,INDEX($E76:$K76,0,BQ$6),(INDEX($E76:$K76,0,BQ$8+1)-INDEX($E76:$K76,0,BQ$8))/(INDEX($D$5:$J$5,0,BQ$8+1)-INDEX($D$5:$J$5,0,BQ$8))+BP76)))</f>
        <v>0</v>
      </c>
      <c r="BR76" s="5" cm="1">
        <f t="array" ref="BR76">IF(BR$8=-1,BS76,IF(BR$8=99,BQ76,IF(BR$8=0,INDEX($E76:$K76,0,BR$6),(INDEX($E76:$K76,0,BR$8+1)-INDEX($E76:$K76,0,BR$8))/(INDEX($D$5:$J$5,0,BR$8+1)-INDEX($D$5:$J$5,0,BR$8))+BQ76)))</f>
        <v>0</v>
      </c>
    </row>
    <row r="77" spans="1:70">
      <c r="A77" t="s">
        <v>16</v>
      </c>
      <c r="B77" s="223" t="s">
        <v>232</v>
      </c>
      <c r="C77" s="90" t="str">
        <f t="shared" si="136"/>
        <v>Commercial - Public Water</v>
      </c>
      <c r="D77" s="90" t="s">
        <v>66</v>
      </c>
      <c r="E77" s="147">
        <v>0</v>
      </c>
      <c r="F77" s="87">
        <v>0</v>
      </c>
      <c r="G77" s="148">
        <f t="shared" si="137"/>
        <v>0</v>
      </c>
      <c r="H77" s="87">
        <f t="shared" si="142"/>
        <v>0</v>
      </c>
      <c r="I77" s="149">
        <f t="shared" si="137"/>
        <v>0</v>
      </c>
      <c r="J77" s="149">
        <f t="shared" si="138"/>
        <v>0</v>
      </c>
      <c r="K77" s="149">
        <f t="shared" si="139"/>
        <v>0</v>
      </c>
      <c r="L77" s="5" cm="1">
        <f t="array" ref="L77">IF(L$8=-1,M77,IF(L$8=99,I77,IF(L$8=0,INDEX($E77:$I77,0,L$6),(INDEX($E77:$I77,0,L$8+1)-INDEX($E77:$I77,0,L$8))/(INDEX($D$5:$H$5,0,L$8+1)-INDEX($D$5:$H$5,0,L$8))+I77)))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IF(AO$8=-1,AP77,IF(AO$8=99,AN77,IF(AO$8=0,INDEX($E77:$K77,0,AO$6),(INDEX($E77:$K77,0,AO$8+1)-INDEX($E77:$K77,0,AO$8))/(INDEX($D$5:$J$5,0,AO$8+1)-INDEX($D$5:$J$5,0,AO$8))+AN77)))</f>
        <v>0</v>
      </c>
      <c r="AP77" s="5" cm="1">
        <f t="array" ref="AP77">IF(AP$8=-1,AQ77,IF(AP$8=99,AO77,IF(AP$8=0,INDEX($E77:$K77,0,AP$6),(INDEX($E77:$K77,0,AP$8+1)-INDEX($E77:$K77,0,AP$8))/(INDEX($D$5:$J$5,0,AP$8+1)-INDEX($D$5:$J$5,0,AP$8))+AO77)))</f>
        <v>0</v>
      </c>
      <c r="AQ77" s="5" cm="1">
        <f t="array" ref="AQ77">IF(AQ$8=-1,AR77,IF(AQ$8=99,AP77,IF(AQ$8=0,INDEX($E77:$K77,0,AQ$6),(INDEX($E77:$K77,0,AQ$8+1)-INDEX($E77:$K77,0,AQ$8))/(INDEX($D$5:$J$5,0,AQ$8+1)-INDEX($D$5:$J$5,0,AQ$8))+AP77)))</f>
        <v>0</v>
      </c>
      <c r="AR77" s="5" cm="1">
        <f t="array" ref="AR77">IF(AR$8=-1,AS77,IF(AR$8=99,AQ77,IF(AR$8=0,INDEX($E77:$K77,0,AR$6),(INDEX($E77:$K77,0,AR$8+1)-INDEX($E77:$K77,0,AR$8))/(INDEX($D$5:$J$5,0,AR$8+1)-INDEX($D$5:$J$5,0,AR$8))+AQ77)))</f>
        <v>0</v>
      </c>
      <c r="AS77" s="5" cm="1">
        <f t="array" ref="AS77">IF(AS$8=-1,AT77,IF(AS$8=99,AR77,IF(AS$8=0,INDEX($E77:$K77,0,AS$6),(INDEX($E77:$K77,0,AS$8+1)-INDEX($E77:$K77,0,AS$8))/(INDEX($D$5:$J$5,0,AS$8+1)-INDEX($D$5:$J$5,0,AS$8))+AR77)))</f>
        <v>0</v>
      </c>
      <c r="AT77" s="5" cm="1">
        <f t="array" ref="AT77">IF(AT$8=-1,AU77,IF(AT$8=99,AS77,IF(AT$8=0,INDEX($E77:$K77,0,AT$6),(INDEX($E77:$K77,0,AT$8+1)-INDEX($E77:$K77,0,AT$8))/(INDEX($D$5:$J$5,0,AT$8+1)-INDEX($D$5:$J$5,0,AT$8))+AS77)))</f>
        <v>0</v>
      </c>
      <c r="AU77" s="5" cm="1">
        <f t="array" ref="AU77">IF(AU$8=-1,AV77,IF(AU$8=99,AT77,IF(AU$8=0,INDEX($E77:$K77,0,AU$6),(INDEX($E77:$K77,0,AU$8+1)-INDEX($E77:$K77,0,AU$8))/(INDEX($D$5:$J$5,0,AU$8+1)-INDEX($D$5:$J$5,0,AU$8))+AT77)))</f>
        <v>0</v>
      </c>
      <c r="AV77" s="5" cm="1">
        <f t="array" ref="AV77">IF(AV$8=-1,AW77,IF(AV$8=99,AU77,IF(AV$8=0,INDEX($E77:$K77,0,AV$6),(INDEX($E77:$K77,0,AV$8+1)-INDEX($E77:$K77,0,AV$8))/(INDEX($D$5:$J$5,0,AV$8+1)-INDEX($D$5:$J$5,0,AV$8))+AU77)))</f>
        <v>0</v>
      </c>
      <c r="AW77" s="5" cm="1">
        <f t="array" ref="AW77">IF(AW$8=-1,AX77,IF(AW$8=99,AV77,IF(AW$8=0,INDEX($E77:$K77,0,AW$6),(INDEX($E77:$K77,0,AW$8+1)-INDEX($E77:$K77,0,AW$8))/(INDEX($D$5:$J$5,0,AW$8+1)-INDEX($D$5:$J$5,0,AW$8))+AV77)))</f>
        <v>0</v>
      </c>
      <c r="AX77" s="5" cm="1">
        <f t="array" ref="AX77">IF(AX$8=-1,AY77,IF(AX$8=99,AW77,IF(AX$8=0,INDEX($E77:$K77,0,AX$6),(INDEX($E77:$K77,0,AX$8+1)-INDEX($E77:$K77,0,AX$8))/(INDEX($D$5:$J$5,0,AX$8+1)-INDEX($D$5:$J$5,0,AX$8))+AW77)))</f>
        <v>0</v>
      </c>
      <c r="AY77" s="5" cm="1">
        <f t="array" ref="AY77">IF(AY$8=-1,AZ77,IF(AY$8=99,AX77,IF(AY$8=0,INDEX($E77:$K77,0,AY$6),(INDEX($E77:$K77,0,AY$8+1)-INDEX($E77:$K77,0,AY$8))/(INDEX($D$5:$J$5,0,AY$8+1)-INDEX($D$5:$J$5,0,AY$8))+AX77)))</f>
        <v>0</v>
      </c>
      <c r="AZ77" s="5" cm="1">
        <f t="array" ref="AZ77">IF(AZ$8=-1,BA77,IF(AZ$8=99,AY77,IF(AZ$8=0,INDEX($E77:$K77,0,AZ$6),(INDEX($E77:$K77,0,AZ$8+1)-INDEX($E77:$K77,0,AZ$8))/(INDEX($D$5:$J$5,0,AZ$8+1)-INDEX($D$5:$J$5,0,AZ$8))+AY77)))</f>
        <v>0</v>
      </c>
      <c r="BA77" s="5" cm="1">
        <f t="array" ref="BA77">IF(BA$8=-1,BB77,IF(BA$8=99,AZ77,IF(BA$8=0,INDEX($E77:$K77,0,BA$6),(INDEX($E77:$K77,0,BA$8+1)-INDEX($E77:$K77,0,BA$8))/(INDEX($D$5:$J$5,0,BA$8+1)-INDEX($D$5:$J$5,0,BA$8))+AZ77)))</f>
        <v>0</v>
      </c>
      <c r="BB77" s="5" cm="1">
        <f t="array" ref="BB77">IF(BB$8=-1,BC77,IF(BB$8=99,BA77,IF(BB$8=0,INDEX($E77:$K77,0,BB$6),(INDEX($E77:$K77,0,BB$8+1)-INDEX($E77:$K77,0,BB$8))/(INDEX($D$5:$J$5,0,BB$8+1)-INDEX($D$5:$J$5,0,BB$8))+BA77)))</f>
        <v>0</v>
      </c>
      <c r="BC77" s="5" cm="1">
        <f t="array" ref="BC77">IF(BC$8=-1,BD77,IF(BC$8=99,BB77,IF(BC$8=0,INDEX($E77:$K77,0,BC$6),(INDEX($E77:$K77,0,BC$8+1)-INDEX($E77:$K77,0,BC$8))/(INDEX($D$5:$J$5,0,BC$8+1)-INDEX($D$5:$J$5,0,BC$8))+BB77)))</f>
        <v>0</v>
      </c>
      <c r="BD77" s="5" cm="1">
        <f t="array" ref="BD77">IF(BD$8=-1,BE77,IF(BD$8=99,BC77,IF(BD$8=0,INDEX($E77:$K77,0,BD$6),(INDEX($E77:$K77,0,BD$8+1)-INDEX($E77:$K77,0,BD$8))/(INDEX($D$5:$J$5,0,BD$8+1)-INDEX($D$5:$J$5,0,BD$8))+BC77)))</f>
        <v>0</v>
      </c>
      <c r="BE77" s="5" cm="1">
        <f t="array" ref="BE77">IF(BE$8=-1,BF77,IF(BE$8=99,BD77,IF(BE$8=0,INDEX($E77:$K77,0,BE$6),(INDEX($E77:$K77,0,BE$8+1)-INDEX($E77:$K77,0,BE$8))/(INDEX($D$5:$J$5,0,BE$8+1)-INDEX($D$5:$J$5,0,BE$8))+BD77)))</f>
        <v>0</v>
      </c>
      <c r="BF77" s="5" cm="1">
        <f t="array" ref="BF77">IF(BF$8=-1,BG77,IF(BF$8=99,BE77,IF(BF$8=0,INDEX($E77:$K77,0,BF$6),(INDEX($E77:$K77,0,BF$8+1)-INDEX($E77:$K77,0,BF$8))/(INDEX($D$5:$J$5,0,BF$8+1)-INDEX($D$5:$J$5,0,BF$8))+BE77)))</f>
        <v>0</v>
      </c>
      <c r="BG77" s="5" cm="1">
        <f t="array" ref="BG77">IF(BG$8=-1,BH77,IF(BG$8=99,BF77,IF(BG$8=0,INDEX($E77:$K77,0,BG$6),(INDEX($E77:$K77,0,BG$8+1)-INDEX($E77:$K77,0,BG$8))/(INDEX($D$5:$J$5,0,BG$8+1)-INDEX($D$5:$J$5,0,BG$8))+BF77)))</f>
        <v>0</v>
      </c>
      <c r="BH77" s="5" cm="1">
        <f t="array" ref="BH77">IF(BH$8=-1,BI77,IF(BH$8=99,BG77,IF(BH$8=0,INDEX($E77:$K77,0,BH$6),(INDEX($E77:$K77,0,BH$8+1)-INDEX($E77:$K77,0,BH$8))/(INDEX($D$5:$J$5,0,BH$8+1)-INDEX($D$5:$J$5,0,BH$8))+BG77)))</f>
        <v>0</v>
      </c>
      <c r="BI77" s="5" cm="1">
        <f t="array" ref="BI77">IF(BI$8=-1,BJ77,IF(BI$8=99,BH77,IF(BI$8=0,INDEX($E77:$K77,0,BI$6),(INDEX($E77:$K77,0,BI$8+1)-INDEX($E77:$K77,0,BI$8))/(INDEX($D$5:$J$5,0,BI$8+1)-INDEX($D$5:$J$5,0,BI$8))+BH77)))</f>
        <v>0</v>
      </c>
      <c r="BJ77" s="5" cm="1">
        <f t="array" ref="BJ77">IF(BJ$8=-1,BK77,IF(BJ$8=99,BI77,IF(BJ$8=0,INDEX($E77:$K77,0,BJ$6),(INDEX($E77:$K77,0,BJ$8+1)-INDEX($E77:$K77,0,BJ$8))/(INDEX($D$5:$J$5,0,BJ$8+1)-INDEX($D$5:$J$5,0,BJ$8))+BI77)))</f>
        <v>0</v>
      </c>
      <c r="BK77" s="5" cm="1">
        <f t="array" ref="BK77">IF(BK$8=-1,BL77,IF(BK$8=99,BJ77,IF(BK$8=0,INDEX($E77:$K77,0,BK$6),(INDEX($E77:$K77,0,BK$8+1)-INDEX($E77:$K77,0,BK$8))/(INDEX($D$5:$J$5,0,BK$8+1)-INDEX($D$5:$J$5,0,BK$8))+BJ77)))</f>
        <v>0</v>
      </c>
      <c r="BL77" s="5" cm="1">
        <f t="array" ref="BL77">IF(BL$8=-1,BM77,IF(BL$8=99,BK77,IF(BL$8=0,INDEX($E77:$K77,0,BL$6),(INDEX($E77:$K77,0,BL$8+1)-INDEX($E77:$K77,0,BL$8))/(INDEX($D$5:$J$5,0,BL$8+1)-INDEX($D$5:$J$5,0,BL$8))+BK77)))</f>
        <v>0</v>
      </c>
      <c r="BM77" s="5" cm="1">
        <f t="array" ref="BM77">IF(BM$8=-1,BN77,IF(BM$8=99,BL77,IF(BM$8=0,INDEX($E77:$K77,0,BM$6),(INDEX($E77:$K77,0,BM$8+1)-INDEX($E77:$K77,0,BM$8))/(INDEX($D$5:$J$5,0,BM$8+1)-INDEX($D$5:$J$5,0,BM$8))+BL77)))</f>
        <v>0</v>
      </c>
      <c r="BN77" s="5" cm="1">
        <f t="array" ref="BN77">IF(BN$8=-1,BO77,IF(BN$8=99,BM77,IF(BN$8=0,INDEX($E77:$K77,0,BN$6),(INDEX($E77:$K77,0,BN$8+1)-INDEX($E77:$K77,0,BN$8))/(INDEX($D$5:$J$5,0,BN$8+1)-INDEX($D$5:$J$5,0,BN$8))+BM77)))</f>
        <v>0</v>
      </c>
      <c r="BO77" s="5" cm="1">
        <f t="array" ref="BO77">IF(BO$8=-1,BP77,IF(BO$8=99,BN77,IF(BO$8=0,INDEX($E77:$K77,0,BO$6),(INDEX($E77:$K77,0,BO$8+1)-INDEX($E77:$K77,0,BO$8))/(INDEX($D$5:$J$5,0,BO$8+1)-INDEX($D$5:$J$5,0,BO$8))+BN77)))</f>
        <v>0</v>
      </c>
      <c r="BP77" s="5" cm="1">
        <f t="array" ref="BP77">IF(BP$8=-1,BQ77,IF(BP$8=99,BO77,IF(BP$8=0,INDEX($E77:$K77,0,BP$6),(INDEX($E77:$K77,0,BP$8+1)-INDEX($E77:$K77,0,BP$8))/(INDEX($D$5:$J$5,0,BP$8+1)-INDEX($D$5:$J$5,0,BP$8))+BO77)))</f>
        <v>0</v>
      </c>
      <c r="BQ77" s="5" cm="1">
        <f t="array" ref="BQ77">IF(BQ$8=-1,BR77,IF(BQ$8=99,BP77,IF(BQ$8=0,INDEX($E77:$K77,0,BQ$6),(INDEX($E77:$K77,0,BQ$8+1)-INDEX($E77:$K77,0,BQ$8))/(INDEX($D$5:$J$5,0,BQ$8+1)-INDEX($D$5:$J$5,0,BQ$8))+BP77)))</f>
        <v>0</v>
      </c>
      <c r="BR77" s="5" cm="1">
        <f t="array" ref="BR77">IF(BR$8=-1,BS77,IF(BR$8=99,BQ77,IF(BR$8=0,INDEX($E77:$K77,0,BR$6),(INDEX($E77:$K77,0,BR$8+1)-INDEX($E77:$K77,0,BR$8))/(INDEX($D$5:$J$5,0,BR$8+1)-INDEX($D$5:$J$5,0,BR$8))+BQ77)))</f>
        <v>0</v>
      </c>
    </row>
    <row r="78" spans="1:70">
      <c r="A78" t="s">
        <v>16</v>
      </c>
      <c r="B78" s="223" t="s">
        <v>233</v>
      </c>
      <c r="C78" s="70" t="str">
        <f t="shared" si="136"/>
        <v>Commercial - Other</v>
      </c>
      <c r="D78" s="70" t="s">
        <v>66</v>
      </c>
      <c r="E78" s="79">
        <f>$D64/L$23</f>
        <v>141.24997285391134</v>
      </c>
      <c r="F78" s="87">
        <f t="shared" si="141"/>
        <v>145.08075848468391</v>
      </c>
      <c r="G78" s="87">
        <f t="shared" si="137"/>
        <v>145.08075848468391</v>
      </c>
      <c r="H78" s="87">
        <f t="shared" si="142"/>
        <v>89.952840876918827</v>
      </c>
      <c r="I78" s="131">
        <f t="shared" si="137"/>
        <v>89.952840876918827</v>
      </c>
      <c r="J78" s="131">
        <f t="shared" si="138"/>
        <v>89.952840876918827</v>
      </c>
      <c r="K78" s="131">
        <f t="shared" si="139"/>
        <v>89.952840876918827</v>
      </c>
      <c r="L78" s="5" cm="1">
        <f t="array" ref="L78">IF(L$8=-1,M78,IF(L$8=99,I78,IF(L$8=0,INDEX($E78:$I78,0,L$6),(INDEX($E78:$I78,0,L$8+1)-INDEX($E78:$I78,0,L$8))/(INDEX($D$5:$H$5,0,L$8+1)-INDEX($D$5:$H$5,0,L$8))+I78)))</f>
        <v>141.24997285391134</v>
      </c>
      <c r="M78" s="5" cm="1">
        <f t="array" ref="M78">IF(M$8=-1,N78,IF(M$8=99,L78,IF(M$8=0,INDEX($E78:$I78,0,M$6),(INDEX($E78:$I78,0,M$8+1)-INDEX($E78:$I78,0,M$8))/(INDEX($D$5:$H$5,0,M$8+1)-INDEX($D$5:$H$5,0,M$8))+L78)))</f>
        <v>142.01612998006587</v>
      </c>
      <c r="N78" s="5" cm="1">
        <f t="array" ref="N78">IF(N$8=-1,O78,IF(N$8=99,M78,IF(N$8=0,INDEX($E78:$I78,0,N$6),(INDEX($E78:$I78,0,N$8+1)-INDEX($E78:$I78,0,N$8))/(INDEX($D$5:$H$5,0,N$8+1)-INDEX($D$5:$H$5,0,N$8))+M78)))</f>
        <v>142.78228710622039</v>
      </c>
      <c r="O78" s="5" cm="1">
        <f t="array" ref="O78">IF(O$8=-1,P78,IF(O$8=99,N78,IF(O$8=0,INDEX($E78:$I78,0,O$6),(INDEX($E78:$I78,0,O$8+1)-INDEX($E78:$I78,0,O$8))/(INDEX($D$5:$H$5,0,O$8+1)-INDEX($D$5:$H$5,0,O$8))+N78)))</f>
        <v>143.54844423237492</v>
      </c>
      <c r="P78" s="5" cm="1">
        <f t="array" ref="P78">IF(P$8=-1,Q78,IF(P$8=99,O78,IF(P$8=0,INDEX($E78:$I78,0,P$6),(INDEX($E78:$I78,0,P$8+1)-INDEX($E78:$I78,0,P$8))/(INDEX($D$5:$H$5,0,P$8+1)-INDEX($D$5:$H$5,0,P$8))+O78)))</f>
        <v>144.31460135852944</v>
      </c>
      <c r="Q78" s="5" cm="1">
        <f t="array" ref="Q78">IF(Q$8=-1,R78,IF(Q$8=99,P78,IF(Q$8=0,INDEX($E78:$I78,0,Q$6),(INDEX($E78:$I78,0,Q$8+1)-INDEX($E78:$I78,0,Q$8))/(INDEX($D$5:$H$5,0,Q$8+1)-INDEX($D$5:$H$5,0,Q$8))+P78)))</f>
        <v>145.08075848468391</v>
      </c>
      <c r="R78" s="5" cm="1">
        <f t="array" ref="R78">IF(R$8=-1,S78,IF(R$8=99,Q78,IF(R$8=0,INDEX($E78:$I78,0,R$6),(INDEX($E78:$I78,0,R$8+1)-INDEX($E78:$I78,0,R$8))/(INDEX($D$5:$H$5,0,R$8+1)-INDEX($D$5:$H$5,0,R$8))+Q78)))</f>
        <v>145.08075848468391</v>
      </c>
      <c r="S78" s="5" cm="1">
        <f t="array" ref="S78">IF(S$8=-1,T78,IF(S$8=99,R78,IF(S$8=0,INDEX($E78:$I78,0,S$6),(INDEX($E78:$I78,0,S$8+1)-INDEX($E78:$I78,0,S$8))/(INDEX($D$5:$H$5,0,S$8+1)-INDEX($D$5:$H$5,0,S$8))+R78)))</f>
        <v>145.08075848468391</v>
      </c>
      <c r="T78" s="5" cm="1">
        <f t="array" ref="T78">IF(T$8=-1,U78,IF(T$8=99,S78,IF(T$8=0,INDEX($E78:$I78,0,T$6),(INDEX($E78:$I78,0,T$8+1)-INDEX($E78:$I78,0,T$8))/(INDEX($D$5:$H$5,0,T$8+1)-INDEX($D$5:$H$5,0,T$8))+S78)))</f>
        <v>145.08075848468391</v>
      </c>
      <c r="U78" s="5" cm="1">
        <f t="array" ref="U78">IF(U$8=-1,V78,IF(U$8=99,T78,IF(U$8=0,INDEX($E78:$I78,0,U$6),(INDEX($E78:$I78,0,U$8+1)-INDEX($E78:$I78,0,U$8))/(INDEX($D$5:$H$5,0,U$8+1)-INDEX($D$5:$H$5,0,U$8))+T78)))</f>
        <v>139.5679667239074</v>
      </c>
      <c r="V78" s="5" cm="1">
        <f t="array" ref="V78">IF(V$8=-1,W78,IF(V$8=99,U78,IF(V$8=0,INDEX($E78:$I78,0,V$6),(INDEX($E78:$I78,0,V$8+1)-INDEX($E78:$I78,0,V$8))/(INDEX($D$5:$H$5,0,V$8+1)-INDEX($D$5:$H$5,0,V$8))+U78)))</f>
        <v>134.0551749631309</v>
      </c>
      <c r="W78" s="5" cm="1">
        <f t="array" ref="W78">IF(W$8=-1,X78,IF(W$8=99,V78,IF(W$8=0,INDEX($E78:$I78,0,W$6),(INDEX($E78:$I78,0,W$8+1)-INDEX($E78:$I78,0,W$8))/(INDEX($D$5:$H$5,0,W$8+1)-INDEX($D$5:$H$5,0,W$8))+V78)))</f>
        <v>128.54238320235439</v>
      </c>
      <c r="X78" s="5" cm="1">
        <f t="array" ref="X78">IF(X$8=-1,Y78,IF(X$8=99,W78,IF(X$8=0,INDEX($E78:$I78,0,X$6),(INDEX($E78:$I78,0,X$8+1)-INDEX($E78:$I78,0,X$8))/(INDEX($D$5:$H$5,0,X$8+1)-INDEX($D$5:$H$5,0,X$8))+W78)))</f>
        <v>123.02959144157788</v>
      </c>
      <c r="Y78" s="5" cm="1">
        <f t="array" ref="Y78">IF(Y$8=-1,Z78,IF(Y$8=99,X78,IF(Y$8=0,INDEX($E78:$I78,0,Y$6),(INDEX($E78:$I78,0,Y$8+1)-INDEX($E78:$I78,0,Y$8))/(INDEX($D$5:$H$5,0,Y$8+1)-INDEX($D$5:$H$5,0,Y$8))+X78)))</f>
        <v>117.51679968080137</v>
      </c>
      <c r="Z78" s="5" cm="1">
        <f t="array" ref="Z78">IF(Z$8=-1,AA78,IF(Z$8=99,Y78,IF(Z$8=0,INDEX($E78:$I78,0,Z$6),(INDEX($E78:$I78,0,Z$8+1)-INDEX($E78:$I78,0,Z$8))/(INDEX($D$5:$H$5,0,Z$8+1)-INDEX($D$5:$H$5,0,Z$8))+Y78)))</f>
        <v>112.00400792002486</v>
      </c>
      <c r="AA78" s="5" cm="1">
        <f t="array" ref="AA78">IF(AA$8=-1,AB78,IF(AA$8=99,Z78,IF(AA$8=0,INDEX($E78:$I78,0,AA$6),(INDEX($E78:$I78,0,AA$8+1)-INDEX($E78:$I78,0,AA$8))/(INDEX($D$5:$H$5,0,AA$8+1)-INDEX($D$5:$H$5,0,AA$8))+Z78)))</f>
        <v>106.49121615924835</v>
      </c>
      <c r="AB78" s="5" cm="1">
        <f t="array" ref="AB78">IF(AB$8=-1,AC78,IF(AB$8=99,AA78,IF(AB$8=0,INDEX($E78:$I78,0,AB$6),(INDEX($E78:$I78,0,AB$8+1)-INDEX($E78:$I78,0,AB$8))/(INDEX($D$5:$H$5,0,AB$8+1)-INDEX($D$5:$H$5,0,AB$8))+AA78)))</f>
        <v>100.97842439847184</v>
      </c>
      <c r="AC78" s="5" cm="1">
        <f t="array" ref="AC78">IF(AC$8=-1,AD78,IF(AC$8=99,AB78,IF(AC$8=0,INDEX($E78:$I78,0,AC$6),(INDEX($E78:$I78,0,AC$8+1)-INDEX($E78:$I78,0,AC$8))/(INDEX($D$5:$H$5,0,AC$8+1)-INDEX($D$5:$H$5,0,AC$8))+AB78)))</f>
        <v>95.465632637695336</v>
      </c>
      <c r="AD78" s="5" cm="1">
        <f t="array" ref="AD78">IF(AD$8=-1,AE78,IF(AD$8=99,AC78,IF(AD$8=0,INDEX($E78:$I78,0,AD$6),(INDEX($E78:$I78,0,AD$8+1)-INDEX($E78:$I78,0,AD$8))/(INDEX($D$5:$H$5,0,AD$8+1)-INDEX($D$5:$H$5,0,AD$8))+AC78)))</f>
        <v>89.952840876918827</v>
      </c>
      <c r="AE78" s="5" cm="1">
        <f t="array" ref="AE78">IF(AE$8=-1,AF78,IF(AE$8=99,AD78,IF(AE$8=0,INDEX($E78:$I78,0,AE$6),(INDEX($E78:$I78,0,AE$8+1)-INDEX($E78:$I78,0,AE$8))/(INDEX($D$5:$H$5,0,AE$8+1)-INDEX($D$5:$H$5,0,AE$8))+AD78)))</f>
        <v>89.952840876918827</v>
      </c>
      <c r="AF78" s="5" cm="1">
        <f t="array" ref="AF78">IF(AF$8=-1,AG78,IF(AF$8=99,AE78,IF(AF$8=0,INDEX($E78:$I78,0,AF$6),(INDEX($E78:$I78,0,AF$8+1)-INDEX($E78:$I78,0,AF$8))/(INDEX($D$5:$H$5,0,AF$8+1)-INDEX($D$5:$H$5,0,AF$8))+AE78)))</f>
        <v>89.952840876918827</v>
      </c>
      <c r="AG78" s="5" cm="1">
        <f t="array" ref="AG78">IF(AG$8=-1,AH78,IF(AG$8=99,AF78,IF(AG$8=0,INDEX($E78:$I78,0,AG$6),(INDEX($E78:$I78,0,AG$8+1)-INDEX($E78:$I78,0,AG$8))/(INDEX($D$5:$H$5,0,AG$8+1)-INDEX($D$5:$H$5,0,AG$8))+AF78)))</f>
        <v>89.952840876918827</v>
      </c>
      <c r="AH78" s="5" cm="1">
        <f t="array" ref="AH78">IF(AH$8=-1,AI78,IF(AH$8=99,AG78,IF(AH$8=0,INDEX($E78:$I78,0,AH$6),(INDEX($E78:$I78,0,AH$8+1)-INDEX($E78:$I78,0,AH$8))/(INDEX($D$5:$H$5,0,AH$8+1)-INDEX($D$5:$H$5,0,AH$8))+AG78)))</f>
        <v>89.952840876918827</v>
      </c>
      <c r="AI78" s="5" cm="1">
        <f t="array" ref="AI78">IF(AI$8=-1,AJ78,IF(AI$8=99,AH78,IF(AI$8=0,INDEX($E78:$I78,0,AI$6),(INDEX($E78:$I78,0,AI$8+1)-INDEX($E78:$I78,0,AI$8))/(INDEX($D$5:$H$5,0,AI$8+1)-INDEX($D$5:$H$5,0,AI$8))+AH78)))</f>
        <v>89.952840876918827</v>
      </c>
      <c r="AJ78" s="5" cm="1">
        <f t="array" ref="AJ78">IF(AJ$8=-1,AK78,IF(AJ$8=99,AI78,IF(AJ$8=0,INDEX($E78:$I78,0,AJ$6),(INDEX($E78:$I78,0,AJ$8+1)-INDEX($E78:$I78,0,AJ$8))/(INDEX($D$5:$H$5,0,AJ$8+1)-INDEX($D$5:$H$5,0,AJ$8))+AI78)))</f>
        <v>89.952840876918827</v>
      </c>
      <c r="AK78" s="5" cm="1">
        <f t="array" ref="AK78">IF(AK$8=-1,AL78,IF(AK$8=99,AJ78,IF(AK$8=0,INDEX($E78:$I78,0,AK$6),(INDEX($E78:$I78,0,AK$8+1)-INDEX($E78:$I78,0,AK$8))/(INDEX($D$5:$H$5,0,AK$8+1)-INDEX($D$5:$H$5,0,AK$8))+AJ78)))</f>
        <v>89.952840876918827</v>
      </c>
      <c r="AL78" s="5" cm="1">
        <f t="array" ref="AL78">IF(AL$8=-1,AM78,IF(AL$8=99,AK78,IF(AL$8=0,INDEX($E78:$I78,0,AL$6),(INDEX($E78:$I78,0,AL$8+1)-INDEX($E78:$I78,0,AL$8))/(INDEX($D$5:$H$5,0,AL$8+1)-INDEX($D$5:$H$5,0,AL$8))+AK78)))</f>
        <v>89.952840876918827</v>
      </c>
      <c r="AM78" s="5" cm="1">
        <f t="array" ref="AM78">IF(AM$8=-1,AN78,IF(AM$8=99,AL78,IF(AM$8=0,INDEX($E78:$I78,0,AM$6),(INDEX($E78:$I78,0,AM$8+1)-INDEX($E78:$I78,0,AM$8))/(INDEX($D$5:$H$5,0,AM$8+1)-INDEX($D$5:$H$5,0,AM$8))+AL78)))</f>
        <v>89.952840876918827</v>
      </c>
      <c r="AN78" s="5" cm="1">
        <f t="array" ref="AN78">IF(AN$8=-1,AO78,IF(AN$8=99,AM78,IF(AN$8=0,INDEX($E78:$I78,0,AN$6),(INDEX($E78:$I78,0,AN$8+1)-INDEX($E78:$I78,0,AN$8))/(INDEX($D$5:$H$5,0,AN$8+1)-INDEX($D$5:$H$5,0,AN$8))+AM78)))</f>
        <v>89.952840876918827</v>
      </c>
      <c r="AO78" s="5" cm="1">
        <f t="array" ref="AO78">IF(AO$8=-1,AP78,IF(AO$8=99,AN78,IF(AO$8=0,INDEX($E78:$K78,0,AO$6),(INDEX($E78:$K78,0,AO$8+1)-INDEX($E78:$K78,0,AO$8))/(INDEX($D$5:$J$5,0,AO$8+1)-INDEX($D$5:$J$5,0,AO$8))+AN78)))</f>
        <v>89.952840876918827</v>
      </c>
      <c r="AP78" s="5" cm="1">
        <f t="array" ref="AP78">IF(AP$8=-1,AQ78,IF(AP$8=99,AO78,IF(AP$8=0,INDEX($E78:$K78,0,AP$6),(INDEX($E78:$K78,0,AP$8+1)-INDEX($E78:$K78,0,AP$8))/(INDEX($D$5:$J$5,0,AP$8+1)-INDEX($D$5:$J$5,0,AP$8))+AO78)))</f>
        <v>89.952840876918827</v>
      </c>
      <c r="AQ78" s="5" cm="1">
        <f t="array" ref="AQ78">IF(AQ$8=-1,AR78,IF(AQ$8=99,AP78,IF(AQ$8=0,INDEX($E78:$K78,0,AQ$6),(INDEX($E78:$K78,0,AQ$8+1)-INDEX($E78:$K78,0,AQ$8))/(INDEX($D$5:$J$5,0,AQ$8+1)-INDEX($D$5:$J$5,0,AQ$8))+AP78)))</f>
        <v>89.952840876918827</v>
      </c>
      <c r="AR78" s="5" cm="1">
        <f t="array" ref="AR78">IF(AR$8=-1,AS78,IF(AR$8=99,AQ78,IF(AR$8=0,INDEX($E78:$K78,0,AR$6),(INDEX($E78:$K78,0,AR$8+1)-INDEX($E78:$K78,0,AR$8))/(INDEX($D$5:$J$5,0,AR$8+1)-INDEX($D$5:$J$5,0,AR$8))+AQ78)))</f>
        <v>89.952840876918827</v>
      </c>
      <c r="AS78" s="5" cm="1">
        <f t="array" ref="AS78">IF(AS$8=-1,AT78,IF(AS$8=99,AR78,IF(AS$8=0,INDEX($E78:$K78,0,AS$6),(INDEX($E78:$K78,0,AS$8+1)-INDEX($E78:$K78,0,AS$8))/(INDEX($D$5:$J$5,0,AS$8+1)-INDEX($D$5:$J$5,0,AS$8))+AR78)))</f>
        <v>89.952840876918827</v>
      </c>
      <c r="AT78" s="5" cm="1">
        <f t="array" ref="AT78">IF(AT$8=-1,AU78,IF(AT$8=99,AS78,IF(AT$8=0,INDEX($E78:$K78,0,AT$6),(INDEX($E78:$K78,0,AT$8+1)-INDEX($E78:$K78,0,AT$8))/(INDEX($D$5:$J$5,0,AT$8+1)-INDEX($D$5:$J$5,0,AT$8))+AS78)))</f>
        <v>89.952840876918827</v>
      </c>
      <c r="AU78" s="5" cm="1">
        <f t="array" ref="AU78">IF(AU$8=-1,AV78,IF(AU$8=99,AT78,IF(AU$8=0,INDEX($E78:$K78,0,AU$6),(INDEX($E78:$K78,0,AU$8+1)-INDEX($E78:$K78,0,AU$8))/(INDEX($D$5:$J$5,0,AU$8+1)-INDEX($D$5:$J$5,0,AU$8))+AT78)))</f>
        <v>89.952840876918827</v>
      </c>
      <c r="AV78" s="5" cm="1">
        <f t="array" ref="AV78">IF(AV$8=-1,AW78,IF(AV$8=99,AU78,IF(AV$8=0,INDEX($E78:$K78,0,AV$6),(INDEX($E78:$K78,0,AV$8+1)-INDEX($E78:$K78,0,AV$8))/(INDEX($D$5:$J$5,0,AV$8+1)-INDEX($D$5:$J$5,0,AV$8))+AU78)))</f>
        <v>89.952840876918827</v>
      </c>
      <c r="AW78" s="5" cm="1">
        <f t="array" ref="AW78">IF(AW$8=-1,AX78,IF(AW$8=99,AV78,IF(AW$8=0,INDEX($E78:$K78,0,AW$6),(INDEX($E78:$K78,0,AW$8+1)-INDEX($E78:$K78,0,AW$8))/(INDEX($D$5:$J$5,0,AW$8+1)-INDEX($D$5:$J$5,0,AW$8))+AV78)))</f>
        <v>89.952840876918827</v>
      </c>
      <c r="AX78" s="5" cm="1">
        <f t="array" ref="AX78">IF(AX$8=-1,AY78,IF(AX$8=99,AW78,IF(AX$8=0,INDEX($E78:$K78,0,AX$6),(INDEX($E78:$K78,0,AX$8+1)-INDEX($E78:$K78,0,AX$8))/(INDEX($D$5:$J$5,0,AX$8+1)-INDEX($D$5:$J$5,0,AX$8))+AW78)))</f>
        <v>89.952840876918827</v>
      </c>
      <c r="AY78" s="5" cm="1">
        <f t="array" ref="AY78">IF(AY$8=-1,AZ78,IF(AY$8=99,AX78,IF(AY$8=0,INDEX($E78:$K78,0,AY$6),(INDEX($E78:$K78,0,AY$8+1)-INDEX($E78:$K78,0,AY$8))/(INDEX($D$5:$J$5,0,AY$8+1)-INDEX($D$5:$J$5,0,AY$8))+AX78)))</f>
        <v>89.952840876918827</v>
      </c>
      <c r="AZ78" s="5" cm="1">
        <f t="array" ref="AZ78">IF(AZ$8=-1,BA78,IF(AZ$8=99,AY78,IF(AZ$8=0,INDEX($E78:$K78,0,AZ$6),(INDEX($E78:$K78,0,AZ$8+1)-INDEX($E78:$K78,0,AZ$8))/(INDEX($D$5:$J$5,0,AZ$8+1)-INDEX($D$5:$J$5,0,AZ$8))+AY78)))</f>
        <v>89.952840876918827</v>
      </c>
      <c r="BA78" s="5" cm="1">
        <f t="array" ref="BA78">IF(BA$8=-1,BB78,IF(BA$8=99,AZ78,IF(BA$8=0,INDEX($E78:$K78,0,BA$6),(INDEX($E78:$K78,0,BA$8+1)-INDEX($E78:$K78,0,BA$8))/(INDEX($D$5:$J$5,0,BA$8+1)-INDEX($D$5:$J$5,0,BA$8))+AZ78)))</f>
        <v>89.952840876918827</v>
      </c>
      <c r="BB78" s="5" cm="1">
        <f t="array" ref="BB78">IF(BB$8=-1,BC78,IF(BB$8=99,BA78,IF(BB$8=0,INDEX($E78:$K78,0,BB$6),(INDEX($E78:$K78,0,BB$8+1)-INDEX($E78:$K78,0,BB$8))/(INDEX($D$5:$J$5,0,BB$8+1)-INDEX($D$5:$J$5,0,BB$8))+BA78)))</f>
        <v>89.952840876918827</v>
      </c>
      <c r="BC78" s="5" cm="1">
        <f t="array" ref="BC78">IF(BC$8=-1,BD78,IF(BC$8=99,BB78,IF(BC$8=0,INDEX($E78:$K78,0,BC$6),(INDEX($E78:$K78,0,BC$8+1)-INDEX($E78:$K78,0,BC$8))/(INDEX($D$5:$J$5,0,BC$8+1)-INDEX($D$5:$J$5,0,BC$8))+BB78)))</f>
        <v>89.952840876918827</v>
      </c>
      <c r="BD78" s="5" cm="1">
        <f t="array" ref="BD78">IF(BD$8=-1,BE78,IF(BD$8=99,BC78,IF(BD$8=0,INDEX($E78:$K78,0,BD$6),(INDEX($E78:$K78,0,BD$8+1)-INDEX($E78:$K78,0,BD$8))/(INDEX($D$5:$J$5,0,BD$8+1)-INDEX($D$5:$J$5,0,BD$8))+BC78)))</f>
        <v>89.952840876918827</v>
      </c>
      <c r="BE78" s="5" cm="1">
        <f t="array" ref="BE78">IF(BE$8=-1,BF78,IF(BE$8=99,BD78,IF(BE$8=0,INDEX($E78:$K78,0,BE$6),(INDEX($E78:$K78,0,BE$8+1)-INDEX($E78:$K78,0,BE$8))/(INDEX($D$5:$J$5,0,BE$8+1)-INDEX($D$5:$J$5,0,BE$8))+BD78)))</f>
        <v>89.952840876918827</v>
      </c>
      <c r="BF78" s="5" cm="1">
        <f t="array" ref="BF78">IF(BF$8=-1,BG78,IF(BF$8=99,BE78,IF(BF$8=0,INDEX($E78:$K78,0,BF$6),(INDEX($E78:$K78,0,BF$8+1)-INDEX($E78:$K78,0,BF$8))/(INDEX($D$5:$J$5,0,BF$8+1)-INDEX($D$5:$J$5,0,BF$8))+BE78)))</f>
        <v>89.952840876918827</v>
      </c>
      <c r="BG78" s="5" cm="1">
        <f t="array" ref="BG78">IF(BG$8=-1,BH78,IF(BG$8=99,BF78,IF(BG$8=0,INDEX($E78:$K78,0,BG$6),(INDEX($E78:$K78,0,BG$8+1)-INDEX($E78:$K78,0,BG$8))/(INDEX($D$5:$J$5,0,BG$8+1)-INDEX($D$5:$J$5,0,BG$8))+BF78)))</f>
        <v>89.952840876918827</v>
      </c>
      <c r="BH78" s="5" cm="1">
        <f t="array" ref="BH78">IF(BH$8=-1,BI78,IF(BH$8=99,BG78,IF(BH$8=0,INDEX($E78:$K78,0,BH$6),(INDEX($E78:$K78,0,BH$8+1)-INDEX($E78:$K78,0,BH$8))/(INDEX($D$5:$J$5,0,BH$8+1)-INDEX($D$5:$J$5,0,BH$8))+BG78)))</f>
        <v>89.952840876918827</v>
      </c>
      <c r="BI78" s="5" cm="1">
        <f t="array" ref="BI78">IF(BI$8=-1,BJ78,IF(BI$8=99,BH78,IF(BI$8=0,INDEX($E78:$K78,0,BI$6),(INDEX($E78:$K78,0,BI$8+1)-INDEX($E78:$K78,0,BI$8))/(INDEX($D$5:$J$5,0,BI$8+1)-INDEX($D$5:$J$5,0,BI$8))+BH78)))</f>
        <v>89.952840876918827</v>
      </c>
      <c r="BJ78" s="5" cm="1">
        <f t="array" ref="BJ78">IF(BJ$8=-1,BK78,IF(BJ$8=99,BI78,IF(BJ$8=0,INDEX($E78:$K78,0,BJ$6),(INDEX($E78:$K78,0,BJ$8+1)-INDEX($E78:$K78,0,BJ$8))/(INDEX($D$5:$J$5,0,BJ$8+1)-INDEX($D$5:$J$5,0,BJ$8))+BI78)))</f>
        <v>89.952840876918827</v>
      </c>
      <c r="BK78" s="5" cm="1">
        <f t="array" ref="BK78">IF(BK$8=-1,BL78,IF(BK$8=99,BJ78,IF(BK$8=0,INDEX($E78:$K78,0,BK$6),(INDEX($E78:$K78,0,BK$8+1)-INDEX($E78:$K78,0,BK$8))/(INDEX($D$5:$J$5,0,BK$8+1)-INDEX($D$5:$J$5,0,BK$8))+BJ78)))</f>
        <v>89.952840876918827</v>
      </c>
      <c r="BL78" s="5" cm="1">
        <f t="array" ref="BL78">IF(BL$8=-1,BM78,IF(BL$8=99,BK78,IF(BL$8=0,INDEX($E78:$K78,0,BL$6),(INDEX($E78:$K78,0,BL$8+1)-INDEX($E78:$K78,0,BL$8))/(INDEX($D$5:$J$5,0,BL$8+1)-INDEX($D$5:$J$5,0,BL$8))+BK78)))</f>
        <v>89.952840876918827</v>
      </c>
      <c r="BM78" s="5" cm="1">
        <f t="array" ref="BM78">IF(BM$8=-1,BN78,IF(BM$8=99,BL78,IF(BM$8=0,INDEX($E78:$K78,0,BM$6),(INDEX($E78:$K78,0,BM$8+1)-INDEX($E78:$K78,0,BM$8))/(INDEX($D$5:$J$5,0,BM$8+1)-INDEX($D$5:$J$5,0,BM$8))+BL78)))</f>
        <v>89.952840876918827</v>
      </c>
      <c r="BN78" s="5" cm="1">
        <f t="array" ref="BN78">IF(BN$8=-1,BO78,IF(BN$8=99,BM78,IF(BN$8=0,INDEX($E78:$K78,0,BN$6),(INDEX($E78:$K78,0,BN$8+1)-INDEX($E78:$K78,0,BN$8))/(INDEX($D$5:$J$5,0,BN$8+1)-INDEX($D$5:$J$5,0,BN$8))+BM78)))</f>
        <v>89.952840876918827</v>
      </c>
      <c r="BO78" s="5" cm="1">
        <f t="array" ref="BO78">IF(BO$8=-1,BP78,IF(BO$8=99,BN78,IF(BO$8=0,INDEX($E78:$K78,0,BO$6),(INDEX($E78:$K78,0,BO$8+1)-INDEX($E78:$K78,0,BO$8))/(INDEX($D$5:$J$5,0,BO$8+1)-INDEX($D$5:$J$5,0,BO$8))+BN78)))</f>
        <v>89.952840876918827</v>
      </c>
      <c r="BP78" s="5" cm="1">
        <f t="array" ref="BP78">IF(BP$8=-1,BQ78,IF(BP$8=99,BO78,IF(BP$8=0,INDEX($E78:$K78,0,BP$6),(INDEX($E78:$K78,0,BP$8+1)-INDEX($E78:$K78,0,BP$8))/(INDEX($D$5:$J$5,0,BP$8+1)-INDEX($D$5:$J$5,0,BP$8))+BO78)))</f>
        <v>89.952840876918827</v>
      </c>
      <c r="BQ78" s="5" cm="1">
        <f t="array" ref="BQ78">IF(BQ$8=-1,BR78,IF(BQ$8=99,BP78,IF(BQ$8=0,INDEX($E78:$K78,0,BQ$6),(INDEX($E78:$K78,0,BQ$8+1)-INDEX($E78:$K78,0,BQ$8))/(INDEX($D$5:$J$5,0,BQ$8+1)-INDEX($D$5:$J$5,0,BQ$8))+BP78)))</f>
        <v>89.952840876918827</v>
      </c>
      <c r="BR78" s="5" cm="1">
        <f t="array" ref="BR78">IF(BR$8=-1,BS78,IF(BR$8=99,BQ78,IF(BR$8=0,INDEX($E78:$K78,0,BR$6),(INDEX($E78:$K78,0,BR$8+1)-INDEX($E78:$K78,0,BR$8))/(INDEX($D$5:$J$5,0,BR$8+1)-INDEX($D$5:$J$5,0,BR$8))+BQ78)))</f>
        <v>89.952840876918827</v>
      </c>
    </row>
    <row r="79" spans="1:70">
      <c r="A79" t="s">
        <v>16</v>
      </c>
      <c r="B79" s="223"/>
      <c r="I79" s="150"/>
      <c r="J79" s="150"/>
      <c r="K79" s="150"/>
      <c r="M79"/>
      <c r="N79"/>
      <c r="O79"/>
      <c r="P79"/>
      <c r="Q79"/>
      <c r="R79"/>
      <c r="S79"/>
      <c r="T79" s="5"/>
      <c r="U79"/>
      <c r="V79"/>
      <c r="W79"/>
      <c r="X79"/>
      <c r="Y79"/>
      <c r="Z79"/>
      <c r="AA79"/>
      <c r="AB79"/>
      <c r="AC79"/>
      <c r="AD79"/>
      <c r="AE79"/>
      <c r="AF79"/>
      <c r="AG79"/>
      <c r="AH79"/>
      <c r="AI79"/>
      <c r="AJ79"/>
      <c r="AK79"/>
      <c r="AL79"/>
      <c r="AM79"/>
      <c r="AN79"/>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row>
    <row r="80" spans="1:70" ht="15.75" thickBot="1">
      <c r="A80" t="s">
        <v>16</v>
      </c>
      <c r="B80" s="86" t="s">
        <v>68</v>
      </c>
      <c r="C80" s="67"/>
      <c r="D80" s="68"/>
      <c r="H80" s="124"/>
      <c r="I80" s="132"/>
      <c r="J80" s="132"/>
      <c r="K80" s="132"/>
      <c r="M80" s="70"/>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row>
    <row r="81" spans="1:70">
      <c r="A81" t="s">
        <v>16</v>
      </c>
      <c r="B81" s="223" t="s">
        <v>234</v>
      </c>
      <c r="C81" s="70" t="str">
        <f t="shared" ref="C81:C89" si="143">C70</f>
        <v>Commercial - Cooling</v>
      </c>
      <c r="D81" s="70" t="s">
        <v>66</v>
      </c>
      <c r="E81" s="79">
        <f>E70</f>
        <v>1051.567060091292</v>
      </c>
      <c r="F81" s="87">
        <f>F70</f>
        <v>922.3353159822409</v>
      </c>
      <c r="G81" s="87">
        <f t="shared" ref="G81:G89" si="144">F81</f>
        <v>922.3353159822409</v>
      </c>
      <c r="H81" s="87">
        <f>IF($N$57=-1,G81,((F81-E81)*2/5+E81)*(1+$H$69))</f>
        <v>629.92084834203308</v>
      </c>
      <c r="I81" s="131">
        <f t="shared" ref="I81:I89" si="145">H81</f>
        <v>629.92084834203308</v>
      </c>
      <c r="J81" s="131">
        <f t="shared" ref="J81:J89" si="146">I81</f>
        <v>629.92084834203308</v>
      </c>
      <c r="K81" s="131">
        <f t="shared" ref="K81:K89" si="147">J81</f>
        <v>629.92084834203308</v>
      </c>
      <c r="L81" s="5" cm="1">
        <f t="array" ref="L81">IF(L$8=-1,M81,IF(L$8=99,I81,IF(L$8=0,INDEX($E81:$I81,0,L$6),(INDEX($E81:$I81,0,L$8+1)-INDEX($E81:$I81,0,L$8))/(INDEX($D$5:$H$5,0,L$8+1)-INDEX($D$5:$H$5,0,L$8))+I81)))</f>
        <v>1051.567060091292</v>
      </c>
      <c r="M81" s="5" cm="1">
        <f t="array" ref="M81">IF(M$8=-1,N81,IF(M$8=99,L81,IF(M$8=0,INDEX($E81:$I81,0,M$6),(INDEX($E81:$I81,0,M$8+1)-INDEX($E81:$I81,0,M$8))/(INDEX($D$5:$H$5,0,M$8+1)-INDEX($D$5:$H$5,0,M$8))+L81)))</f>
        <v>1025.7207112694819</v>
      </c>
      <c r="N81" s="5" cm="1">
        <f t="array" ref="N81">IF(N$8=-1,O81,IF(N$8=99,M81,IF(N$8=0,INDEX($E81:$I81,0,N$6),(INDEX($E81:$I81,0,N$8+1)-INDEX($E81:$I81,0,N$8))/(INDEX($D$5:$H$5,0,N$8+1)-INDEX($D$5:$H$5,0,N$8))+M81)))</f>
        <v>999.87436244767161</v>
      </c>
      <c r="O81" s="5" cm="1">
        <f t="array" ref="O81">IF(O$8=-1,P81,IF(O$8=99,N81,IF(O$8=0,INDEX($E81:$I81,0,O$6),(INDEX($E81:$I81,0,O$8+1)-INDEX($E81:$I81,0,O$8))/(INDEX($D$5:$H$5,0,O$8+1)-INDEX($D$5:$H$5,0,O$8))+N81)))</f>
        <v>974.02801362586138</v>
      </c>
      <c r="P81" s="5" cm="1">
        <f t="array" ref="P81">IF(P$8=-1,Q81,IF(P$8=99,O81,IF(P$8=0,INDEX($E81:$I81,0,P$6),(INDEX($E81:$I81,0,P$8+1)-INDEX($E81:$I81,0,P$8))/(INDEX($D$5:$H$5,0,P$8+1)-INDEX($D$5:$H$5,0,P$8))+O81)))</f>
        <v>948.18166480405114</v>
      </c>
      <c r="Q81" s="5" cm="1">
        <f t="array" ref="Q81">IF(Q$8=-1,R81,IF(Q$8=99,P81,IF(Q$8=0,INDEX($E81:$I81,0,Q$6),(INDEX($E81:$I81,0,Q$8+1)-INDEX($E81:$I81,0,Q$8))/(INDEX($D$5:$H$5,0,Q$8+1)-INDEX($D$5:$H$5,0,Q$8))+P81)))</f>
        <v>922.3353159822409</v>
      </c>
      <c r="R81" s="5" cm="1">
        <f t="array" ref="R81">IF(R$8=-1,S81,IF(R$8=99,Q81,IF(R$8=0,INDEX($E81:$I81,0,R$6),(INDEX($E81:$I81,0,R$8+1)-INDEX($E81:$I81,0,R$8))/(INDEX($D$5:$H$5,0,R$8+1)-INDEX($D$5:$H$5,0,R$8))+Q81)))</f>
        <v>922.3353159822409</v>
      </c>
      <c r="S81" s="5" cm="1">
        <f t="array" ref="S81">IF(S$8=-1,T81,IF(S$8=99,R81,IF(S$8=0,INDEX($E81:$I81,0,S$6),(INDEX($E81:$I81,0,S$8+1)-INDEX($E81:$I81,0,S$8))/(INDEX($D$5:$H$5,0,S$8+1)-INDEX($D$5:$H$5,0,S$8))+R81)))</f>
        <v>922.3353159822409</v>
      </c>
      <c r="T81" s="5" cm="1">
        <f t="array" ref="T81">IF(T$8=-1,U81,IF(T$8=99,S81,IF(T$8=0,INDEX($E81:$I81,0,T$6),(INDEX($E81:$I81,0,T$8+1)-INDEX($E81:$I81,0,T$8))/(INDEX($D$5:$H$5,0,T$8+1)-INDEX($D$5:$H$5,0,T$8))+S81)))</f>
        <v>922.3353159822409</v>
      </c>
      <c r="U81" s="5" cm="1">
        <f t="array" ref="U81">IF(U$8=-1,V81,IF(U$8=99,T81,IF(U$8=0,INDEX($E81:$I81,0,U$6),(INDEX($E81:$I81,0,U$8+1)-INDEX($E81:$I81,0,U$8))/(INDEX($D$5:$H$5,0,U$8+1)-INDEX($D$5:$H$5,0,U$8))+T81)))</f>
        <v>893.09386921822011</v>
      </c>
      <c r="V81" s="5" cm="1">
        <f t="array" ref="V81">IF(V$8=-1,W81,IF(V$8=99,U81,IF(V$8=0,INDEX($E81:$I81,0,V$6),(INDEX($E81:$I81,0,V$8+1)-INDEX($E81:$I81,0,V$8))/(INDEX($D$5:$H$5,0,V$8+1)-INDEX($D$5:$H$5,0,V$8))+U81)))</f>
        <v>863.85242245419931</v>
      </c>
      <c r="W81" s="5" cm="1">
        <f t="array" ref="W81">IF(W$8=-1,X81,IF(W$8=99,V81,IF(W$8=0,INDEX($E81:$I81,0,W$6),(INDEX($E81:$I81,0,W$8+1)-INDEX($E81:$I81,0,W$8))/(INDEX($D$5:$H$5,0,W$8+1)-INDEX($D$5:$H$5,0,W$8))+V81)))</f>
        <v>834.61097569017852</v>
      </c>
      <c r="X81" s="5" cm="1">
        <f t="array" ref="X81">IF(X$8=-1,Y81,IF(X$8=99,W81,IF(X$8=0,INDEX($E81:$I81,0,X$6),(INDEX($E81:$I81,0,X$8+1)-INDEX($E81:$I81,0,X$8))/(INDEX($D$5:$H$5,0,X$8+1)-INDEX($D$5:$H$5,0,X$8))+W81)))</f>
        <v>805.36952892615773</v>
      </c>
      <c r="Y81" s="5" cm="1">
        <f t="array" ref="Y81">IF(Y$8=-1,Z81,IF(Y$8=99,X81,IF(Y$8=0,INDEX($E81:$I81,0,Y$6),(INDEX($E81:$I81,0,Y$8+1)-INDEX($E81:$I81,0,Y$8))/(INDEX($D$5:$H$5,0,Y$8+1)-INDEX($D$5:$H$5,0,Y$8))+X81)))</f>
        <v>776.12808216213693</v>
      </c>
      <c r="Z81" s="5" cm="1">
        <f t="array" ref="Z81">IF(Z$8=-1,AA81,IF(Z$8=99,Y81,IF(Z$8=0,INDEX($E81:$I81,0,Z$6),(INDEX($E81:$I81,0,Z$8+1)-INDEX($E81:$I81,0,Z$8))/(INDEX($D$5:$H$5,0,Z$8+1)-INDEX($D$5:$H$5,0,Z$8))+Y81)))</f>
        <v>746.88663539811614</v>
      </c>
      <c r="AA81" s="5" cm="1">
        <f t="array" ref="AA81">IF(AA$8=-1,AB81,IF(AA$8=99,Z81,IF(AA$8=0,INDEX($E81:$I81,0,AA$6),(INDEX($E81:$I81,0,AA$8+1)-INDEX($E81:$I81,0,AA$8))/(INDEX($D$5:$H$5,0,AA$8+1)-INDEX($D$5:$H$5,0,AA$8))+Z81)))</f>
        <v>717.64518863409535</v>
      </c>
      <c r="AB81" s="5" cm="1">
        <f t="array" ref="AB81">IF(AB$8=-1,AC81,IF(AB$8=99,AA81,IF(AB$8=0,INDEX($E81:$I81,0,AB$6),(INDEX($E81:$I81,0,AB$8+1)-INDEX($E81:$I81,0,AB$8))/(INDEX($D$5:$H$5,0,AB$8+1)-INDEX($D$5:$H$5,0,AB$8))+AA81)))</f>
        <v>688.40374187007455</v>
      </c>
      <c r="AC81" s="5" cm="1">
        <f t="array" ref="AC81">IF(AC$8=-1,AD81,IF(AC$8=99,AB81,IF(AC$8=0,INDEX($E81:$I81,0,AC$6),(INDEX($E81:$I81,0,AC$8+1)-INDEX($E81:$I81,0,AC$8))/(INDEX($D$5:$H$5,0,AC$8+1)-INDEX($D$5:$H$5,0,AC$8))+AB81)))</f>
        <v>659.16229510605376</v>
      </c>
      <c r="AD81" s="5" cm="1">
        <f t="array" ref="AD81">IF(AD$8=-1,AE81,IF(AD$8=99,AC81,IF(AD$8=0,INDEX($E81:$I81,0,AD$6),(INDEX($E81:$I81,0,AD$8+1)-INDEX($E81:$I81,0,AD$8))/(INDEX($D$5:$H$5,0,AD$8+1)-INDEX($D$5:$H$5,0,AD$8))+AC81)))</f>
        <v>629.92084834203308</v>
      </c>
      <c r="AE81" s="5" cm="1">
        <f t="array" ref="AE81">IF(AE$8=-1,AF81,IF(AE$8=99,AD81,IF(AE$8=0,INDEX($E81:$I81,0,AE$6),(INDEX($E81:$I81,0,AE$8+1)-INDEX($E81:$I81,0,AE$8))/(INDEX($D$5:$H$5,0,AE$8+1)-INDEX($D$5:$H$5,0,AE$8))+AD81)))</f>
        <v>629.92084834203308</v>
      </c>
      <c r="AF81" s="5" cm="1">
        <f t="array" ref="AF81">IF(AF$8=-1,AG81,IF(AF$8=99,AE81,IF(AF$8=0,INDEX($E81:$I81,0,AF$6),(INDEX($E81:$I81,0,AF$8+1)-INDEX($E81:$I81,0,AF$8))/(INDEX($D$5:$H$5,0,AF$8+1)-INDEX($D$5:$H$5,0,AF$8))+AE81)))</f>
        <v>629.92084834203308</v>
      </c>
      <c r="AG81" s="5" cm="1">
        <f t="array" ref="AG81">IF(AG$8=-1,AH81,IF(AG$8=99,AF81,IF(AG$8=0,INDEX($E81:$I81,0,AG$6),(INDEX($E81:$I81,0,AG$8+1)-INDEX($E81:$I81,0,AG$8))/(INDEX($D$5:$H$5,0,AG$8+1)-INDEX($D$5:$H$5,0,AG$8))+AF81)))</f>
        <v>629.92084834203308</v>
      </c>
      <c r="AH81" s="5" cm="1">
        <f t="array" ref="AH81">IF(AH$8=-1,AI81,IF(AH$8=99,AG81,IF(AH$8=0,INDEX($E81:$I81,0,AH$6),(INDEX($E81:$I81,0,AH$8+1)-INDEX($E81:$I81,0,AH$8))/(INDEX($D$5:$H$5,0,AH$8+1)-INDEX($D$5:$H$5,0,AH$8))+AG81)))</f>
        <v>629.92084834203308</v>
      </c>
      <c r="AI81" s="5" cm="1">
        <f t="array" ref="AI81">IF(AI$8=-1,AJ81,IF(AI$8=99,AH81,IF(AI$8=0,INDEX($E81:$I81,0,AI$6),(INDEX($E81:$I81,0,AI$8+1)-INDEX($E81:$I81,0,AI$8))/(INDEX($D$5:$H$5,0,AI$8+1)-INDEX($D$5:$H$5,0,AI$8))+AH81)))</f>
        <v>629.92084834203308</v>
      </c>
      <c r="AJ81" s="5" cm="1">
        <f t="array" ref="AJ81">IF(AJ$8=-1,AK81,IF(AJ$8=99,AI81,IF(AJ$8=0,INDEX($E81:$I81,0,AJ$6),(INDEX($E81:$I81,0,AJ$8+1)-INDEX($E81:$I81,0,AJ$8))/(INDEX($D$5:$H$5,0,AJ$8+1)-INDEX($D$5:$H$5,0,AJ$8))+AI81)))</f>
        <v>629.92084834203308</v>
      </c>
      <c r="AK81" s="5" cm="1">
        <f t="array" ref="AK81">IF(AK$8=-1,AL81,IF(AK$8=99,AJ81,IF(AK$8=0,INDEX($E81:$I81,0,AK$6),(INDEX($E81:$I81,0,AK$8+1)-INDEX($E81:$I81,0,AK$8))/(INDEX($D$5:$H$5,0,AK$8+1)-INDEX($D$5:$H$5,0,AK$8))+AJ81)))</f>
        <v>629.92084834203308</v>
      </c>
      <c r="AL81" s="5" cm="1">
        <f t="array" ref="AL81">IF(AL$8=-1,AM81,IF(AL$8=99,AK81,IF(AL$8=0,INDEX($E81:$I81,0,AL$6),(INDEX($E81:$I81,0,AL$8+1)-INDEX($E81:$I81,0,AL$8))/(INDEX($D$5:$H$5,0,AL$8+1)-INDEX($D$5:$H$5,0,AL$8))+AK81)))</f>
        <v>629.92084834203308</v>
      </c>
      <c r="AM81" s="5" cm="1">
        <f t="array" ref="AM81">IF(AM$8=-1,AN81,IF(AM$8=99,AL81,IF(AM$8=0,INDEX($E81:$I81,0,AM$6),(INDEX($E81:$I81,0,AM$8+1)-INDEX($E81:$I81,0,AM$8))/(INDEX($D$5:$H$5,0,AM$8+1)-INDEX($D$5:$H$5,0,AM$8))+AL81)))</f>
        <v>629.92084834203308</v>
      </c>
      <c r="AN81" s="5" cm="1">
        <f t="array" ref="AN81">IF(AN$8=-1,AO81,IF(AN$8=99,AM81,IF(AN$8=0,INDEX($E81:$I81,0,AN$6),(INDEX($E81:$I81,0,AN$8+1)-INDEX($E81:$I81,0,AN$8))/(INDEX($D$5:$H$5,0,AN$8+1)-INDEX($D$5:$H$5,0,AN$8))+AM81)))</f>
        <v>629.92084834203308</v>
      </c>
      <c r="AO81" s="5" cm="1">
        <f t="array" ref="AO81">IF(AO$8=-1,AP81,IF(AO$8=99,AN81,IF(AO$8=0,INDEX($E81:$K81,0,AO$6),(INDEX($E81:$K81,0,AO$8+1)-INDEX($E81:$K81,0,AO$8))/(INDEX($D$5:$J$5,0,AO$8+1)-INDEX($D$5:$J$5,0,AO$8))+AN81)))</f>
        <v>629.92084834203308</v>
      </c>
      <c r="AP81" s="5" cm="1">
        <f t="array" ref="AP81">IF(AP$8=-1,AQ81,IF(AP$8=99,AO81,IF(AP$8=0,INDEX($E81:$K81,0,AP$6),(INDEX($E81:$K81,0,AP$8+1)-INDEX($E81:$K81,0,AP$8))/(INDEX($D$5:$J$5,0,AP$8+1)-INDEX($D$5:$J$5,0,AP$8))+AO81)))</f>
        <v>629.92084834203308</v>
      </c>
      <c r="AQ81" s="5" cm="1">
        <f t="array" ref="AQ81">IF(AQ$8=-1,AR81,IF(AQ$8=99,AP81,IF(AQ$8=0,INDEX($E81:$K81,0,AQ$6),(INDEX($E81:$K81,0,AQ$8+1)-INDEX($E81:$K81,0,AQ$8))/(INDEX($D$5:$J$5,0,AQ$8+1)-INDEX($D$5:$J$5,0,AQ$8))+AP81)))</f>
        <v>629.92084834203308</v>
      </c>
      <c r="AR81" s="5" cm="1">
        <f t="array" ref="AR81">IF(AR$8=-1,AS81,IF(AR$8=99,AQ81,IF(AR$8=0,INDEX($E81:$K81,0,AR$6),(INDEX($E81:$K81,0,AR$8+1)-INDEX($E81:$K81,0,AR$8))/(INDEX($D$5:$J$5,0,AR$8+1)-INDEX($D$5:$J$5,0,AR$8))+AQ81)))</f>
        <v>629.92084834203308</v>
      </c>
      <c r="AS81" s="5" cm="1">
        <f t="array" ref="AS81">IF(AS$8=-1,AT81,IF(AS$8=99,AR81,IF(AS$8=0,INDEX($E81:$K81,0,AS$6),(INDEX($E81:$K81,0,AS$8+1)-INDEX($E81:$K81,0,AS$8))/(INDEX($D$5:$J$5,0,AS$8+1)-INDEX($D$5:$J$5,0,AS$8))+AR81)))</f>
        <v>629.92084834203308</v>
      </c>
      <c r="AT81" s="5" cm="1">
        <f t="array" ref="AT81">IF(AT$8=-1,AU81,IF(AT$8=99,AS81,IF(AT$8=0,INDEX($E81:$K81,0,AT$6),(INDEX($E81:$K81,0,AT$8+1)-INDEX($E81:$K81,0,AT$8))/(INDEX($D$5:$J$5,0,AT$8+1)-INDEX($D$5:$J$5,0,AT$8))+AS81)))</f>
        <v>629.92084834203308</v>
      </c>
      <c r="AU81" s="5" cm="1">
        <f t="array" ref="AU81">IF(AU$8=-1,AV81,IF(AU$8=99,AT81,IF(AU$8=0,INDEX($E81:$K81,0,AU$6),(INDEX($E81:$K81,0,AU$8+1)-INDEX($E81:$K81,0,AU$8))/(INDEX($D$5:$J$5,0,AU$8+1)-INDEX($D$5:$J$5,0,AU$8))+AT81)))</f>
        <v>629.92084834203308</v>
      </c>
      <c r="AV81" s="5" cm="1">
        <f t="array" ref="AV81">IF(AV$8=-1,AW81,IF(AV$8=99,AU81,IF(AV$8=0,INDEX($E81:$K81,0,AV$6),(INDEX($E81:$K81,0,AV$8+1)-INDEX($E81:$K81,0,AV$8))/(INDEX($D$5:$J$5,0,AV$8+1)-INDEX($D$5:$J$5,0,AV$8))+AU81)))</f>
        <v>629.92084834203308</v>
      </c>
      <c r="AW81" s="5" cm="1">
        <f t="array" ref="AW81">IF(AW$8=-1,AX81,IF(AW$8=99,AV81,IF(AW$8=0,INDEX($E81:$K81,0,AW$6),(INDEX($E81:$K81,0,AW$8+1)-INDEX($E81:$K81,0,AW$8))/(INDEX($D$5:$J$5,0,AW$8+1)-INDEX($D$5:$J$5,0,AW$8))+AV81)))</f>
        <v>629.92084834203308</v>
      </c>
      <c r="AX81" s="5" cm="1">
        <f t="array" ref="AX81">IF(AX$8=-1,AY81,IF(AX$8=99,AW81,IF(AX$8=0,INDEX($E81:$K81,0,AX$6),(INDEX($E81:$K81,0,AX$8+1)-INDEX($E81:$K81,0,AX$8))/(INDEX($D$5:$J$5,0,AX$8+1)-INDEX($D$5:$J$5,0,AX$8))+AW81)))</f>
        <v>629.92084834203308</v>
      </c>
      <c r="AY81" s="5" cm="1">
        <f t="array" ref="AY81">IF(AY$8=-1,AZ81,IF(AY$8=99,AX81,IF(AY$8=0,INDEX($E81:$K81,0,AY$6),(INDEX($E81:$K81,0,AY$8+1)-INDEX($E81:$K81,0,AY$8))/(INDEX($D$5:$J$5,0,AY$8+1)-INDEX($D$5:$J$5,0,AY$8))+AX81)))</f>
        <v>629.92084834203308</v>
      </c>
      <c r="AZ81" s="5" cm="1">
        <f t="array" ref="AZ81">IF(AZ$8=-1,BA81,IF(AZ$8=99,AY81,IF(AZ$8=0,INDEX($E81:$K81,0,AZ$6),(INDEX($E81:$K81,0,AZ$8+1)-INDEX($E81:$K81,0,AZ$8))/(INDEX($D$5:$J$5,0,AZ$8+1)-INDEX($D$5:$J$5,0,AZ$8))+AY81)))</f>
        <v>629.92084834203308</v>
      </c>
      <c r="BA81" s="5" cm="1">
        <f t="array" ref="BA81">IF(BA$8=-1,BB81,IF(BA$8=99,AZ81,IF(BA$8=0,INDEX($E81:$K81,0,BA$6),(INDEX($E81:$K81,0,BA$8+1)-INDEX($E81:$K81,0,BA$8))/(INDEX($D$5:$J$5,0,BA$8+1)-INDEX($D$5:$J$5,0,BA$8))+AZ81)))</f>
        <v>629.92084834203308</v>
      </c>
      <c r="BB81" s="5" cm="1">
        <f t="array" ref="BB81">IF(BB$8=-1,BC81,IF(BB$8=99,BA81,IF(BB$8=0,INDEX($E81:$K81,0,BB$6),(INDEX($E81:$K81,0,BB$8+1)-INDEX($E81:$K81,0,BB$8))/(INDEX($D$5:$J$5,0,BB$8+1)-INDEX($D$5:$J$5,0,BB$8))+BA81)))</f>
        <v>629.92084834203308</v>
      </c>
      <c r="BC81" s="5" cm="1">
        <f t="array" ref="BC81">IF(BC$8=-1,BD81,IF(BC$8=99,BB81,IF(BC$8=0,INDEX($E81:$K81,0,BC$6),(INDEX($E81:$K81,0,BC$8+1)-INDEX($E81:$K81,0,BC$8))/(INDEX($D$5:$J$5,0,BC$8+1)-INDEX($D$5:$J$5,0,BC$8))+BB81)))</f>
        <v>629.92084834203308</v>
      </c>
      <c r="BD81" s="5" cm="1">
        <f t="array" ref="BD81">IF(BD$8=-1,BE81,IF(BD$8=99,BC81,IF(BD$8=0,INDEX($E81:$K81,0,BD$6),(INDEX($E81:$K81,0,BD$8+1)-INDEX($E81:$K81,0,BD$8))/(INDEX($D$5:$J$5,0,BD$8+1)-INDEX($D$5:$J$5,0,BD$8))+BC81)))</f>
        <v>629.92084834203308</v>
      </c>
      <c r="BE81" s="5" cm="1">
        <f t="array" ref="BE81">IF(BE$8=-1,BF81,IF(BE$8=99,BD81,IF(BE$8=0,INDEX($E81:$K81,0,BE$6),(INDEX($E81:$K81,0,BE$8+1)-INDEX($E81:$K81,0,BE$8))/(INDEX($D$5:$J$5,0,BE$8+1)-INDEX($D$5:$J$5,0,BE$8))+BD81)))</f>
        <v>629.92084834203308</v>
      </c>
      <c r="BF81" s="5" cm="1">
        <f t="array" ref="BF81">IF(BF$8=-1,BG81,IF(BF$8=99,BE81,IF(BF$8=0,INDEX($E81:$K81,0,BF$6),(INDEX($E81:$K81,0,BF$8+1)-INDEX($E81:$K81,0,BF$8))/(INDEX($D$5:$J$5,0,BF$8+1)-INDEX($D$5:$J$5,0,BF$8))+BE81)))</f>
        <v>629.92084834203308</v>
      </c>
      <c r="BG81" s="5" cm="1">
        <f t="array" ref="BG81">IF(BG$8=-1,BH81,IF(BG$8=99,BF81,IF(BG$8=0,INDEX($E81:$K81,0,BG$6),(INDEX($E81:$K81,0,BG$8+1)-INDEX($E81:$K81,0,BG$8))/(INDEX($D$5:$J$5,0,BG$8+1)-INDEX($D$5:$J$5,0,BG$8))+BF81)))</f>
        <v>629.92084834203308</v>
      </c>
      <c r="BH81" s="5" cm="1">
        <f t="array" ref="BH81">IF(BH$8=-1,BI81,IF(BH$8=99,BG81,IF(BH$8=0,INDEX($E81:$K81,0,BH$6),(INDEX($E81:$K81,0,BH$8+1)-INDEX($E81:$K81,0,BH$8))/(INDEX($D$5:$J$5,0,BH$8+1)-INDEX($D$5:$J$5,0,BH$8))+BG81)))</f>
        <v>629.92084834203308</v>
      </c>
      <c r="BI81" s="5" cm="1">
        <f t="array" ref="BI81">IF(BI$8=-1,BJ81,IF(BI$8=99,BH81,IF(BI$8=0,INDEX($E81:$K81,0,BI$6),(INDEX($E81:$K81,0,BI$8+1)-INDEX($E81:$K81,0,BI$8))/(INDEX($D$5:$J$5,0,BI$8+1)-INDEX($D$5:$J$5,0,BI$8))+BH81)))</f>
        <v>629.92084834203308</v>
      </c>
      <c r="BJ81" s="5" cm="1">
        <f t="array" ref="BJ81">IF(BJ$8=-1,BK81,IF(BJ$8=99,BI81,IF(BJ$8=0,INDEX($E81:$K81,0,BJ$6),(INDEX($E81:$K81,0,BJ$8+1)-INDEX($E81:$K81,0,BJ$8))/(INDEX($D$5:$J$5,0,BJ$8+1)-INDEX($D$5:$J$5,0,BJ$8))+BI81)))</f>
        <v>629.92084834203308</v>
      </c>
      <c r="BK81" s="5" cm="1">
        <f t="array" ref="BK81">IF(BK$8=-1,BL81,IF(BK$8=99,BJ81,IF(BK$8=0,INDEX($E81:$K81,0,BK$6),(INDEX($E81:$K81,0,BK$8+1)-INDEX($E81:$K81,0,BK$8))/(INDEX($D$5:$J$5,0,BK$8+1)-INDEX($D$5:$J$5,0,BK$8))+BJ81)))</f>
        <v>629.92084834203308</v>
      </c>
      <c r="BL81" s="5" cm="1">
        <f t="array" ref="BL81">IF(BL$8=-1,BM81,IF(BL$8=99,BK81,IF(BL$8=0,INDEX($E81:$K81,0,BL$6),(INDEX($E81:$K81,0,BL$8+1)-INDEX($E81:$K81,0,BL$8))/(INDEX($D$5:$J$5,0,BL$8+1)-INDEX($D$5:$J$5,0,BL$8))+BK81)))</f>
        <v>629.92084834203308</v>
      </c>
      <c r="BM81" s="5" cm="1">
        <f t="array" ref="BM81">IF(BM$8=-1,BN81,IF(BM$8=99,BL81,IF(BM$8=0,INDEX($E81:$K81,0,BM$6),(INDEX($E81:$K81,0,BM$8+1)-INDEX($E81:$K81,0,BM$8))/(INDEX($D$5:$J$5,0,BM$8+1)-INDEX($D$5:$J$5,0,BM$8))+BL81)))</f>
        <v>629.92084834203308</v>
      </c>
      <c r="BN81" s="5" cm="1">
        <f t="array" ref="BN81">IF(BN$8=-1,BO81,IF(BN$8=99,BM81,IF(BN$8=0,INDEX($E81:$K81,0,BN$6),(INDEX($E81:$K81,0,BN$8+1)-INDEX($E81:$K81,0,BN$8))/(INDEX($D$5:$J$5,0,BN$8+1)-INDEX($D$5:$J$5,0,BN$8))+BM81)))</f>
        <v>629.92084834203308</v>
      </c>
      <c r="BO81" s="5" cm="1">
        <f t="array" ref="BO81">IF(BO$8=-1,BP81,IF(BO$8=99,BN81,IF(BO$8=0,INDEX($E81:$K81,0,BO$6),(INDEX($E81:$K81,0,BO$8+1)-INDEX($E81:$K81,0,BO$8))/(INDEX($D$5:$J$5,0,BO$8+1)-INDEX($D$5:$J$5,0,BO$8))+BN81)))</f>
        <v>629.92084834203308</v>
      </c>
      <c r="BP81" s="5" cm="1">
        <f t="array" ref="BP81">IF(BP$8=-1,BQ81,IF(BP$8=99,BO81,IF(BP$8=0,INDEX($E81:$K81,0,BP$6),(INDEX($E81:$K81,0,BP$8+1)-INDEX($E81:$K81,0,BP$8))/(INDEX($D$5:$J$5,0,BP$8+1)-INDEX($D$5:$J$5,0,BP$8))+BO81)))</f>
        <v>629.92084834203308</v>
      </c>
      <c r="BQ81" s="5" cm="1">
        <f t="array" ref="BQ81">IF(BQ$8=-1,BR81,IF(BQ$8=99,BP81,IF(BQ$8=0,INDEX($E81:$K81,0,BQ$6),(INDEX($E81:$K81,0,BQ$8+1)-INDEX($E81:$K81,0,BQ$8))/(INDEX($D$5:$J$5,0,BQ$8+1)-INDEX($D$5:$J$5,0,BQ$8))+BP81)))</f>
        <v>629.92084834203308</v>
      </c>
      <c r="BR81" s="5" cm="1">
        <f t="array" ref="BR81">IF(BR$8=-1,BS81,IF(BR$8=99,BQ81,IF(BR$8=0,INDEX($E81:$K81,0,BR$6),(INDEX($E81:$K81,0,BR$8+1)-INDEX($E81:$K81,0,BR$8))/(INDEX($D$5:$J$5,0,BR$8+1)-INDEX($D$5:$J$5,0,BR$8))+BQ81)))</f>
        <v>629.92084834203308</v>
      </c>
    </row>
    <row r="82" spans="1:70">
      <c r="A82" t="s">
        <v>16</v>
      </c>
      <c r="B82" s="223" t="s">
        <v>235</v>
      </c>
      <c r="C82" s="70" t="str">
        <f t="shared" si="143"/>
        <v>Commercial - Space Heating</v>
      </c>
      <c r="D82" s="70" t="s">
        <v>66</v>
      </c>
      <c r="E82" s="79">
        <f t="shared" ref="E82:F89" si="148">E71</f>
        <v>59.117764859369188</v>
      </c>
      <c r="F82" s="87">
        <f t="shared" si="148"/>
        <v>86.140082210951618</v>
      </c>
      <c r="G82" s="87">
        <f t="shared" si="144"/>
        <v>86.140082210951618</v>
      </c>
      <c r="H82" s="87">
        <f t="shared" ref="H82:H89" si="149">IF($N$57=-1,G82,((F82-E82)*2/5+E82)*(1+$H$69))</f>
        <v>44.053815834001362</v>
      </c>
      <c r="I82" s="131">
        <f t="shared" si="145"/>
        <v>44.053815834001362</v>
      </c>
      <c r="J82" s="131">
        <f t="shared" si="146"/>
        <v>44.053815834001362</v>
      </c>
      <c r="K82" s="131">
        <f t="shared" si="147"/>
        <v>44.053815834001362</v>
      </c>
      <c r="L82" s="5" cm="1">
        <f t="array" ref="L82">IF(L$8=-1,M82,IF(L$8=99,I82,IF(L$8=0,INDEX($E82:$I82,0,L$6),(INDEX($E82:$I82,0,L$8+1)-INDEX($E82:$I82,0,L$8))/(INDEX($D$5:$H$5,0,L$8+1)-INDEX($D$5:$H$5,0,L$8))+I82)))</f>
        <v>59.117764859369188</v>
      </c>
      <c r="M82" s="5" cm="1">
        <f t="array" ref="M82">IF(M$8=-1,N82,IF(M$8=99,L82,IF(M$8=0,INDEX($E82:$I82,0,M$6),(INDEX($E82:$I82,0,M$8+1)-INDEX($E82:$I82,0,M$8))/(INDEX($D$5:$H$5,0,M$8+1)-INDEX($D$5:$H$5,0,M$8))+L82)))</f>
        <v>64.522228329685674</v>
      </c>
      <c r="N82" s="5" cm="1">
        <f t="array" ref="N82">IF(N$8=-1,O82,IF(N$8=99,M82,IF(N$8=0,INDEX($E82:$I82,0,N$6),(INDEX($E82:$I82,0,N$8+1)-INDEX($E82:$I82,0,N$8))/(INDEX($D$5:$H$5,0,N$8+1)-INDEX($D$5:$H$5,0,N$8))+M82)))</f>
        <v>69.92669180000216</v>
      </c>
      <c r="O82" s="5" cm="1">
        <f t="array" ref="O82">IF(O$8=-1,P82,IF(O$8=99,N82,IF(O$8=0,INDEX($E82:$I82,0,O$6),(INDEX($E82:$I82,0,O$8+1)-INDEX($E82:$I82,0,O$8))/(INDEX($D$5:$H$5,0,O$8+1)-INDEX($D$5:$H$5,0,O$8))+N82)))</f>
        <v>75.331155270318646</v>
      </c>
      <c r="P82" s="5" cm="1">
        <f t="array" ref="P82">IF(P$8=-1,Q82,IF(P$8=99,O82,IF(P$8=0,INDEX($E82:$I82,0,P$6),(INDEX($E82:$I82,0,P$8+1)-INDEX($E82:$I82,0,P$8))/(INDEX($D$5:$H$5,0,P$8+1)-INDEX($D$5:$H$5,0,P$8))+O82)))</f>
        <v>80.735618740635132</v>
      </c>
      <c r="Q82" s="5" cm="1">
        <f t="array" ref="Q82">IF(Q$8=-1,R82,IF(Q$8=99,P82,IF(Q$8=0,INDEX($E82:$I82,0,Q$6),(INDEX($E82:$I82,0,Q$8+1)-INDEX($E82:$I82,0,Q$8))/(INDEX($D$5:$H$5,0,Q$8+1)-INDEX($D$5:$H$5,0,Q$8))+P82)))</f>
        <v>86.140082210951618</v>
      </c>
      <c r="R82" s="5" cm="1">
        <f t="array" ref="R82">IF(R$8=-1,S82,IF(R$8=99,Q82,IF(R$8=0,INDEX($E82:$I82,0,R$6),(INDEX($E82:$I82,0,R$8+1)-INDEX($E82:$I82,0,R$8))/(INDEX($D$5:$H$5,0,R$8+1)-INDEX($D$5:$H$5,0,R$8))+Q82)))</f>
        <v>86.140082210951618</v>
      </c>
      <c r="S82" s="5" cm="1">
        <f t="array" ref="S82">IF(S$8=-1,T82,IF(S$8=99,R82,IF(S$8=0,INDEX($E82:$I82,0,S$6),(INDEX($E82:$I82,0,S$8+1)-INDEX($E82:$I82,0,S$8))/(INDEX($D$5:$H$5,0,S$8+1)-INDEX($D$5:$H$5,0,S$8))+R82)))</f>
        <v>86.140082210951618</v>
      </c>
      <c r="T82" s="5" cm="1">
        <f t="array" ref="T82">IF(T$8=-1,U82,IF(T$8=99,S82,IF(T$8=0,INDEX($E82:$I82,0,T$6),(INDEX($E82:$I82,0,T$8+1)-INDEX($E82:$I82,0,T$8))/(INDEX($D$5:$H$5,0,T$8+1)-INDEX($D$5:$H$5,0,T$8))+S82)))</f>
        <v>86.140082210951618</v>
      </c>
      <c r="U82" s="5" cm="1">
        <f t="array" ref="U82">IF(U$8=-1,V82,IF(U$8=99,T82,IF(U$8=0,INDEX($E82:$I82,0,U$6),(INDEX($E82:$I82,0,U$8+1)-INDEX($E82:$I82,0,U$8))/(INDEX($D$5:$H$5,0,U$8+1)-INDEX($D$5:$H$5,0,U$8))+T82)))</f>
        <v>81.931455573256599</v>
      </c>
      <c r="V82" s="5" cm="1">
        <f t="array" ref="V82">IF(V$8=-1,W82,IF(V$8=99,U82,IF(V$8=0,INDEX($E82:$I82,0,V$6),(INDEX($E82:$I82,0,V$8+1)-INDEX($E82:$I82,0,V$8))/(INDEX($D$5:$H$5,0,V$8+1)-INDEX($D$5:$H$5,0,V$8))+U82)))</f>
        <v>77.72282893556158</v>
      </c>
      <c r="W82" s="5" cm="1">
        <f t="array" ref="W82">IF(W$8=-1,X82,IF(W$8=99,V82,IF(W$8=0,INDEX($E82:$I82,0,W$6),(INDEX($E82:$I82,0,W$8+1)-INDEX($E82:$I82,0,W$8))/(INDEX($D$5:$H$5,0,W$8+1)-INDEX($D$5:$H$5,0,W$8))+V82)))</f>
        <v>73.514202297866561</v>
      </c>
      <c r="X82" s="5" cm="1">
        <f t="array" ref="X82">IF(X$8=-1,Y82,IF(X$8=99,W82,IF(X$8=0,INDEX($E82:$I82,0,X$6),(INDEX($E82:$I82,0,X$8+1)-INDEX($E82:$I82,0,X$8))/(INDEX($D$5:$H$5,0,X$8+1)-INDEX($D$5:$H$5,0,X$8))+W82)))</f>
        <v>69.305575660171542</v>
      </c>
      <c r="Y82" s="5" cm="1">
        <f t="array" ref="Y82">IF(Y$8=-1,Z82,IF(Y$8=99,X82,IF(Y$8=0,INDEX($E82:$I82,0,Y$6),(INDEX($E82:$I82,0,Y$8+1)-INDEX($E82:$I82,0,Y$8))/(INDEX($D$5:$H$5,0,Y$8+1)-INDEX($D$5:$H$5,0,Y$8))+X82)))</f>
        <v>65.096949022476522</v>
      </c>
      <c r="Z82" s="5" cm="1">
        <f t="array" ref="Z82">IF(Z$8=-1,AA82,IF(Z$8=99,Y82,IF(Z$8=0,INDEX($E82:$I82,0,Z$6),(INDEX($E82:$I82,0,Z$8+1)-INDEX($E82:$I82,0,Z$8))/(INDEX($D$5:$H$5,0,Z$8+1)-INDEX($D$5:$H$5,0,Z$8))+Y82)))</f>
        <v>60.888322384781496</v>
      </c>
      <c r="AA82" s="5" cm="1">
        <f t="array" ref="AA82">IF(AA$8=-1,AB82,IF(AA$8=99,Z82,IF(AA$8=0,INDEX($E82:$I82,0,AA$6),(INDEX($E82:$I82,0,AA$8+1)-INDEX($E82:$I82,0,AA$8))/(INDEX($D$5:$H$5,0,AA$8+1)-INDEX($D$5:$H$5,0,AA$8))+Z82)))</f>
        <v>56.67969574708647</v>
      </c>
      <c r="AB82" s="5" cm="1">
        <f t="array" ref="AB82">IF(AB$8=-1,AC82,IF(AB$8=99,AA82,IF(AB$8=0,INDEX($E82:$I82,0,AB$6),(INDEX($E82:$I82,0,AB$8+1)-INDEX($E82:$I82,0,AB$8))/(INDEX($D$5:$H$5,0,AB$8+1)-INDEX($D$5:$H$5,0,AB$8))+AA82)))</f>
        <v>52.471069109391443</v>
      </c>
      <c r="AC82" s="5" cm="1">
        <f t="array" ref="AC82">IF(AC$8=-1,AD82,IF(AC$8=99,AB82,IF(AC$8=0,INDEX($E82:$I82,0,AC$6),(INDEX($E82:$I82,0,AC$8+1)-INDEX($E82:$I82,0,AC$8))/(INDEX($D$5:$H$5,0,AC$8+1)-INDEX($D$5:$H$5,0,AC$8))+AB82)))</f>
        <v>48.262442471696417</v>
      </c>
      <c r="AD82" s="5" cm="1">
        <f t="array" ref="AD82">IF(AD$8=-1,AE82,IF(AD$8=99,AC82,IF(AD$8=0,INDEX($E82:$I82,0,AD$6),(INDEX($E82:$I82,0,AD$8+1)-INDEX($E82:$I82,0,AD$8))/(INDEX($D$5:$H$5,0,AD$8+1)-INDEX($D$5:$H$5,0,AD$8))+AC82)))</f>
        <v>44.053815834001362</v>
      </c>
      <c r="AE82" s="5" cm="1">
        <f t="array" ref="AE82">IF(AE$8=-1,AF82,IF(AE$8=99,AD82,IF(AE$8=0,INDEX($E82:$I82,0,AE$6),(INDEX($E82:$I82,0,AE$8+1)-INDEX($E82:$I82,0,AE$8))/(INDEX($D$5:$H$5,0,AE$8+1)-INDEX($D$5:$H$5,0,AE$8))+AD82)))</f>
        <v>44.053815834001362</v>
      </c>
      <c r="AF82" s="5" cm="1">
        <f t="array" ref="AF82">IF(AF$8=-1,AG82,IF(AF$8=99,AE82,IF(AF$8=0,INDEX($E82:$I82,0,AF$6),(INDEX($E82:$I82,0,AF$8+1)-INDEX($E82:$I82,0,AF$8))/(INDEX($D$5:$H$5,0,AF$8+1)-INDEX($D$5:$H$5,0,AF$8))+AE82)))</f>
        <v>44.053815834001362</v>
      </c>
      <c r="AG82" s="5" cm="1">
        <f t="array" ref="AG82">IF(AG$8=-1,AH82,IF(AG$8=99,AF82,IF(AG$8=0,INDEX($E82:$I82,0,AG$6),(INDEX($E82:$I82,0,AG$8+1)-INDEX($E82:$I82,0,AG$8))/(INDEX($D$5:$H$5,0,AG$8+1)-INDEX($D$5:$H$5,0,AG$8))+AF82)))</f>
        <v>44.053815834001362</v>
      </c>
      <c r="AH82" s="5" cm="1">
        <f t="array" ref="AH82">IF(AH$8=-1,AI82,IF(AH$8=99,AG82,IF(AH$8=0,INDEX($E82:$I82,0,AH$6),(INDEX($E82:$I82,0,AH$8+1)-INDEX($E82:$I82,0,AH$8))/(INDEX($D$5:$H$5,0,AH$8+1)-INDEX($D$5:$H$5,0,AH$8))+AG82)))</f>
        <v>44.053815834001362</v>
      </c>
      <c r="AI82" s="5" cm="1">
        <f t="array" ref="AI82">IF(AI$8=-1,AJ82,IF(AI$8=99,AH82,IF(AI$8=0,INDEX($E82:$I82,0,AI$6),(INDEX($E82:$I82,0,AI$8+1)-INDEX($E82:$I82,0,AI$8))/(INDEX($D$5:$H$5,0,AI$8+1)-INDEX($D$5:$H$5,0,AI$8))+AH82)))</f>
        <v>44.053815834001362</v>
      </c>
      <c r="AJ82" s="5" cm="1">
        <f t="array" ref="AJ82">IF(AJ$8=-1,AK82,IF(AJ$8=99,AI82,IF(AJ$8=0,INDEX($E82:$I82,0,AJ$6),(INDEX($E82:$I82,0,AJ$8+1)-INDEX($E82:$I82,0,AJ$8))/(INDEX($D$5:$H$5,0,AJ$8+1)-INDEX($D$5:$H$5,0,AJ$8))+AI82)))</f>
        <v>44.053815834001362</v>
      </c>
      <c r="AK82" s="5" cm="1">
        <f t="array" ref="AK82">IF(AK$8=-1,AL82,IF(AK$8=99,AJ82,IF(AK$8=0,INDEX($E82:$I82,0,AK$6),(INDEX($E82:$I82,0,AK$8+1)-INDEX($E82:$I82,0,AK$8))/(INDEX($D$5:$H$5,0,AK$8+1)-INDEX($D$5:$H$5,0,AK$8))+AJ82)))</f>
        <v>44.053815834001362</v>
      </c>
      <c r="AL82" s="5" cm="1">
        <f t="array" ref="AL82">IF(AL$8=-1,AM82,IF(AL$8=99,AK82,IF(AL$8=0,INDEX($E82:$I82,0,AL$6),(INDEX($E82:$I82,0,AL$8+1)-INDEX($E82:$I82,0,AL$8))/(INDEX($D$5:$H$5,0,AL$8+1)-INDEX($D$5:$H$5,0,AL$8))+AK82)))</f>
        <v>44.053815834001362</v>
      </c>
      <c r="AM82" s="5" cm="1">
        <f t="array" ref="AM82">IF(AM$8=-1,AN82,IF(AM$8=99,AL82,IF(AM$8=0,INDEX($E82:$I82,0,AM$6),(INDEX($E82:$I82,0,AM$8+1)-INDEX($E82:$I82,0,AM$8))/(INDEX($D$5:$H$5,0,AM$8+1)-INDEX($D$5:$H$5,0,AM$8))+AL82)))</f>
        <v>44.053815834001362</v>
      </c>
      <c r="AN82" s="5" cm="1">
        <f t="array" ref="AN82">IF(AN$8=-1,AO82,IF(AN$8=99,AM82,IF(AN$8=0,INDEX($E82:$I82,0,AN$6),(INDEX($E82:$I82,0,AN$8+1)-INDEX($E82:$I82,0,AN$8))/(INDEX($D$5:$H$5,0,AN$8+1)-INDEX($D$5:$H$5,0,AN$8))+AM82)))</f>
        <v>44.053815834001362</v>
      </c>
      <c r="AO82" s="5" cm="1">
        <f t="array" ref="AO82">IF(AO$8=-1,AP82,IF(AO$8=99,AN82,IF(AO$8=0,INDEX($E82:$K82,0,AO$6),(INDEX($E82:$K82,0,AO$8+1)-INDEX($E82:$K82,0,AO$8))/(INDEX($D$5:$J$5,0,AO$8+1)-INDEX($D$5:$J$5,0,AO$8))+AN82)))</f>
        <v>44.053815834001362</v>
      </c>
      <c r="AP82" s="5" cm="1">
        <f t="array" ref="AP82">IF(AP$8=-1,AQ82,IF(AP$8=99,AO82,IF(AP$8=0,INDEX($E82:$K82,0,AP$6),(INDEX($E82:$K82,0,AP$8+1)-INDEX($E82:$K82,0,AP$8))/(INDEX($D$5:$J$5,0,AP$8+1)-INDEX($D$5:$J$5,0,AP$8))+AO82)))</f>
        <v>44.053815834001362</v>
      </c>
      <c r="AQ82" s="5" cm="1">
        <f t="array" ref="AQ82">IF(AQ$8=-1,AR82,IF(AQ$8=99,AP82,IF(AQ$8=0,INDEX($E82:$K82,0,AQ$6),(INDEX($E82:$K82,0,AQ$8+1)-INDEX($E82:$K82,0,AQ$8))/(INDEX($D$5:$J$5,0,AQ$8+1)-INDEX($D$5:$J$5,0,AQ$8))+AP82)))</f>
        <v>44.053815834001362</v>
      </c>
      <c r="AR82" s="5" cm="1">
        <f t="array" ref="AR82">IF(AR$8=-1,AS82,IF(AR$8=99,AQ82,IF(AR$8=0,INDEX($E82:$K82,0,AR$6),(INDEX($E82:$K82,0,AR$8+1)-INDEX($E82:$K82,0,AR$8))/(INDEX($D$5:$J$5,0,AR$8+1)-INDEX($D$5:$J$5,0,AR$8))+AQ82)))</f>
        <v>44.053815834001362</v>
      </c>
      <c r="AS82" s="5" cm="1">
        <f t="array" ref="AS82">IF(AS$8=-1,AT82,IF(AS$8=99,AR82,IF(AS$8=0,INDEX($E82:$K82,0,AS$6),(INDEX($E82:$K82,0,AS$8+1)-INDEX($E82:$K82,0,AS$8))/(INDEX($D$5:$J$5,0,AS$8+1)-INDEX($D$5:$J$5,0,AS$8))+AR82)))</f>
        <v>44.053815834001362</v>
      </c>
      <c r="AT82" s="5" cm="1">
        <f t="array" ref="AT82">IF(AT$8=-1,AU82,IF(AT$8=99,AS82,IF(AT$8=0,INDEX($E82:$K82,0,AT$6),(INDEX($E82:$K82,0,AT$8+1)-INDEX($E82:$K82,0,AT$8))/(INDEX($D$5:$J$5,0,AT$8+1)-INDEX($D$5:$J$5,0,AT$8))+AS82)))</f>
        <v>44.053815834001362</v>
      </c>
      <c r="AU82" s="5" cm="1">
        <f t="array" ref="AU82">IF(AU$8=-1,AV82,IF(AU$8=99,AT82,IF(AU$8=0,INDEX($E82:$K82,0,AU$6),(INDEX($E82:$K82,0,AU$8+1)-INDEX($E82:$K82,0,AU$8))/(INDEX($D$5:$J$5,0,AU$8+1)-INDEX($D$5:$J$5,0,AU$8))+AT82)))</f>
        <v>44.053815834001362</v>
      </c>
      <c r="AV82" s="5" cm="1">
        <f t="array" ref="AV82">IF(AV$8=-1,AW82,IF(AV$8=99,AU82,IF(AV$8=0,INDEX($E82:$K82,0,AV$6),(INDEX($E82:$K82,0,AV$8+1)-INDEX($E82:$K82,0,AV$8))/(INDEX($D$5:$J$5,0,AV$8+1)-INDEX($D$5:$J$5,0,AV$8))+AU82)))</f>
        <v>44.053815834001362</v>
      </c>
      <c r="AW82" s="5" cm="1">
        <f t="array" ref="AW82">IF(AW$8=-1,AX82,IF(AW$8=99,AV82,IF(AW$8=0,INDEX($E82:$K82,0,AW$6),(INDEX($E82:$K82,0,AW$8+1)-INDEX($E82:$K82,0,AW$8))/(INDEX($D$5:$J$5,0,AW$8+1)-INDEX($D$5:$J$5,0,AW$8))+AV82)))</f>
        <v>44.053815834001362</v>
      </c>
      <c r="AX82" s="5" cm="1">
        <f t="array" ref="AX82">IF(AX$8=-1,AY82,IF(AX$8=99,AW82,IF(AX$8=0,INDEX($E82:$K82,0,AX$6),(INDEX($E82:$K82,0,AX$8+1)-INDEX($E82:$K82,0,AX$8))/(INDEX($D$5:$J$5,0,AX$8+1)-INDEX($D$5:$J$5,0,AX$8))+AW82)))</f>
        <v>44.053815834001362</v>
      </c>
      <c r="AY82" s="5" cm="1">
        <f t="array" ref="AY82">IF(AY$8=-1,AZ82,IF(AY$8=99,AX82,IF(AY$8=0,INDEX($E82:$K82,0,AY$6),(INDEX($E82:$K82,0,AY$8+1)-INDEX($E82:$K82,0,AY$8))/(INDEX($D$5:$J$5,0,AY$8+1)-INDEX($D$5:$J$5,0,AY$8))+AX82)))</f>
        <v>44.053815834001362</v>
      </c>
      <c r="AZ82" s="5" cm="1">
        <f t="array" ref="AZ82">IF(AZ$8=-1,BA82,IF(AZ$8=99,AY82,IF(AZ$8=0,INDEX($E82:$K82,0,AZ$6),(INDEX($E82:$K82,0,AZ$8+1)-INDEX($E82:$K82,0,AZ$8))/(INDEX($D$5:$J$5,0,AZ$8+1)-INDEX($D$5:$J$5,0,AZ$8))+AY82)))</f>
        <v>44.053815834001362</v>
      </c>
      <c r="BA82" s="5" cm="1">
        <f t="array" ref="BA82">IF(BA$8=-1,BB82,IF(BA$8=99,AZ82,IF(BA$8=0,INDEX($E82:$K82,0,BA$6),(INDEX($E82:$K82,0,BA$8+1)-INDEX($E82:$K82,0,BA$8))/(INDEX($D$5:$J$5,0,BA$8+1)-INDEX($D$5:$J$5,0,BA$8))+AZ82)))</f>
        <v>44.053815834001362</v>
      </c>
      <c r="BB82" s="5" cm="1">
        <f t="array" ref="BB82">IF(BB$8=-1,BC82,IF(BB$8=99,BA82,IF(BB$8=0,INDEX($E82:$K82,0,BB$6),(INDEX($E82:$K82,0,BB$8+1)-INDEX($E82:$K82,0,BB$8))/(INDEX($D$5:$J$5,0,BB$8+1)-INDEX($D$5:$J$5,0,BB$8))+BA82)))</f>
        <v>44.053815834001362</v>
      </c>
      <c r="BC82" s="5" cm="1">
        <f t="array" ref="BC82">IF(BC$8=-1,BD82,IF(BC$8=99,BB82,IF(BC$8=0,INDEX($E82:$K82,0,BC$6),(INDEX($E82:$K82,0,BC$8+1)-INDEX($E82:$K82,0,BC$8))/(INDEX($D$5:$J$5,0,BC$8+1)-INDEX($D$5:$J$5,0,BC$8))+BB82)))</f>
        <v>44.053815834001362</v>
      </c>
      <c r="BD82" s="5" cm="1">
        <f t="array" ref="BD82">IF(BD$8=-1,BE82,IF(BD$8=99,BC82,IF(BD$8=0,INDEX($E82:$K82,0,BD$6),(INDEX($E82:$K82,0,BD$8+1)-INDEX($E82:$K82,0,BD$8))/(INDEX($D$5:$J$5,0,BD$8+1)-INDEX($D$5:$J$5,0,BD$8))+BC82)))</f>
        <v>44.053815834001362</v>
      </c>
      <c r="BE82" s="5" cm="1">
        <f t="array" ref="BE82">IF(BE$8=-1,BF82,IF(BE$8=99,BD82,IF(BE$8=0,INDEX($E82:$K82,0,BE$6),(INDEX($E82:$K82,0,BE$8+1)-INDEX($E82:$K82,0,BE$8))/(INDEX($D$5:$J$5,0,BE$8+1)-INDEX($D$5:$J$5,0,BE$8))+BD82)))</f>
        <v>44.053815834001362</v>
      </c>
      <c r="BF82" s="5" cm="1">
        <f t="array" ref="BF82">IF(BF$8=-1,BG82,IF(BF$8=99,BE82,IF(BF$8=0,INDEX($E82:$K82,0,BF$6),(INDEX($E82:$K82,0,BF$8+1)-INDEX($E82:$K82,0,BF$8))/(INDEX($D$5:$J$5,0,BF$8+1)-INDEX($D$5:$J$5,0,BF$8))+BE82)))</f>
        <v>44.053815834001362</v>
      </c>
      <c r="BG82" s="5" cm="1">
        <f t="array" ref="BG82">IF(BG$8=-1,BH82,IF(BG$8=99,BF82,IF(BG$8=0,INDEX($E82:$K82,0,BG$6),(INDEX($E82:$K82,0,BG$8+1)-INDEX($E82:$K82,0,BG$8))/(INDEX($D$5:$J$5,0,BG$8+1)-INDEX($D$5:$J$5,0,BG$8))+BF82)))</f>
        <v>44.053815834001362</v>
      </c>
      <c r="BH82" s="5" cm="1">
        <f t="array" ref="BH82">IF(BH$8=-1,BI82,IF(BH$8=99,BG82,IF(BH$8=0,INDEX($E82:$K82,0,BH$6),(INDEX($E82:$K82,0,BH$8+1)-INDEX($E82:$K82,0,BH$8))/(INDEX($D$5:$J$5,0,BH$8+1)-INDEX($D$5:$J$5,0,BH$8))+BG82)))</f>
        <v>44.053815834001362</v>
      </c>
      <c r="BI82" s="5" cm="1">
        <f t="array" ref="BI82">IF(BI$8=-1,BJ82,IF(BI$8=99,BH82,IF(BI$8=0,INDEX($E82:$K82,0,BI$6),(INDEX($E82:$K82,0,BI$8+1)-INDEX($E82:$K82,0,BI$8))/(INDEX($D$5:$J$5,0,BI$8+1)-INDEX($D$5:$J$5,0,BI$8))+BH82)))</f>
        <v>44.053815834001362</v>
      </c>
      <c r="BJ82" s="5" cm="1">
        <f t="array" ref="BJ82">IF(BJ$8=-1,BK82,IF(BJ$8=99,BI82,IF(BJ$8=0,INDEX($E82:$K82,0,BJ$6),(INDEX($E82:$K82,0,BJ$8+1)-INDEX($E82:$K82,0,BJ$8))/(INDEX($D$5:$J$5,0,BJ$8+1)-INDEX($D$5:$J$5,0,BJ$8))+BI82)))</f>
        <v>44.053815834001362</v>
      </c>
      <c r="BK82" s="5" cm="1">
        <f t="array" ref="BK82">IF(BK$8=-1,BL82,IF(BK$8=99,BJ82,IF(BK$8=0,INDEX($E82:$K82,0,BK$6),(INDEX($E82:$K82,0,BK$8+1)-INDEX($E82:$K82,0,BK$8))/(INDEX($D$5:$J$5,0,BK$8+1)-INDEX($D$5:$J$5,0,BK$8))+BJ82)))</f>
        <v>44.053815834001362</v>
      </c>
      <c r="BL82" s="5" cm="1">
        <f t="array" ref="BL82">IF(BL$8=-1,BM82,IF(BL$8=99,BK82,IF(BL$8=0,INDEX($E82:$K82,0,BL$6),(INDEX($E82:$K82,0,BL$8+1)-INDEX($E82:$K82,0,BL$8))/(INDEX($D$5:$J$5,0,BL$8+1)-INDEX($D$5:$J$5,0,BL$8))+BK82)))</f>
        <v>44.053815834001362</v>
      </c>
      <c r="BM82" s="5" cm="1">
        <f t="array" ref="BM82">IF(BM$8=-1,BN82,IF(BM$8=99,BL82,IF(BM$8=0,INDEX($E82:$K82,0,BM$6),(INDEX($E82:$K82,0,BM$8+1)-INDEX($E82:$K82,0,BM$8))/(INDEX($D$5:$J$5,0,BM$8+1)-INDEX($D$5:$J$5,0,BM$8))+BL82)))</f>
        <v>44.053815834001362</v>
      </c>
      <c r="BN82" s="5" cm="1">
        <f t="array" ref="BN82">IF(BN$8=-1,BO82,IF(BN$8=99,BM82,IF(BN$8=0,INDEX($E82:$K82,0,BN$6),(INDEX($E82:$K82,0,BN$8+1)-INDEX($E82:$K82,0,BN$8))/(INDEX($D$5:$J$5,0,BN$8+1)-INDEX($D$5:$J$5,0,BN$8))+BM82)))</f>
        <v>44.053815834001362</v>
      </c>
      <c r="BO82" s="5" cm="1">
        <f t="array" ref="BO82">IF(BO$8=-1,BP82,IF(BO$8=99,BN82,IF(BO$8=0,INDEX($E82:$K82,0,BO$6),(INDEX($E82:$K82,0,BO$8+1)-INDEX($E82:$K82,0,BO$8))/(INDEX($D$5:$J$5,0,BO$8+1)-INDEX($D$5:$J$5,0,BO$8))+BN82)))</f>
        <v>44.053815834001362</v>
      </c>
      <c r="BP82" s="5" cm="1">
        <f t="array" ref="BP82">IF(BP$8=-1,BQ82,IF(BP$8=99,BO82,IF(BP$8=0,INDEX($E82:$K82,0,BP$6),(INDEX($E82:$K82,0,BP$8+1)-INDEX($E82:$K82,0,BP$8))/(INDEX($D$5:$J$5,0,BP$8+1)-INDEX($D$5:$J$5,0,BP$8))+BO82)))</f>
        <v>44.053815834001362</v>
      </c>
      <c r="BQ82" s="5" cm="1">
        <f t="array" ref="BQ82">IF(BQ$8=-1,BR82,IF(BQ$8=99,BP82,IF(BQ$8=0,INDEX($E82:$K82,0,BQ$6),(INDEX($E82:$K82,0,BQ$8+1)-INDEX($E82:$K82,0,BQ$8))/(INDEX($D$5:$J$5,0,BQ$8+1)-INDEX($D$5:$J$5,0,BQ$8))+BP82)))</f>
        <v>44.053815834001362</v>
      </c>
      <c r="BR82" s="5" cm="1">
        <f t="array" ref="BR82">IF(BR$8=-1,BS82,IF(BR$8=99,BQ82,IF(BR$8=0,INDEX($E82:$K82,0,BR$6),(INDEX($E82:$K82,0,BR$8+1)-INDEX($E82:$K82,0,BR$8))/(INDEX($D$5:$J$5,0,BR$8+1)-INDEX($D$5:$J$5,0,BR$8))+BQ82)))</f>
        <v>44.053815834001362</v>
      </c>
    </row>
    <row r="83" spans="1:70">
      <c r="A83" t="s">
        <v>16</v>
      </c>
      <c r="B83" s="223" t="s">
        <v>236</v>
      </c>
      <c r="C83" s="70" t="str">
        <f t="shared" si="143"/>
        <v>Commercial - Cooking</v>
      </c>
      <c r="D83" s="70" t="s">
        <v>66</v>
      </c>
      <c r="E83" s="79">
        <f t="shared" si="148"/>
        <v>74.498085701673531</v>
      </c>
      <c r="F83" s="87">
        <f t="shared" si="148"/>
        <v>64.377434268608681</v>
      </c>
      <c r="G83" s="87">
        <f t="shared" si="144"/>
        <v>64.377434268608681</v>
      </c>
      <c r="H83" s="87">
        <f t="shared" si="149"/>
        <v>44.383389830921978</v>
      </c>
      <c r="I83" s="131">
        <f t="shared" si="145"/>
        <v>44.383389830921978</v>
      </c>
      <c r="J83" s="131">
        <f t="shared" si="146"/>
        <v>44.383389830921978</v>
      </c>
      <c r="K83" s="131">
        <f t="shared" si="147"/>
        <v>44.383389830921978</v>
      </c>
      <c r="L83" s="5" cm="1">
        <f t="array" ref="L83">IF(L$8=-1,M83,IF(L$8=99,I83,IF(L$8=0,INDEX($E83:$I83,0,L$6),(INDEX($E83:$I83,0,L$8+1)-INDEX($E83:$I83,0,L$8))/(INDEX($D$5:$H$5,0,L$8+1)-INDEX($D$5:$H$5,0,L$8))+I83)))</f>
        <v>74.498085701673531</v>
      </c>
      <c r="M83" s="5" cm="1">
        <f t="array" ref="M83">IF(M$8=-1,N83,IF(M$8=99,L83,IF(M$8=0,INDEX($E83:$I83,0,M$6),(INDEX($E83:$I83,0,M$8+1)-INDEX($E83:$I83,0,M$8))/(INDEX($D$5:$H$5,0,M$8+1)-INDEX($D$5:$H$5,0,M$8))+L83)))</f>
        <v>72.473955415060558</v>
      </c>
      <c r="N83" s="5" cm="1">
        <f t="array" ref="N83">IF(N$8=-1,O83,IF(N$8=99,M83,IF(N$8=0,INDEX($E83:$I83,0,N$6),(INDEX($E83:$I83,0,N$8+1)-INDEX($E83:$I83,0,N$8))/(INDEX($D$5:$H$5,0,N$8+1)-INDEX($D$5:$H$5,0,N$8))+M83)))</f>
        <v>70.449825128447586</v>
      </c>
      <c r="O83" s="5" cm="1">
        <f t="array" ref="O83">IF(O$8=-1,P83,IF(O$8=99,N83,IF(O$8=0,INDEX($E83:$I83,0,O$6),(INDEX($E83:$I83,0,O$8+1)-INDEX($E83:$I83,0,O$8))/(INDEX($D$5:$H$5,0,O$8+1)-INDEX($D$5:$H$5,0,O$8))+N83)))</f>
        <v>68.425694841834613</v>
      </c>
      <c r="P83" s="5" cm="1">
        <f t="array" ref="P83">IF(P$8=-1,Q83,IF(P$8=99,O83,IF(P$8=0,INDEX($E83:$I83,0,P$6),(INDEX($E83:$I83,0,P$8+1)-INDEX($E83:$I83,0,P$8))/(INDEX($D$5:$H$5,0,P$8+1)-INDEX($D$5:$H$5,0,P$8))+O83)))</f>
        <v>66.40156455522164</v>
      </c>
      <c r="Q83" s="5" cm="1">
        <f t="array" ref="Q83">IF(Q$8=-1,R83,IF(Q$8=99,P83,IF(Q$8=0,INDEX($E83:$I83,0,Q$6),(INDEX($E83:$I83,0,Q$8+1)-INDEX($E83:$I83,0,Q$8))/(INDEX($D$5:$H$5,0,Q$8+1)-INDEX($D$5:$H$5,0,Q$8))+P83)))</f>
        <v>64.377434268608681</v>
      </c>
      <c r="R83" s="5" cm="1">
        <f t="array" ref="R83">IF(R$8=-1,S83,IF(R$8=99,Q83,IF(R$8=0,INDEX($E83:$I83,0,R$6),(INDEX($E83:$I83,0,R$8+1)-INDEX($E83:$I83,0,R$8))/(INDEX($D$5:$H$5,0,R$8+1)-INDEX($D$5:$H$5,0,R$8))+Q83)))</f>
        <v>64.377434268608681</v>
      </c>
      <c r="S83" s="5" cm="1">
        <f t="array" ref="S83">IF(S$8=-1,T83,IF(S$8=99,R83,IF(S$8=0,INDEX($E83:$I83,0,S$6),(INDEX($E83:$I83,0,S$8+1)-INDEX($E83:$I83,0,S$8))/(INDEX($D$5:$H$5,0,S$8+1)-INDEX($D$5:$H$5,0,S$8))+R83)))</f>
        <v>64.377434268608681</v>
      </c>
      <c r="T83" s="5" cm="1">
        <f t="array" ref="T83">IF(T$8=-1,U83,IF(T$8=99,S83,IF(T$8=0,INDEX($E83:$I83,0,T$6),(INDEX($E83:$I83,0,T$8+1)-INDEX($E83:$I83,0,T$8))/(INDEX($D$5:$H$5,0,T$8+1)-INDEX($D$5:$H$5,0,T$8))+S83)))</f>
        <v>64.377434268608681</v>
      </c>
      <c r="U83" s="5" cm="1">
        <f t="array" ref="U83">IF(U$8=-1,V83,IF(U$8=99,T83,IF(U$8=0,INDEX($E83:$I83,0,U$6),(INDEX($E83:$I83,0,U$8+1)-INDEX($E83:$I83,0,U$8))/(INDEX($D$5:$H$5,0,U$8+1)-INDEX($D$5:$H$5,0,U$8))+T83)))</f>
        <v>62.378029824840013</v>
      </c>
      <c r="V83" s="5" cm="1">
        <f t="array" ref="V83">IF(V$8=-1,W83,IF(V$8=99,U83,IF(V$8=0,INDEX($E83:$I83,0,V$6),(INDEX($E83:$I83,0,V$8+1)-INDEX($E83:$I83,0,V$8))/(INDEX($D$5:$H$5,0,V$8+1)-INDEX($D$5:$H$5,0,V$8))+U83)))</f>
        <v>60.378625381071345</v>
      </c>
      <c r="W83" s="5" cm="1">
        <f t="array" ref="W83">IF(W$8=-1,X83,IF(W$8=99,V83,IF(W$8=0,INDEX($E83:$I83,0,W$6),(INDEX($E83:$I83,0,W$8+1)-INDEX($E83:$I83,0,W$8))/(INDEX($D$5:$H$5,0,W$8+1)-INDEX($D$5:$H$5,0,W$8))+V83)))</f>
        <v>58.379220937302676</v>
      </c>
      <c r="X83" s="5" cm="1">
        <f t="array" ref="X83">IF(X$8=-1,Y83,IF(X$8=99,W83,IF(X$8=0,INDEX($E83:$I83,0,X$6),(INDEX($E83:$I83,0,X$8+1)-INDEX($E83:$I83,0,X$8))/(INDEX($D$5:$H$5,0,X$8+1)-INDEX($D$5:$H$5,0,X$8))+W83)))</f>
        <v>56.379816493534008</v>
      </c>
      <c r="Y83" s="5" cm="1">
        <f t="array" ref="Y83">IF(Y$8=-1,Z83,IF(Y$8=99,X83,IF(Y$8=0,INDEX($E83:$I83,0,Y$6),(INDEX($E83:$I83,0,Y$8+1)-INDEX($E83:$I83,0,Y$8))/(INDEX($D$5:$H$5,0,Y$8+1)-INDEX($D$5:$H$5,0,Y$8))+X83)))</f>
        <v>54.38041204976534</v>
      </c>
      <c r="Z83" s="5" cm="1">
        <f t="array" ref="Z83">IF(Z$8=-1,AA83,IF(Z$8=99,Y83,IF(Z$8=0,INDEX($E83:$I83,0,Z$6),(INDEX($E83:$I83,0,Z$8+1)-INDEX($E83:$I83,0,Z$8))/(INDEX($D$5:$H$5,0,Z$8+1)-INDEX($D$5:$H$5,0,Z$8))+Y83)))</f>
        <v>52.381007605996672</v>
      </c>
      <c r="AA83" s="5" cm="1">
        <f t="array" ref="AA83">IF(AA$8=-1,AB83,IF(AA$8=99,Z83,IF(AA$8=0,INDEX($E83:$I83,0,AA$6),(INDEX($E83:$I83,0,AA$8+1)-INDEX($E83:$I83,0,AA$8))/(INDEX($D$5:$H$5,0,AA$8+1)-INDEX($D$5:$H$5,0,AA$8))+Z83)))</f>
        <v>50.381603162228004</v>
      </c>
      <c r="AB83" s="5" cm="1">
        <f t="array" ref="AB83">IF(AB$8=-1,AC83,IF(AB$8=99,AA83,IF(AB$8=0,INDEX($E83:$I83,0,AB$6),(INDEX($E83:$I83,0,AB$8+1)-INDEX($E83:$I83,0,AB$8))/(INDEX($D$5:$H$5,0,AB$8+1)-INDEX($D$5:$H$5,0,AB$8))+AA83)))</f>
        <v>48.382198718459335</v>
      </c>
      <c r="AC83" s="5" cm="1">
        <f t="array" ref="AC83">IF(AC$8=-1,AD83,IF(AC$8=99,AB83,IF(AC$8=0,INDEX($E83:$I83,0,AC$6),(INDEX($E83:$I83,0,AC$8+1)-INDEX($E83:$I83,0,AC$8))/(INDEX($D$5:$H$5,0,AC$8+1)-INDEX($D$5:$H$5,0,AC$8))+AB83)))</f>
        <v>46.382794274690667</v>
      </c>
      <c r="AD83" s="5" cm="1">
        <f t="array" ref="AD83">IF(AD$8=-1,AE83,IF(AD$8=99,AC83,IF(AD$8=0,INDEX($E83:$I83,0,AD$6),(INDEX($E83:$I83,0,AD$8+1)-INDEX($E83:$I83,0,AD$8))/(INDEX($D$5:$H$5,0,AD$8+1)-INDEX($D$5:$H$5,0,AD$8))+AC83)))</f>
        <v>44.383389830921978</v>
      </c>
      <c r="AE83" s="5" cm="1">
        <f t="array" ref="AE83">IF(AE$8=-1,AF83,IF(AE$8=99,AD83,IF(AE$8=0,INDEX($E83:$I83,0,AE$6),(INDEX($E83:$I83,0,AE$8+1)-INDEX($E83:$I83,0,AE$8))/(INDEX($D$5:$H$5,0,AE$8+1)-INDEX($D$5:$H$5,0,AE$8))+AD83)))</f>
        <v>44.383389830921978</v>
      </c>
      <c r="AF83" s="5" cm="1">
        <f t="array" ref="AF83">IF(AF$8=-1,AG83,IF(AF$8=99,AE83,IF(AF$8=0,INDEX($E83:$I83,0,AF$6),(INDEX($E83:$I83,0,AF$8+1)-INDEX($E83:$I83,0,AF$8))/(INDEX($D$5:$H$5,0,AF$8+1)-INDEX($D$5:$H$5,0,AF$8))+AE83)))</f>
        <v>44.383389830921978</v>
      </c>
      <c r="AG83" s="5" cm="1">
        <f t="array" ref="AG83">IF(AG$8=-1,AH83,IF(AG$8=99,AF83,IF(AG$8=0,INDEX($E83:$I83,0,AG$6),(INDEX($E83:$I83,0,AG$8+1)-INDEX($E83:$I83,0,AG$8))/(INDEX($D$5:$H$5,0,AG$8+1)-INDEX($D$5:$H$5,0,AG$8))+AF83)))</f>
        <v>44.383389830921978</v>
      </c>
      <c r="AH83" s="5" cm="1">
        <f t="array" ref="AH83">IF(AH$8=-1,AI83,IF(AH$8=99,AG83,IF(AH$8=0,INDEX($E83:$I83,0,AH$6),(INDEX($E83:$I83,0,AH$8+1)-INDEX($E83:$I83,0,AH$8))/(INDEX($D$5:$H$5,0,AH$8+1)-INDEX($D$5:$H$5,0,AH$8))+AG83)))</f>
        <v>44.383389830921978</v>
      </c>
      <c r="AI83" s="5" cm="1">
        <f t="array" ref="AI83">IF(AI$8=-1,AJ83,IF(AI$8=99,AH83,IF(AI$8=0,INDEX($E83:$I83,0,AI$6),(INDEX($E83:$I83,0,AI$8+1)-INDEX($E83:$I83,0,AI$8))/(INDEX($D$5:$H$5,0,AI$8+1)-INDEX($D$5:$H$5,0,AI$8))+AH83)))</f>
        <v>44.383389830921978</v>
      </c>
      <c r="AJ83" s="5" cm="1">
        <f t="array" ref="AJ83">IF(AJ$8=-1,AK83,IF(AJ$8=99,AI83,IF(AJ$8=0,INDEX($E83:$I83,0,AJ$6),(INDEX($E83:$I83,0,AJ$8+1)-INDEX($E83:$I83,0,AJ$8))/(INDEX($D$5:$H$5,0,AJ$8+1)-INDEX($D$5:$H$5,0,AJ$8))+AI83)))</f>
        <v>44.383389830921978</v>
      </c>
      <c r="AK83" s="5" cm="1">
        <f t="array" ref="AK83">IF(AK$8=-1,AL83,IF(AK$8=99,AJ83,IF(AK$8=0,INDEX($E83:$I83,0,AK$6),(INDEX($E83:$I83,0,AK$8+1)-INDEX($E83:$I83,0,AK$8))/(INDEX($D$5:$H$5,0,AK$8+1)-INDEX($D$5:$H$5,0,AK$8))+AJ83)))</f>
        <v>44.383389830921978</v>
      </c>
      <c r="AL83" s="5" cm="1">
        <f t="array" ref="AL83">IF(AL$8=-1,AM83,IF(AL$8=99,AK83,IF(AL$8=0,INDEX($E83:$I83,0,AL$6),(INDEX($E83:$I83,0,AL$8+1)-INDEX($E83:$I83,0,AL$8))/(INDEX($D$5:$H$5,0,AL$8+1)-INDEX($D$5:$H$5,0,AL$8))+AK83)))</f>
        <v>44.383389830921978</v>
      </c>
      <c r="AM83" s="5" cm="1">
        <f t="array" ref="AM83">IF(AM$8=-1,AN83,IF(AM$8=99,AL83,IF(AM$8=0,INDEX($E83:$I83,0,AM$6),(INDEX($E83:$I83,0,AM$8+1)-INDEX($E83:$I83,0,AM$8))/(INDEX($D$5:$H$5,0,AM$8+1)-INDEX($D$5:$H$5,0,AM$8))+AL83)))</f>
        <v>44.383389830921978</v>
      </c>
      <c r="AN83" s="5" cm="1">
        <f t="array" ref="AN83">IF(AN$8=-1,AO83,IF(AN$8=99,AM83,IF(AN$8=0,INDEX($E83:$I83,0,AN$6),(INDEX($E83:$I83,0,AN$8+1)-INDEX($E83:$I83,0,AN$8))/(INDEX($D$5:$H$5,0,AN$8+1)-INDEX($D$5:$H$5,0,AN$8))+AM83)))</f>
        <v>44.383389830921978</v>
      </c>
      <c r="AO83" s="5" cm="1">
        <f t="array" ref="AO83">IF(AO$8=-1,AP83,IF(AO$8=99,AN83,IF(AO$8=0,INDEX($E83:$K83,0,AO$6),(INDEX($E83:$K83,0,AO$8+1)-INDEX($E83:$K83,0,AO$8))/(INDEX($D$5:$J$5,0,AO$8+1)-INDEX($D$5:$J$5,0,AO$8))+AN83)))</f>
        <v>44.383389830921978</v>
      </c>
      <c r="AP83" s="5" cm="1">
        <f t="array" ref="AP83">IF(AP$8=-1,AQ83,IF(AP$8=99,AO83,IF(AP$8=0,INDEX($E83:$K83,0,AP$6),(INDEX($E83:$K83,0,AP$8+1)-INDEX($E83:$K83,0,AP$8))/(INDEX($D$5:$J$5,0,AP$8+1)-INDEX($D$5:$J$5,0,AP$8))+AO83)))</f>
        <v>44.383389830921978</v>
      </c>
      <c r="AQ83" s="5" cm="1">
        <f t="array" ref="AQ83">IF(AQ$8=-1,AR83,IF(AQ$8=99,AP83,IF(AQ$8=0,INDEX($E83:$K83,0,AQ$6),(INDEX($E83:$K83,0,AQ$8+1)-INDEX($E83:$K83,0,AQ$8))/(INDEX($D$5:$J$5,0,AQ$8+1)-INDEX($D$5:$J$5,0,AQ$8))+AP83)))</f>
        <v>44.383389830921978</v>
      </c>
      <c r="AR83" s="5" cm="1">
        <f t="array" ref="AR83">IF(AR$8=-1,AS83,IF(AR$8=99,AQ83,IF(AR$8=0,INDEX($E83:$K83,0,AR$6),(INDEX($E83:$K83,0,AR$8+1)-INDEX($E83:$K83,0,AR$8))/(INDEX($D$5:$J$5,0,AR$8+1)-INDEX($D$5:$J$5,0,AR$8))+AQ83)))</f>
        <v>44.383389830921978</v>
      </c>
      <c r="AS83" s="5" cm="1">
        <f t="array" ref="AS83">IF(AS$8=-1,AT83,IF(AS$8=99,AR83,IF(AS$8=0,INDEX($E83:$K83,0,AS$6),(INDEX($E83:$K83,0,AS$8+1)-INDEX($E83:$K83,0,AS$8))/(INDEX($D$5:$J$5,0,AS$8+1)-INDEX($D$5:$J$5,0,AS$8))+AR83)))</f>
        <v>44.383389830921978</v>
      </c>
      <c r="AT83" s="5" cm="1">
        <f t="array" ref="AT83">IF(AT$8=-1,AU83,IF(AT$8=99,AS83,IF(AT$8=0,INDEX($E83:$K83,0,AT$6),(INDEX($E83:$K83,0,AT$8+1)-INDEX($E83:$K83,0,AT$8))/(INDEX($D$5:$J$5,0,AT$8+1)-INDEX($D$5:$J$5,0,AT$8))+AS83)))</f>
        <v>44.383389830921978</v>
      </c>
      <c r="AU83" s="5" cm="1">
        <f t="array" ref="AU83">IF(AU$8=-1,AV83,IF(AU$8=99,AT83,IF(AU$8=0,INDEX($E83:$K83,0,AU$6),(INDEX($E83:$K83,0,AU$8+1)-INDEX($E83:$K83,0,AU$8))/(INDEX($D$5:$J$5,0,AU$8+1)-INDEX($D$5:$J$5,0,AU$8))+AT83)))</f>
        <v>44.383389830921978</v>
      </c>
      <c r="AV83" s="5" cm="1">
        <f t="array" ref="AV83">IF(AV$8=-1,AW83,IF(AV$8=99,AU83,IF(AV$8=0,INDEX($E83:$K83,0,AV$6),(INDEX($E83:$K83,0,AV$8+1)-INDEX($E83:$K83,0,AV$8))/(INDEX($D$5:$J$5,0,AV$8+1)-INDEX($D$5:$J$5,0,AV$8))+AU83)))</f>
        <v>44.383389830921978</v>
      </c>
      <c r="AW83" s="5" cm="1">
        <f t="array" ref="AW83">IF(AW$8=-1,AX83,IF(AW$8=99,AV83,IF(AW$8=0,INDEX($E83:$K83,0,AW$6),(INDEX($E83:$K83,0,AW$8+1)-INDEX($E83:$K83,0,AW$8))/(INDEX($D$5:$J$5,0,AW$8+1)-INDEX($D$5:$J$5,0,AW$8))+AV83)))</f>
        <v>44.383389830921978</v>
      </c>
      <c r="AX83" s="5" cm="1">
        <f t="array" ref="AX83">IF(AX$8=-1,AY83,IF(AX$8=99,AW83,IF(AX$8=0,INDEX($E83:$K83,0,AX$6),(INDEX($E83:$K83,0,AX$8+1)-INDEX($E83:$K83,0,AX$8))/(INDEX($D$5:$J$5,0,AX$8+1)-INDEX($D$5:$J$5,0,AX$8))+AW83)))</f>
        <v>44.383389830921978</v>
      </c>
      <c r="AY83" s="5" cm="1">
        <f t="array" ref="AY83">IF(AY$8=-1,AZ83,IF(AY$8=99,AX83,IF(AY$8=0,INDEX($E83:$K83,0,AY$6),(INDEX($E83:$K83,0,AY$8+1)-INDEX($E83:$K83,0,AY$8))/(INDEX($D$5:$J$5,0,AY$8+1)-INDEX($D$5:$J$5,0,AY$8))+AX83)))</f>
        <v>44.383389830921978</v>
      </c>
      <c r="AZ83" s="5" cm="1">
        <f t="array" ref="AZ83">IF(AZ$8=-1,BA83,IF(AZ$8=99,AY83,IF(AZ$8=0,INDEX($E83:$K83,0,AZ$6),(INDEX($E83:$K83,0,AZ$8+1)-INDEX($E83:$K83,0,AZ$8))/(INDEX($D$5:$J$5,0,AZ$8+1)-INDEX($D$5:$J$5,0,AZ$8))+AY83)))</f>
        <v>44.383389830921978</v>
      </c>
      <c r="BA83" s="5" cm="1">
        <f t="array" ref="BA83">IF(BA$8=-1,BB83,IF(BA$8=99,AZ83,IF(BA$8=0,INDEX($E83:$K83,0,BA$6),(INDEX($E83:$K83,0,BA$8+1)-INDEX($E83:$K83,0,BA$8))/(INDEX($D$5:$J$5,0,BA$8+1)-INDEX($D$5:$J$5,0,BA$8))+AZ83)))</f>
        <v>44.383389830921978</v>
      </c>
      <c r="BB83" s="5" cm="1">
        <f t="array" ref="BB83">IF(BB$8=-1,BC83,IF(BB$8=99,BA83,IF(BB$8=0,INDEX($E83:$K83,0,BB$6),(INDEX($E83:$K83,0,BB$8+1)-INDEX($E83:$K83,0,BB$8))/(INDEX($D$5:$J$5,0,BB$8+1)-INDEX($D$5:$J$5,0,BB$8))+BA83)))</f>
        <v>44.383389830921978</v>
      </c>
      <c r="BC83" s="5" cm="1">
        <f t="array" ref="BC83">IF(BC$8=-1,BD83,IF(BC$8=99,BB83,IF(BC$8=0,INDEX($E83:$K83,0,BC$6),(INDEX($E83:$K83,0,BC$8+1)-INDEX($E83:$K83,0,BC$8))/(INDEX($D$5:$J$5,0,BC$8+1)-INDEX($D$5:$J$5,0,BC$8))+BB83)))</f>
        <v>44.383389830921978</v>
      </c>
      <c r="BD83" s="5" cm="1">
        <f t="array" ref="BD83">IF(BD$8=-1,BE83,IF(BD$8=99,BC83,IF(BD$8=0,INDEX($E83:$K83,0,BD$6),(INDEX($E83:$K83,0,BD$8+1)-INDEX($E83:$K83,0,BD$8))/(INDEX($D$5:$J$5,0,BD$8+1)-INDEX($D$5:$J$5,0,BD$8))+BC83)))</f>
        <v>44.383389830921978</v>
      </c>
      <c r="BE83" s="5" cm="1">
        <f t="array" ref="BE83">IF(BE$8=-1,BF83,IF(BE$8=99,BD83,IF(BE$8=0,INDEX($E83:$K83,0,BE$6),(INDEX($E83:$K83,0,BE$8+1)-INDEX($E83:$K83,0,BE$8))/(INDEX($D$5:$J$5,0,BE$8+1)-INDEX($D$5:$J$5,0,BE$8))+BD83)))</f>
        <v>44.383389830921978</v>
      </c>
      <c r="BF83" s="5" cm="1">
        <f t="array" ref="BF83">IF(BF$8=-1,BG83,IF(BF$8=99,BE83,IF(BF$8=0,INDEX($E83:$K83,0,BF$6),(INDEX($E83:$K83,0,BF$8+1)-INDEX($E83:$K83,0,BF$8))/(INDEX($D$5:$J$5,0,BF$8+1)-INDEX($D$5:$J$5,0,BF$8))+BE83)))</f>
        <v>44.383389830921978</v>
      </c>
      <c r="BG83" s="5" cm="1">
        <f t="array" ref="BG83">IF(BG$8=-1,BH83,IF(BG$8=99,BF83,IF(BG$8=0,INDEX($E83:$K83,0,BG$6),(INDEX($E83:$K83,0,BG$8+1)-INDEX($E83:$K83,0,BG$8))/(INDEX($D$5:$J$5,0,BG$8+1)-INDEX($D$5:$J$5,0,BG$8))+BF83)))</f>
        <v>44.383389830921978</v>
      </c>
      <c r="BH83" s="5" cm="1">
        <f t="array" ref="BH83">IF(BH$8=-1,BI83,IF(BH$8=99,BG83,IF(BH$8=0,INDEX($E83:$K83,0,BH$6),(INDEX($E83:$K83,0,BH$8+1)-INDEX($E83:$K83,0,BH$8))/(INDEX($D$5:$J$5,0,BH$8+1)-INDEX($D$5:$J$5,0,BH$8))+BG83)))</f>
        <v>44.383389830921978</v>
      </c>
      <c r="BI83" s="5" cm="1">
        <f t="array" ref="BI83">IF(BI$8=-1,BJ83,IF(BI$8=99,BH83,IF(BI$8=0,INDEX($E83:$K83,0,BI$6),(INDEX($E83:$K83,0,BI$8+1)-INDEX($E83:$K83,0,BI$8))/(INDEX($D$5:$J$5,0,BI$8+1)-INDEX($D$5:$J$5,0,BI$8))+BH83)))</f>
        <v>44.383389830921978</v>
      </c>
      <c r="BJ83" s="5" cm="1">
        <f t="array" ref="BJ83">IF(BJ$8=-1,BK83,IF(BJ$8=99,BI83,IF(BJ$8=0,INDEX($E83:$K83,0,BJ$6),(INDEX($E83:$K83,0,BJ$8+1)-INDEX($E83:$K83,0,BJ$8))/(INDEX($D$5:$J$5,0,BJ$8+1)-INDEX($D$5:$J$5,0,BJ$8))+BI83)))</f>
        <v>44.383389830921978</v>
      </c>
      <c r="BK83" s="5" cm="1">
        <f t="array" ref="BK83">IF(BK$8=-1,BL83,IF(BK$8=99,BJ83,IF(BK$8=0,INDEX($E83:$K83,0,BK$6),(INDEX($E83:$K83,0,BK$8+1)-INDEX($E83:$K83,0,BK$8))/(INDEX($D$5:$J$5,0,BK$8+1)-INDEX($D$5:$J$5,0,BK$8))+BJ83)))</f>
        <v>44.383389830921978</v>
      </c>
      <c r="BL83" s="5" cm="1">
        <f t="array" ref="BL83">IF(BL$8=-1,BM83,IF(BL$8=99,BK83,IF(BL$8=0,INDEX($E83:$K83,0,BL$6),(INDEX($E83:$K83,0,BL$8+1)-INDEX($E83:$K83,0,BL$8))/(INDEX($D$5:$J$5,0,BL$8+1)-INDEX($D$5:$J$5,0,BL$8))+BK83)))</f>
        <v>44.383389830921978</v>
      </c>
      <c r="BM83" s="5" cm="1">
        <f t="array" ref="BM83">IF(BM$8=-1,BN83,IF(BM$8=99,BL83,IF(BM$8=0,INDEX($E83:$K83,0,BM$6),(INDEX($E83:$K83,0,BM$8+1)-INDEX($E83:$K83,0,BM$8))/(INDEX($D$5:$J$5,0,BM$8+1)-INDEX($D$5:$J$5,0,BM$8))+BL83)))</f>
        <v>44.383389830921978</v>
      </c>
      <c r="BN83" s="5" cm="1">
        <f t="array" ref="BN83">IF(BN$8=-1,BO83,IF(BN$8=99,BM83,IF(BN$8=0,INDEX($E83:$K83,0,BN$6),(INDEX($E83:$K83,0,BN$8+1)-INDEX($E83:$K83,0,BN$8))/(INDEX($D$5:$J$5,0,BN$8+1)-INDEX($D$5:$J$5,0,BN$8))+BM83)))</f>
        <v>44.383389830921978</v>
      </c>
      <c r="BO83" s="5" cm="1">
        <f t="array" ref="BO83">IF(BO$8=-1,BP83,IF(BO$8=99,BN83,IF(BO$8=0,INDEX($E83:$K83,0,BO$6),(INDEX($E83:$K83,0,BO$8+1)-INDEX($E83:$K83,0,BO$8))/(INDEX($D$5:$J$5,0,BO$8+1)-INDEX($D$5:$J$5,0,BO$8))+BN83)))</f>
        <v>44.383389830921978</v>
      </c>
      <c r="BP83" s="5" cm="1">
        <f t="array" ref="BP83">IF(BP$8=-1,BQ83,IF(BP$8=99,BO83,IF(BP$8=0,INDEX($E83:$K83,0,BP$6),(INDEX($E83:$K83,0,BP$8+1)-INDEX($E83:$K83,0,BP$8))/(INDEX($D$5:$J$5,0,BP$8+1)-INDEX($D$5:$J$5,0,BP$8))+BO83)))</f>
        <v>44.383389830921978</v>
      </c>
      <c r="BQ83" s="5" cm="1">
        <f t="array" ref="BQ83">IF(BQ$8=-1,BR83,IF(BQ$8=99,BP83,IF(BQ$8=0,INDEX($E83:$K83,0,BQ$6),(INDEX($E83:$K83,0,BQ$8+1)-INDEX($E83:$K83,0,BQ$8))/(INDEX($D$5:$J$5,0,BQ$8+1)-INDEX($D$5:$J$5,0,BQ$8))+BP83)))</f>
        <v>44.383389830921978</v>
      </c>
      <c r="BR83" s="5" cm="1">
        <f t="array" ref="BR83">IF(BR$8=-1,BS83,IF(BR$8=99,BQ83,IF(BR$8=0,INDEX($E83:$K83,0,BR$6),(INDEX($E83:$K83,0,BR$8+1)-INDEX($E83:$K83,0,BR$8))/(INDEX($D$5:$J$5,0,BR$8+1)-INDEX($D$5:$J$5,0,BR$8))+BQ83)))</f>
        <v>44.383389830921978</v>
      </c>
    </row>
    <row r="84" spans="1:70">
      <c r="A84" t="s">
        <v>16</v>
      </c>
      <c r="B84" s="223" t="s">
        <v>237</v>
      </c>
      <c r="C84" s="70" t="str">
        <f t="shared" si="143"/>
        <v>Commercial - Lighting</v>
      </c>
      <c r="D84" s="70" t="s">
        <v>66</v>
      </c>
      <c r="E84" s="79">
        <f t="shared" si="148"/>
        <v>915.10615144128838</v>
      </c>
      <c r="F84" s="87">
        <f t="shared" si="148"/>
        <v>802.64469417063674</v>
      </c>
      <c r="G84" s="87">
        <f t="shared" si="144"/>
        <v>802.64469417063674</v>
      </c>
      <c r="H84" s="87">
        <f t="shared" si="149"/>
        <v>548.17658817580741</v>
      </c>
      <c r="I84" s="131">
        <f t="shared" si="145"/>
        <v>548.17658817580741</v>
      </c>
      <c r="J84" s="131">
        <f t="shared" si="146"/>
        <v>548.17658817580741</v>
      </c>
      <c r="K84" s="131">
        <f t="shared" si="147"/>
        <v>548.17658817580741</v>
      </c>
      <c r="L84" s="5" cm="1">
        <f t="array" ref="L84">IF(L$8=-1,M84,IF(L$8=99,I84,IF(L$8=0,INDEX($E84:$I84,0,L$6),(INDEX($E84:$I84,0,L$8+1)-INDEX($E84:$I84,0,L$8))/(INDEX($D$5:$H$5,0,L$8+1)-INDEX($D$5:$H$5,0,L$8))+I84)))</f>
        <v>915.10615144128838</v>
      </c>
      <c r="M84" s="5" cm="1">
        <f t="array" ref="M84">IF(M$8=-1,N84,IF(M$8=99,L84,IF(M$8=0,INDEX($E84:$I84,0,M$6),(INDEX($E84:$I84,0,M$8+1)-INDEX($E84:$I84,0,M$8))/(INDEX($D$5:$H$5,0,M$8+1)-INDEX($D$5:$H$5,0,M$8))+L84)))</f>
        <v>892.61385998715809</v>
      </c>
      <c r="N84" s="5" cm="1">
        <f t="array" ref="N84">IF(N$8=-1,O84,IF(N$8=99,M84,IF(N$8=0,INDEX($E84:$I84,0,N$6),(INDEX($E84:$I84,0,N$8+1)-INDEX($E84:$I84,0,N$8))/(INDEX($D$5:$H$5,0,N$8+1)-INDEX($D$5:$H$5,0,N$8))+M84)))</f>
        <v>870.12156853302781</v>
      </c>
      <c r="O84" s="5" cm="1">
        <f t="array" ref="O84">IF(O$8=-1,P84,IF(O$8=99,N84,IF(O$8=0,INDEX($E84:$I84,0,O$6),(INDEX($E84:$I84,0,O$8+1)-INDEX($E84:$I84,0,O$8))/(INDEX($D$5:$H$5,0,O$8+1)-INDEX($D$5:$H$5,0,O$8))+N84)))</f>
        <v>847.62927707889753</v>
      </c>
      <c r="P84" s="5" cm="1">
        <f t="array" ref="P84">IF(P$8=-1,Q84,IF(P$8=99,O84,IF(P$8=0,INDEX($E84:$I84,0,P$6),(INDEX($E84:$I84,0,P$8+1)-INDEX($E84:$I84,0,P$8))/(INDEX($D$5:$H$5,0,P$8+1)-INDEX($D$5:$H$5,0,P$8))+O84)))</f>
        <v>825.13698562476725</v>
      </c>
      <c r="Q84" s="5" cm="1">
        <f t="array" ref="Q84">IF(Q$8=-1,R84,IF(Q$8=99,P84,IF(Q$8=0,INDEX($E84:$I84,0,Q$6),(INDEX($E84:$I84,0,Q$8+1)-INDEX($E84:$I84,0,Q$8))/(INDEX($D$5:$H$5,0,Q$8+1)-INDEX($D$5:$H$5,0,Q$8))+P84)))</f>
        <v>802.64469417063674</v>
      </c>
      <c r="R84" s="5" cm="1">
        <f t="array" ref="R84">IF(R$8=-1,S84,IF(R$8=99,Q84,IF(R$8=0,INDEX($E84:$I84,0,R$6),(INDEX($E84:$I84,0,R$8+1)-INDEX($E84:$I84,0,R$8))/(INDEX($D$5:$H$5,0,R$8+1)-INDEX($D$5:$H$5,0,R$8))+Q84)))</f>
        <v>802.64469417063674</v>
      </c>
      <c r="S84" s="5" cm="1">
        <f t="array" ref="S84">IF(S$8=-1,T84,IF(S$8=99,R84,IF(S$8=0,INDEX($E84:$I84,0,S$6),(INDEX($E84:$I84,0,S$8+1)-INDEX($E84:$I84,0,S$8))/(INDEX($D$5:$H$5,0,S$8+1)-INDEX($D$5:$H$5,0,S$8))+R84)))</f>
        <v>802.64469417063674</v>
      </c>
      <c r="T84" s="5" cm="1">
        <f t="array" ref="T84">IF(T$8=-1,U84,IF(T$8=99,S84,IF(T$8=0,INDEX($E84:$I84,0,T$6),(INDEX($E84:$I84,0,T$8+1)-INDEX($E84:$I84,0,T$8))/(INDEX($D$5:$H$5,0,T$8+1)-INDEX($D$5:$H$5,0,T$8))+S84)))</f>
        <v>802.64469417063674</v>
      </c>
      <c r="U84" s="5" cm="1">
        <f t="array" ref="U84">IF(U$8=-1,V84,IF(U$8=99,T84,IF(U$8=0,INDEX($E84:$I84,0,U$6),(INDEX($E84:$I84,0,U$8+1)-INDEX($E84:$I84,0,U$8))/(INDEX($D$5:$H$5,0,U$8+1)-INDEX($D$5:$H$5,0,U$8))+T84)))</f>
        <v>777.19788357115385</v>
      </c>
      <c r="V84" s="5" cm="1">
        <f t="array" ref="V84">IF(V$8=-1,W84,IF(V$8=99,U84,IF(V$8=0,INDEX($E84:$I84,0,V$6),(INDEX($E84:$I84,0,V$8+1)-INDEX($E84:$I84,0,V$8))/(INDEX($D$5:$H$5,0,V$8+1)-INDEX($D$5:$H$5,0,V$8))+U84)))</f>
        <v>751.75107297167096</v>
      </c>
      <c r="W84" s="5" cm="1">
        <f t="array" ref="W84">IF(W$8=-1,X84,IF(W$8=99,V84,IF(W$8=0,INDEX($E84:$I84,0,W$6),(INDEX($E84:$I84,0,W$8+1)-INDEX($E84:$I84,0,W$8))/(INDEX($D$5:$H$5,0,W$8+1)-INDEX($D$5:$H$5,0,W$8))+V84)))</f>
        <v>726.30426237218808</v>
      </c>
      <c r="X84" s="5" cm="1">
        <f t="array" ref="X84">IF(X$8=-1,Y84,IF(X$8=99,W84,IF(X$8=0,INDEX($E84:$I84,0,X$6),(INDEX($E84:$I84,0,X$8+1)-INDEX($E84:$I84,0,X$8))/(INDEX($D$5:$H$5,0,X$8+1)-INDEX($D$5:$H$5,0,X$8))+W84)))</f>
        <v>700.85745177270519</v>
      </c>
      <c r="Y84" s="5" cm="1">
        <f t="array" ref="Y84">IF(Y$8=-1,Z84,IF(Y$8=99,X84,IF(Y$8=0,INDEX($E84:$I84,0,Y$6),(INDEX($E84:$I84,0,Y$8+1)-INDEX($E84:$I84,0,Y$8))/(INDEX($D$5:$H$5,0,Y$8+1)-INDEX($D$5:$H$5,0,Y$8))+X84)))</f>
        <v>675.4106411732223</v>
      </c>
      <c r="Z84" s="5" cm="1">
        <f t="array" ref="Z84">IF(Z$8=-1,AA84,IF(Z$8=99,Y84,IF(Z$8=0,INDEX($E84:$I84,0,Z$6),(INDEX($E84:$I84,0,Z$8+1)-INDEX($E84:$I84,0,Z$8))/(INDEX($D$5:$H$5,0,Z$8+1)-INDEX($D$5:$H$5,0,Z$8))+Y84)))</f>
        <v>649.96383057373941</v>
      </c>
      <c r="AA84" s="5" cm="1">
        <f t="array" ref="AA84">IF(AA$8=-1,AB84,IF(AA$8=99,Z84,IF(AA$8=0,INDEX($E84:$I84,0,AA$6),(INDEX($E84:$I84,0,AA$8+1)-INDEX($E84:$I84,0,AA$8))/(INDEX($D$5:$H$5,0,AA$8+1)-INDEX($D$5:$H$5,0,AA$8))+Z84)))</f>
        <v>624.51701997425653</v>
      </c>
      <c r="AB84" s="5" cm="1">
        <f t="array" ref="AB84">IF(AB$8=-1,AC84,IF(AB$8=99,AA84,IF(AB$8=0,INDEX($E84:$I84,0,AB$6),(INDEX($E84:$I84,0,AB$8+1)-INDEX($E84:$I84,0,AB$8))/(INDEX($D$5:$H$5,0,AB$8+1)-INDEX($D$5:$H$5,0,AB$8))+AA84)))</f>
        <v>599.07020937477364</v>
      </c>
      <c r="AC84" s="5" cm="1">
        <f t="array" ref="AC84">IF(AC$8=-1,AD84,IF(AC$8=99,AB84,IF(AC$8=0,INDEX($E84:$I84,0,AC$6),(INDEX($E84:$I84,0,AC$8+1)-INDEX($E84:$I84,0,AC$8))/(INDEX($D$5:$H$5,0,AC$8+1)-INDEX($D$5:$H$5,0,AC$8))+AB84)))</f>
        <v>573.62339877529075</v>
      </c>
      <c r="AD84" s="5" cm="1">
        <f t="array" ref="AD84">IF(AD$8=-1,AE84,IF(AD$8=99,AC84,IF(AD$8=0,INDEX($E84:$I84,0,AD$6),(INDEX($E84:$I84,0,AD$8+1)-INDEX($E84:$I84,0,AD$8))/(INDEX($D$5:$H$5,0,AD$8+1)-INDEX($D$5:$H$5,0,AD$8))+AC84)))</f>
        <v>548.17658817580741</v>
      </c>
      <c r="AE84" s="5" cm="1">
        <f t="array" ref="AE84">IF(AE$8=-1,AF84,IF(AE$8=99,AD84,IF(AE$8=0,INDEX($E84:$I84,0,AE$6),(INDEX($E84:$I84,0,AE$8+1)-INDEX($E84:$I84,0,AE$8))/(INDEX($D$5:$H$5,0,AE$8+1)-INDEX($D$5:$H$5,0,AE$8))+AD84)))</f>
        <v>548.17658817580741</v>
      </c>
      <c r="AF84" s="5" cm="1">
        <f t="array" ref="AF84">IF(AF$8=-1,AG84,IF(AF$8=99,AE84,IF(AF$8=0,INDEX($E84:$I84,0,AF$6),(INDEX($E84:$I84,0,AF$8+1)-INDEX($E84:$I84,0,AF$8))/(INDEX($D$5:$H$5,0,AF$8+1)-INDEX($D$5:$H$5,0,AF$8))+AE84)))</f>
        <v>548.17658817580741</v>
      </c>
      <c r="AG84" s="5" cm="1">
        <f t="array" ref="AG84">IF(AG$8=-1,AH84,IF(AG$8=99,AF84,IF(AG$8=0,INDEX($E84:$I84,0,AG$6),(INDEX($E84:$I84,0,AG$8+1)-INDEX($E84:$I84,0,AG$8))/(INDEX($D$5:$H$5,0,AG$8+1)-INDEX($D$5:$H$5,0,AG$8))+AF84)))</f>
        <v>548.17658817580741</v>
      </c>
      <c r="AH84" s="5" cm="1">
        <f t="array" ref="AH84">IF(AH$8=-1,AI84,IF(AH$8=99,AG84,IF(AH$8=0,INDEX($E84:$I84,0,AH$6),(INDEX($E84:$I84,0,AH$8+1)-INDEX($E84:$I84,0,AH$8))/(INDEX($D$5:$H$5,0,AH$8+1)-INDEX($D$5:$H$5,0,AH$8))+AG84)))</f>
        <v>548.17658817580741</v>
      </c>
      <c r="AI84" s="5" cm="1">
        <f t="array" ref="AI84">IF(AI$8=-1,AJ84,IF(AI$8=99,AH84,IF(AI$8=0,INDEX($E84:$I84,0,AI$6),(INDEX($E84:$I84,0,AI$8+1)-INDEX($E84:$I84,0,AI$8))/(INDEX($D$5:$H$5,0,AI$8+1)-INDEX($D$5:$H$5,0,AI$8))+AH84)))</f>
        <v>548.17658817580741</v>
      </c>
      <c r="AJ84" s="5" cm="1">
        <f t="array" ref="AJ84">IF(AJ$8=-1,AK84,IF(AJ$8=99,AI84,IF(AJ$8=0,INDEX($E84:$I84,0,AJ$6),(INDEX($E84:$I84,0,AJ$8+1)-INDEX($E84:$I84,0,AJ$8))/(INDEX($D$5:$H$5,0,AJ$8+1)-INDEX($D$5:$H$5,0,AJ$8))+AI84)))</f>
        <v>548.17658817580741</v>
      </c>
      <c r="AK84" s="5" cm="1">
        <f t="array" ref="AK84">IF(AK$8=-1,AL84,IF(AK$8=99,AJ84,IF(AK$8=0,INDEX($E84:$I84,0,AK$6),(INDEX($E84:$I84,0,AK$8+1)-INDEX($E84:$I84,0,AK$8))/(INDEX($D$5:$H$5,0,AK$8+1)-INDEX($D$5:$H$5,0,AK$8))+AJ84)))</f>
        <v>548.17658817580741</v>
      </c>
      <c r="AL84" s="5" cm="1">
        <f t="array" ref="AL84">IF(AL$8=-1,AM84,IF(AL$8=99,AK84,IF(AL$8=0,INDEX($E84:$I84,0,AL$6),(INDEX($E84:$I84,0,AL$8+1)-INDEX($E84:$I84,0,AL$8))/(INDEX($D$5:$H$5,0,AL$8+1)-INDEX($D$5:$H$5,0,AL$8))+AK84)))</f>
        <v>548.17658817580741</v>
      </c>
      <c r="AM84" s="5" cm="1">
        <f t="array" ref="AM84">IF(AM$8=-1,AN84,IF(AM$8=99,AL84,IF(AM$8=0,INDEX($E84:$I84,0,AM$6),(INDEX($E84:$I84,0,AM$8+1)-INDEX($E84:$I84,0,AM$8))/(INDEX($D$5:$H$5,0,AM$8+1)-INDEX($D$5:$H$5,0,AM$8))+AL84)))</f>
        <v>548.17658817580741</v>
      </c>
      <c r="AN84" s="5" cm="1">
        <f t="array" ref="AN84">IF(AN$8=-1,AO84,IF(AN$8=99,AM84,IF(AN$8=0,INDEX($E84:$I84,0,AN$6),(INDEX($E84:$I84,0,AN$8+1)-INDEX($E84:$I84,0,AN$8))/(INDEX($D$5:$H$5,0,AN$8+1)-INDEX($D$5:$H$5,0,AN$8))+AM84)))</f>
        <v>548.17658817580741</v>
      </c>
      <c r="AO84" s="5" cm="1">
        <f t="array" ref="AO84">IF(AO$8=-1,AP84,IF(AO$8=99,AN84,IF(AO$8=0,INDEX($E84:$K84,0,AO$6),(INDEX($E84:$K84,0,AO$8+1)-INDEX($E84:$K84,0,AO$8))/(INDEX($D$5:$J$5,0,AO$8+1)-INDEX($D$5:$J$5,0,AO$8))+AN84)))</f>
        <v>548.17658817580741</v>
      </c>
      <c r="AP84" s="5" cm="1">
        <f t="array" ref="AP84">IF(AP$8=-1,AQ84,IF(AP$8=99,AO84,IF(AP$8=0,INDEX($E84:$K84,0,AP$6),(INDEX($E84:$K84,0,AP$8+1)-INDEX($E84:$K84,0,AP$8))/(INDEX($D$5:$J$5,0,AP$8+1)-INDEX($D$5:$J$5,0,AP$8))+AO84)))</f>
        <v>548.17658817580741</v>
      </c>
      <c r="AQ84" s="5" cm="1">
        <f t="array" ref="AQ84">IF(AQ$8=-1,AR84,IF(AQ$8=99,AP84,IF(AQ$8=0,INDEX($E84:$K84,0,AQ$6),(INDEX($E84:$K84,0,AQ$8+1)-INDEX($E84:$K84,0,AQ$8))/(INDEX($D$5:$J$5,0,AQ$8+1)-INDEX($D$5:$J$5,0,AQ$8))+AP84)))</f>
        <v>548.17658817580741</v>
      </c>
      <c r="AR84" s="5" cm="1">
        <f t="array" ref="AR84">IF(AR$8=-1,AS84,IF(AR$8=99,AQ84,IF(AR$8=0,INDEX($E84:$K84,0,AR$6),(INDEX($E84:$K84,0,AR$8+1)-INDEX($E84:$K84,0,AR$8))/(INDEX($D$5:$J$5,0,AR$8+1)-INDEX($D$5:$J$5,0,AR$8))+AQ84)))</f>
        <v>548.17658817580741</v>
      </c>
      <c r="AS84" s="5" cm="1">
        <f t="array" ref="AS84">IF(AS$8=-1,AT84,IF(AS$8=99,AR84,IF(AS$8=0,INDEX($E84:$K84,0,AS$6),(INDEX($E84:$K84,0,AS$8+1)-INDEX($E84:$K84,0,AS$8))/(INDEX($D$5:$J$5,0,AS$8+1)-INDEX($D$5:$J$5,0,AS$8))+AR84)))</f>
        <v>548.17658817580741</v>
      </c>
      <c r="AT84" s="5" cm="1">
        <f t="array" ref="AT84">IF(AT$8=-1,AU84,IF(AT$8=99,AS84,IF(AT$8=0,INDEX($E84:$K84,0,AT$6),(INDEX($E84:$K84,0,AT$8+1)-INDEX($E84:$K84,0,AT$8))/(INDEX($D$5:$J$5,0,AT$8+1)-INDEX($D$5:$J$5,0,AT$8))+AS84)))</f>
        <v>548.17658817580741</v>
      </c>
      <c r="AU84" s="5" cm="1">
        <f t="array" ref="AU84">IF(AU$8=-1,AV84,IF(AU$8=99,AT84,IF(AU$8=0,INDEX($E84:$K84,0,AU$6),(INDEX($E84:$K84,0,AU$8+1)-INDEX($E84:$K84,0,AU$8))/(INDEX($D$5:$J$5,0,AU$8+1)-INDEX($D$5:$J$5,0,AU$8))+AT84)))</f>
        <v>548.17658817580741</v>
      </c>
      <c r="AV84" s="5" cm="1">
        <f t="array" ref="AV84">IF(AV$8=-1,AW84,IF(AV$8=99,AU84,IF(AV$8=0,INDEX($E84:$K84,0,AV$6),(INDEX($E84:$K84,0,AV$8+1)-INDEX($E84:$K84,0,AV$8))/(INDEX($D$5:$J$5,0,AV$8+1)-INDEX($D$5:$J$5,0,AV$8))+AU84)))</f>
        <v>548.17658817580741</v>
      </c>
      <c r="AW84" s="5" cm="1">
        <f t="array" ref="AW84">IF(AW$8=-1,AX84,IF(AW$8=99,AV84,IF(AW$8=0,INDEX($E84:$K84,0,AW$6),(INDEX($E84:$K84,0,AW$8+1)-INDEX($E84:$K84,0,AW$8))/(INDEX($D$5:$J$5,0,AW$8+1)-INDEX($D$5:$J$5,0,AW$8))+AV84)))</f>
        <v>548.17658817580741</v>
      </c>
      <c r="AX84" s="5" cm="1">
        <f t="array" ref="AX84">IF(AX$8=-1,AY84,IF(AX$8=99,AW84,IF(AX$8=0,INDEX($E84:$K84,0,AX$6),(INDEX($E84:$K84,0,AX$8+1)-INDEX($E84:$K84,0,AX$8))/(INDEX($D$5:$J$5,0,AX$8+1)-INDEX($D$5:$J$5,0,AX$8))+AW84)))</f>
        <v>548.17658817580741</v>
      </c>
      <c r="AY84" s="5" cm="1">
        <f t="array" ref="AY84">IF(AY$8=-1,AZ84,IF(AY$8=99,AX84,IF(AY$8=0,INDEX($E84:$K84,0,AY$6),(INDEX($E84:$K84,0,AY$8+1)-INDEX($E84:$K84,0,AY$8))/(INDEX($D$5:$J$5,0,AY$8+1)-INDEX($D$5:$J$5,0,AY$8))+AX84)))</f>
        <v>548.17658817580741</v>
      </c>
      <c r="AZ84" s="5" cm="1">
        <f t="array" ref="AZ84">IF(AZ$8=-1,BA84,IF(AZ$8=99,AY84,IF(AZ$8=0,INDEX($E84:$K84,0,AZ$6),(INDEX($E84:$K84,0,AZ$8+1)-INDEX($E84:$K84,0,AZ$8))/(INDEX($D$5:$J$5,0,AZ$8+1)-INDEX($D$5:$J$5,0,AZ$8))+AY84)))</f>
        <v>548.17658817580741</v>
      </c>
      <c r="BA84" s="5" cm="1">
        <f t="array" ref="BA84">IF(BA$8=-1,BB84,IF(BA$8=99,AZ84,IF(BA$8=0,INDEX($E84:$K84,0,BA$6),(INDEX($E84:$K84,0,BA$8+1)-INDEX($E84:$K84,0,BA$8))/(INDEX($D$5:$J$5,0,BA$8+1)-INDEX($D$5:$J$5,0,BA$8))+AZ84)))</f>
        <v>548.17658817580741</v>
      </c>
      <c r="BB84" s="5" cm="1">
        <f t="array" ref="BB84">IF(BB$8=-1,BC84,IF(BB$8=99,BA84,IF(BB$8=0,INDEX($E84:$K84,0,BB$6),(INDEX($E84:$K84,0,BB$8+1)-INDEX($E84:$K84,0,BB$8))/(INDEX($D$5:$J$5,0,BB$8+1)-INDEX($D$5:$J$5,0,BB$8))+BA84)))</f>
        <v>548.17658817580741</v>
      </c>
      <c r="BC84" s="5" cm="1">
        <f t="array" ref="BC84">IF(BC$8=-1,BD84,IF(BC$8=99,BB84,IF(BC$8=0,INDEX($E84:$K84,0,BC$6),(INDEX($E84:$K84,0,BC$8+1)-INDEX($E84:$K84,0,BC$8))/(INDEX($D$5:$J$5,0,BC$8+1)-INDEX($D$5:$J$5,0,BC$8))+BB84)))</f>
        <v>548.17658817580741</v>
      </c>
      <c r="BD84" s="5" cm="1">
        <f t="array" ref="BD84">IF(BD$8=-1,BE84,IF(BD$8=99,BC84,IF(BD$8=0,INDEX($E84:$K84,0,BD$6),(INDEX($E84:$K84,0,BD$8+1)-INDEX($E84:$K84,0,BD$8))/(INDEX($D$5:$J$5,0,BD$8+1)-INDEX($D$5:$J$5,0,BD$8))+BC84)))</f>
        <v>548.17658817580741</v>
      </c>
      <c r="BE84" s="5" cm="1">
        <f t="array" ref="BE84">IF(BE$8=-1,BF84,IF(BE$8=99,BD84,IF(BE$8=0,INDEX($E84:$K84,0,BE$6),(INDEX($E84:$K84,0,BE$8+1)-INDEX($E84:$K84,0,BE$8))/(INDEX($D$5:$J$5,0,BE$8+1)-INDEX($D$5:$J$5,0,BE$8))+BD84)))</f>
        <v>548.17658817580741</v>
      </c>
      <c r="BF84" s="5" cm="1">
        <f t="array" ref="BF84">IF(BF$8=-1,BG84,IF(BF$8=99,BE84,IF(BF$8=0,INDEX($E84:$K84,0,BF$6),(INDEX($E84:$K84,0,BF$8+1)-INDEX($E84:$K84,0,BF$8))/(INDEX($D$5:$J$5,0,BF$8+1)-INDEX($D$5:$J$5,0,BF$8))+BE84)))</f>
        <v>548.17658817580741</v>
      </c>
      <c r="BG84" s="5" cm="1">
        <f t="array" ref="BG84">IF(BG$8=-1,BH84,IF(BG$8=99,BF84,IF(BG$8=0,INDEX($E84:$K84,0,BG$6),(INDEX($E84:$K84,0,BG$8+1)-INDEX($E84:$K84,0,BG$8))/(INDEX($D$5:$J$5,0,BG$8+1)-INDEX($D$5:$J$5,0,BG$8))+BF84)))</f>
        <v>548.17658817580741</v>
      </c>
      <c r="BH84" s="5" cm="1">
        <f t="array" ref="BH84">IF(BH$8=-1,BI84,IF(BH$8=99,BG84,IF(BH$8=0,INDEX($E84:$K84,0,BH$6),(INDEX($E84:$K84,0,BH$8+1)-INDEX($E84:$K84,0,BH$8))/(INDEX($D$5:$J$5,0,BH$8+1)-INDEX($D$5:$J$5,0,BH$8))+BG84)))</f>
        <v>548.17658817580741</v>
      </c>
      <c r="BI84" s="5" cm="1">
        <f t="array" ref="BI84">IF(BI$8=-1,BJ84,IF(BI$8=99,BH84,IF(BI$8=0,INDEX($E84:$K84,0,BI$6),(INDEX($E84:$K84,0,BI$8+1)-INDEX($E84:$K84,0,BI$8))/(INDEX($D$5:$J$5,0,BI$8+1)-INDEX($D$5:$J$5,0,BI$8))+BH84)))</f>
        <v>548.17658817580741</v>
      </c>
      <c r="BJ84" s="5" cm="1">
        <f t="array" ref="BJ84">IF(BJ$8=-1,BK84,IF(BJ$8=99,BI84,IF(BJ$8=0,INDEX($E84:$K84,0,BJ$6),(INDEX($E84:$K84,0,BJ$8+1)-INDEX($E84:$K84,0,BJ$8))/(INDEX($D$5:$J$5,0,BJ$8+1)-INDEX($D$5:$J$5,0,BJ$8))+BI84)))</f>
        <v>548.17658817580741</v>
      </c>
      <c r="BK84" s="5" cm="1">
        <f t="array" ref="BK84">IF(BK$8=-1,BL84,IF(BK$8=99,BJ84,IF(BK$8=0,INDEX($E84:$K84,0,BK$6),(INDEX($E84:$K84,0,BK$8+1)-INDEX($E84:$K84,0,BK$8))/(INDEX($D$5:$J$5,0,BK$8+1)-INDEX($D$5:$J$5,0,BK$8))+BJ84)))</f>
        <v>548.17658817580741</v>
      </c>
      <c r="BL84" s="5" cm="1">
        <f t="array" ref="BL84">IF(BL$8=-1,BM84,IF(BL$8=99,BK84,IF(BL$8=0,INDEX($E84:$K84,0,BL$6),(INDEX($E84:$K84,0,BL$8+1)-INDEX($E84:$K84,0,BL$8))/(INDEX($D$5:$J$5,0,BL$8+1)-INDEX($D$5:$J$5,0,BL$8))+BK84)))</f>
        <v>548.17658817580741</v>
      </c>
      <c r="BM84" s="5" cm="1">
        <f t="array" ref="BM84">IF(BM$8=-1,BN84,IF(BM$8=99,BL84,IF(BM$8=0,INDEX($E84:$K84,0,BM$6),(INDEX($E84:$K84,0,BM$8+1)-INDEX($E84:$K84,0,BM$8))/(INDEX($D$5:$J$5,0,BM$8+1)-INDEX($D$5:$J$5,0,BM$8))+BL84)))</f>
        <v>548.17658817580741</v>
      </c>
      <c r="BN84" s="5" cm="1">
        <f t="array" ref="BN84">IF(BN$8=-1,BO84,IF(BN$8=99,BM84,IF(BN$8=0,INDEX($E84:$K84,0,BN$6),(INDEX($E84:$K84,0,BN$8+1)-INDEX($E84:$K84,0,BN$8))/(INDEX($D$5:$J$5,0,BN$8+1)-INDEX($D$5:$J$5,0,BN$8))+BM84)))</f>
        <v>548.17658817580741</v>
      </c>
      <c r="BO84" s="5" cm="1">
        <f t="array" ref="BO84">IF(BO$8=-1,BP84,IF(BO$8=99,BN84,IF(BO$8=0,INDEX($E84:$K84,0,BO$6),(INDEX($E84:$K84,0,BO$8+1)-INDEX($E84:$K84,0,BO$8))/(INDEX($D$5:$J$5,0,BO$8+1)-INDEX($D$5:$J$5,0,BO$8))+BN84)))</f>
        <v>548.17658817580741</v>
      </c>
      <c r="BP84" s="5" cm="1">
        <f t="array" ref="BP84">IF(BP$8=-1,BQ84,IF(BP$8=99,BO84,IF(BP$8=0,INDEX($E84:$K84,0,BP$6),(INDEX($E84:$K84,0,BP$8+1)-INDEX($E84:$K84,0,BP$8))/(INDEX($D$5:$J$5,0,BP$8+1)-INDEX($D$5:$J$5,0,BP$8))+BO84)))</f>
        <v>548.17658817580741</v>
      </c>
      <c r="BQ84" s="5" cm="1">
        <f t="array" ref="BQ84">IF(BQ$8=-1,BR84,IF(BQ$8=99,BP84,IF(BQ$8=0,INDEX($E84:$K84,0,BQ$6),(INDEX($E84:$K84,0,BQ$8+1)-INDEX($E84:$K84,0,BQ$8))/(INDEX($D$5:$J$5,0,BQ$8+1)-INDEX($D$5:$J$5,0,BQ$8))+BP84)))</f>
        <v>548.17658817580741</v>
      </c>
      <c r="BR84" s="5" cm="1">
        <f t="array" ref="BR84">IF(BR$8=-1,BS84,IF(BR$8=99,BQ84,IF(BR$8=0,INDEX($E84:$K84,0,BR$6),(INDEX($E84:$K84,0,BR$8+1)-INDEX($E84:$K84,0,BR$8))/(INDEX($D$5:$J$5,0,BR$8+1)-INDEX($D$5:$J$5,0,BR$8))+BQ84)))</f>
        <v>548.17658817580741</v>
      </c>
    </row>
    <row r="85" spans="1:70">
      <c r="A85" t="s">
        <v>16</v>
      </c>
      <c r="B85" s="223" t="s">
        <v>238</v>
      </c>
      <c r="C85" s="70" t="str">
        <f t="shared" si="143"/>
        <v>Commercial - Refrigeration</v>
      </c>
      <c r="D85" s="70" t="s">
        <v>66</v>
      </c>
      <c r="E85" s="79">
        <f t="shared" si="148"/>
        <v>222.61251585750318</v>
      </c>
      <c r="F85" s="87">
        <f t="shared" si="148"/>
        <v>195.25467556696461</v>
      </c>
      <c r="G85" s="87">
        <f t="shared" si="144"/>
        <v>195.25467556696461</v>
      </c>
      <c r="H85" s="87">
        <f t="shared" si="149"/>
        <v>133.35170923701128</v>
      </c>
      <c r="I85" s="131">
        <f t="shared" si="145"/>
        <v>133.35170923701128</v>
      </c>
      <c r="J85" s="131">
        <f t="shared" si="146"/>
        <v>133.35170923701128</v>
      </c>
      <c r="K85" s="131">
        <f t="shared" si="147"/>
        <v>133.35170923701128</v>
      </c>
      <c r="L85" s="5" cm="1">
        <f t="array" ref="L85">IF(L$8=-1,M85,IF(L$8=99,I85,IF(L$8=0,INDEX($E85:$I85,0,L$6),(INDEX($E85:$I85,0,L$8+1)-INDEX($E85:$I85,0,L$8))/(INDEX($D$5:$H$5,0,L$8+1)-INDEX($D$5:$H$5,0,L$8))+I85)))</f>
        <v>222.61251585750318</v>
      </c>
      <c r="M85" s="5" cm="1">
        <f t="array" ref="M85">IF(M$8=-1,N85,IF(M$8=99,L85,IF(M$8=0,INDEX($E85:$I85,0,M$6),(INDEX($E85:$I85,0,M$8+1)-INDEX($E85:$I85,0,M$8))/(INDEX($D$5:$H$5,0,M$8+1)-INDEX($D$5:$H$5,0,M$8))+L85)))</f>
        <v>217.14094779939546</v>
      </c>
      <c r="N85" s="5" cm="1">
        <f t="array" ref="N85">IF(N$8=-1,O85,IF(N$8=99,M85,IF(N$8=0,INDEX($E85:$I85,0,N$6),(INDEX($E85:$I85,0,N$8+1)-INDEX($E85:$I85,0,N$8))/(INDEX($D$5:$H$5,0,N$8+1)-INDEX($D$5:$H$5,0,N$8))+M85)))</f>
        <v>211.66937974128774</v>
      </c>
      <c r="O85" s="5" cm="1">
        <f t="array" ref="O85">IF(O$8=-1,P85,IF(O$8=99,N85,IF(O$8=0,INDEX($E85:$I85,0,O$6),(INDEX($E85:$I85,0,O$8+1)-INDEX($E85:$I85,0,O$8))/(INDEX($D$5:$H$5,0,O$8+1)-INDEX($D$5:$H$5,0,O$8))+N85)))</f>
        <v>206.19781168318002</v>
      </c>
      <c r="P85" s="5" cm="1">
        <f t="array" ref="P85">IF(P$8=-1,Q85,IF(P$8=99,O85,IF(P$8=0,INDEX($E85:$I85,0,P$6),(INDEX($E85:$I85,0,P$8+1)-INDEX($E85:$I85,0,P$8))/(INDEX($D$5:$H$5,0,P$8+1)-INDEX($D$5:$H$5,0,P$8))+O85)))</f>
        <v>200.7262436250723</v>
      </c>
      <c r="Q85" s="5" cm="1">
        <f t="array" ref="Q85">IF(Q$8=-1,R85,IF(Q$8=99,P85,IF(Q$8=0,INDEX($E85:$I85,0,Q$6),(INDEX($E85:$I85,0,Q$8+1)-INDEX($E85:$I85,0,Q$8))/(INDEX($D$5:$H$5,0,Q$8+1)-INDEX($D$5:$H$5,0,Q$8))+P85)))</f>
        <v>195.25467556696461</v>
      </c>
      <c r="R85" s="5" cm="1">
        <f t="array" ref="R85">IF(R$8=-1,S85,IF(R$8=99,Q85,IF(R$8=0,INDEX($E85:$I85,0,R$6),(INDEX($E85:$I85,0,R$8+1)-INDEX($E85:$I85,0,R$8))/(INDEX($D$5:$H$5,0,R$8+1)-INDEX($D$5:$H$5,0,R$8))+Q85)))</f>
        <v>195.25467556696461</v>
      </c>
      <c r="S85" s="5" cm="1">
        <f t="array" ref="S85">IF(S$8=-1,T85,IF(S$8=99,R85,IF(S$8=0,INDEX($E85:$I85,0,S$6),(INDEX($E85:$I85,0,S$8+1)-INDEX($E85:$I85,0,S$8))/(INDEX($D$5:$H$5,0,S$8+1)-INDEX($D$5:$H$5,0,S$8))+R85)))</f>
        <v>195.25467556696461</v>
      </c>
      <c r="T85" s="5" cm="1">
        <f t="array" ref="T85">IF(T$8=-1,U85,IF(T$8=99,S85,IF(T$8=0,INDEX($E85:$I85,0,T$6),(INDEX($E85:$I85,0,T$8+1)-INDEX($E85:$I85,0,T$8))/(INDEX($D$5:$H$5,0,T$8+1)-INDEX($D$5:$H$5,0,T$8))+S85)))</f>
        <v>195.25467556696461</v>
      </c>
      <c r="U85" s="5" cm="1">
        <f t="array" ref="U85">IF(U$8=-1,V85,IF(U$8=99,T85,IF(U$8=0,INDEX($E85:$I85,0,U$6),(INDEX($E85:$I85,0,U$8+1)-INDEX($E85:$I85,0,U$8))/(INDEX($D$5:$H$5,0,U$8+1)-INDEX($D$5:$H$5,0,U$8))+T85)))</f>
        <v>189.06437893396927</v>
      </c>
      <c r="V85" s="5" cm="1">
        <f t="array" ref="V85">IF(V$8=-1,W85,IF(V$8=99,U85,IF(V$8=0,INDEX($E85:$I85,0,V$6),(INDEX($E85:$I85,0,V$8+1)-INDEX($E85:$I85,0,V$8))/(INDEX($D$5:$H$5,0,V$8+1)-INDEX($D$5:$H$5,0,V$8))+U85)))</f>
        <v>182.87408230097392</v>
      </c>
      <c r="W85" s="5" cm="1">
        <f t="array" ref="W85">IF(W$8=-1,X85,IF(W$8=99,V85,IF(W$8=0,INDEX($E85:$I85,0,W$6),(INDEX($E85:$I85,0,W$8+1)-INDEX($E85:$I85,0,W$8))/(INDEX($D$5:$H$5,0,W$8+1)-INDEX($D$5:$H$5,0,W$8))+V85)))</f>
        <v>176.68378566797858</v>
      </c>
      <c r="X85" s="5" cm="1">
        <f t="array" ref="X85">IF(X$8=-1,Y85,IF(X$8=99,W85,IF(X$8=0,INDEX($E85:$I85,0,X$6),(INDEX($E85:$I85,0,X$8+1)-INDEX($E85:$I85,0,X$8))/(INDEX($D$5:$H$5,0,X$8+1)-INDEX($D$5:$H$5,0,X$8))+W85)))</f>
        <v>170.49348903498324</v>
      </c>
      <c r="Y85" s="5" cm="1">
        <f t="array" ref="Y85">IF(Y$8=-1,Z85,IF(Y$8=99,X85,IF(Y$8=0,INDEX($E85:$I85,0,Y$6),(INDEX($E85:$I85,0,Y$8+1)-INDEX($E85:$I85,0,Y$8))/(INDEX($D$5:$H$5,0,Y$8+1)-INDEX($D$5:$H$5,0,Y$8))+X85)))</f>
        <v>164.3031924019879</v>
      </c>
      <c r="Z85" s="5" cm="1">
        <f t="array" ref="Z85">IF(Z$8=-1,AA85,IF(Z$8=99,Y85,IF(Z$8=0,INDEX($E85:$I85,0,Z$6),(INDEX($E85:$I85,0,Z$8+1)-INDEX($E85:$I85,0,Z$8))/(INDEX($D$5:$H$5,0,Z$8+1)-INDEX($D$5:$H$5,0,Z$8))+Y85)))</f>
        <v>158.11289576899256</v>
      </c>
      <c r="AA85" s="5" cm="1">
        <f t="array" ref="AA85">IF(AA$8=-1,AB85,IF(AA$8=99,Z85,IF(AA$8=0,INDEX($E85:$I85,0,AA$6),(INDEX($E85:$I85,0,AA$8+1)-INDEX($E85:$I85,0,AA$8))/(INDEX($D$5:$H$5,0,AA$8+1)-INDEX($D$5:$H$5,0,AA$8))+Z85)))</f>
        <v>151.92259913599722</v>
      </c>
      <c r="AB85" s="5" cm="1">
        <f t="array" ref="AB85">IF(AB$8=-1,AC85,IF(AB$8=99,AA85,IF(AB$8=0,INDEX($E85:$I85,0,AB$6),(INDEX($E85:$I85,0,AB$8+1)-INDEX($E85:$I85,0,AB$8))/(INDEX($D$5:$H$5,0,AB$8+1)-INDEX($D$5:$H$5,0,AB$8))+AA85)))</f>
        <v>145.73230250300188</v>
      </c>
      <c r="AC85" s="5" cm="1">
        <f t="array" ref="AC85">IF(AC$8=-1,AD85,IF(AC$8=99,AB85,IF(AC$8=0,INDEX($E85:$I85,0,AC$6),(INDEX($E85:$I85,0,AC$8+1)-INDEX($E85:$I85,0,AC$8))/(INDEX($D$5:$H$5,0,AC$8+1)-INDEX($D$5:$H$5,0,AC$8))+AB85)))</f>
        <v>139.54200587000653</v>
      </c>
      <c r="AD85" s="5" cm="1">
        <f t="array" ref="AD85">IF(AD$8=-1,AE85,IF(AD$8=99,AC85,IF(AD$8=0,INDEX($E85:$I85,0,AD$6),(INDEX($E85:$I85,0,AD$8+1)-INDEX($E85:$I85,0,AD$8))/(INDEX($D$5:$H$5,0,AD$8+1)-INDEX($D$5:$H$5,0,AD$8))+AC85)))</f>
        <v>133.35170923701128</v>
      </c>
      <c r="AE85" s="5" cm="1">
        <f t="array" ref="AE85">IF(AE$8=-1,AF85,IF(AE$8=99,AD85,IF(AE$8=0,INDEX($E85:$I85,0,AE$6),(INDEX($E85:$I85,0,AE$8+1)-INDEX($E85:$I85,0,AE$8))/(INDEX($D$5:$H$5,0,AE$8+1)-INDEX($D$5:$H$5,0,AE$8))+AD85)))</f>
        <v>133.35170923701128</v>
      </c>
      <c r="AF85" s="5" cm="1">
        <f t="array" ref="AF85">IF(AF$8=-1,AG85,IF(AF$8=99,AE85,IF(AF$8=0,INDEX($E85:$I85,0,AF$6),(INDEX($E85:$I85,0,AF$8+1)-INDEX($E85:$I85,0,AF$8))/(INDEX($D$5:$H$5,0,AF$8+1)-INDEX($D$5:$H$5,0,AF$8))+AE85)))</f>
        <v>133.35170923701128</v>
      </c>
      <c r="AG85" s="5" cm="1">
        <f t="array" ref="AG85">IF(AG$8=-1,AH85,IF(AG$8=99,AF85,IF(AG$8=0,INDEX($E85:$I85,0,AG$6),(INDEX($E85:$I85,0,AG$8+1)-INDEX($E85:$I85,0,AG$8))/(INDEX($D$5:$H$5,0,AG$8+1)-INDEX($D$5:$H$5,0,AG$8))+AF85)))</f>
        <v>133.35170923701128</v>
      </c>
      <c r="AH85" s="5" cm="1">
        <f t="array" ref="AH85">IF(AH$8=-1,AI85,IF(AH$8=99,AG85,IF(AH$8=0,INDEX($E85:$I85,0,AH$6),(INDEX($E85:$I85,0,AH$8+1)-INDEX($E85:$I85,0,AH$8))/(INDEX($D$5:$H$5,0,AH$8+1)-INDEX($D$5:$H$5,0,AH$8))+AG85)))</f>
        <v>133.35170923701128</v>
      </c>
      <c r="AI85" s="5" cm="1">
        <f t="array" ref="AI85">IF(AI$8=-1,AJ85,IF(AI$8=99,AH85,IF(AI$8=0,INDEX($E85:$I85,0,AI$6),(INDEX($E85:$I85,0,AI$8+1)-INDEX($E85:$I85,0,AI$8))/(INDEX($D$5:$H$5,0,AI$8+1)-INDEX($D$5:$H$5,0,AI$8))+AH85)))</f>
        <v>133.35170923701128</v>
      </c>
      <c r="AJ85" s="5" cm="1">
        <f t="array" ref="AJ85">IF(AJ$8=-1,AK85,IF(AJ$8=99,AI85,IF(AJ$8=0,INDEX($E85:$I85,0,AJ$6),(INDEX($E85:$I85,0,AJ$8+1)-INDEX($E85:$I85,0,AJ$8))/(INDEX($D$5:$H$5,0,AJ$8+1)-INDEX($D$5:$H$5,0,AJ$8))+AI85)))</f>
        <v>133.35170923701128</v>
      </c>
      <c r="AK85" s="5" cm="1">
        <f t="array" ref="AK85">IF(AK$8=-1,AL85,IF(AK$8=99,AJ85,IF(AK$8=0,INDEX($E85:$I85,0,AK$6),(INDEX($E85:$I85,0,AK$8+1)-INDEX($E85:$I85,0,AK$8))/(INDEX($D$5:$H$5,0,AK$8+1)-INDEX($D$5:$H$5,0,AK$8))+AJ85)))</f>
        <v>133.35170923701128</v>
      </c>
      <c r="AL85" s="5" cm="1">
        <f t="array" ref="AL85">IF(AL$8=-1,AM85,IF(AL$8=99,AK85,IF(AL$8=0,INDEX($E85:$I85,0,AL$6),(INDEX($E85:$I85,0,AL$8+1)-INDEX($E85:$I85,0,AL$8))/(INDEX($D$5:$H$5,0,AL$8+1)-INDEX($D$5:$H$5,0,AL$8))+AK85)))</f>
        <v>133.35170923701128</v>
      </c>
      <c r="AM85" s="5" cm="1">
        <f t="array" ref="AM85">IF(AM$8=-1,AN85,IF(AM$8=99,AL85,IF(AM$8=0,INDEX($E85:$I85,0,AM$6),(INDEX($E85:$I85,0,AM$8+1)-INDEX($E85:$I85,0,AM$8))/(INDEX($D$5:$H$5,0,AM$8+1)-INDEX($D$5:$H$5,0,AM$8))+AL85)))</f>
        <v>133.35170923701128</v>
      </c>
      <c r="AN85" s="5" cm="1">
        <f t="array" ref="AN85">IF(AN$8=-1,AO85,IF(AN$8=99,AM85,IF(AN$8=0,INDEX($E85:$I85,0,AN$6),(INDEX($E85:$I85,0,AN$8+1)-INDEX($E85:$I85,0,AN$8))/(INDEX($D$5:$H$5,0,AN$8+1)-INDEX($D$5:$H$5,0,AN$8))+AM85)))</f>
        <v>133.35170923701128</v>
      </c>
      <c r="AO85" s="5" cm="1">
        <f t="array" ref="AO85">IF(AO$8=-1,AP85,IF(AO$8=99,AN85,IF(AO$8=0,INDEX($E85:$K85,0,AO$6),(INDEX($E85:$K85,0,AO$8+1)-INDEX($E85:$K85,0,AO$8))/(INDEX($D$5:$J$5,0,AO$8+1)-INDEX($D$5:$J$5,0,AO$8))+AN85)))</f>
        <v>133.35170923701128</v>
      </c>
      <c r="AP85" s="5" cm="1">
        <f t="array" ref="AP85">IF(AP$8=-1,AQ85,IF(AP$8=99,AO85,IF(AP$8=0,INDEX($E85:$K85,0,AP$6),(INDEX($E85:$K85,0,AP$8+1)-INDEX($E85:$K85,0,AP$8))/(INDEX($D$5:$J$5,0,AP$8+1)-INDEX($D$5:$J$5,0,AP$8))+AO85)))</f>
        <v>133.35170923701128</v>
      </c>
      <c r="AQ85" s="5" cm="1">
        <f t="array" ref="AQ85">IF(AQ$8=-1,AR85,IF(AQ$8=99,AP85,IF(AQ$8=0,INDEX($E85:$K85,0,AQ$6),(INDEX($E85:$K85,0,AQ$8+1)-INDEX($E85:$K85,0,AQ$8))/(INDEX($D$5:$J$5,0,AQ$8+1)-INDEX($D$5:$J$5,0,AQ$8))+AP85)))</f>
        <v>133.35170923701128</v>
      </c>
      <c r="AR85" s="5" cm="1">
        <f t="array" ref="AR85">IF(AR$8=-1,AS85,IF(AR$8=99,AQ85,IF(AR$8=0,INDEX($E85:$K85,0,AR$6),(INDEX($E85:$K85,0,AR$8+1)-INDEX($E85:$K85,0,AR$8))/(INDEX($D$5:$J$5,0,AR$8+1)-INDEX($D$5:$J$5,0,AR$8))+AQ85)))</f>
        <v>133.35170923701128</v>
      </c>
      <c r="AS85" s="5" cm="1">
        <f t="array" ref="AS85">IF(AS$8=-1,AT85,IF(AS$8=99,AR85,IF(AS$8=0,INDEX($E85:$K85,0,AS$6),(INDEX($E85:$K85,0,AS$8+1)-INDEX($E85:$K85,0,AS$8))/(INDEX($D$5:$J$5,0,AS$8+1)-INDEX($D$5:$J$5,0,AS$8))+AR85)))</f>
        <v>133.35170923701128</v>
      </c>
      <c r="AT85" s="5" cm="1">
        <f t="array" ref="AT85">IF(AT$8=-1,AU85,IF(AT$8=99,AS85,IF(AT$8=0,INDEX($E85:$K85,0,AT$6),(INDEX($E85:$K85,0,AT$8+1)-INDEX($E85:$K85,0,AT$8))/(INDEX($D$5:$J$5,0,AT$8+1)-INDEX($D$5:$J$5,0,AT$8))+AS85)))</f>
        <v>133.35170923701128</v>
      </c>
      <c r="AU85" s="5" cm="1">
        <f t="array" ref="AU85">IF(AU$8=-1,AV85,IF(AU$8=99,AT85,IF(AU$8=0,INDEX($E85:$K85,0,AU$6),(INDEX($E85:$K85,0,AU$8+1)-INDEX($E85:$K85,0,AU$8))/(INDEX($D$5:$J$5,0,AU$8+1)-INDEX($D$5:$J$5,0,AU$8))+AT85)))</f>
        <v>133.35170923701128</v>
      </c>
      <c r="AV85" s="5" cm="1">
        <f t="array" ref="AV85">IF(AV$8=-1,AW85,IF(AV$8=99,AU85,IF(AV$8=0,INDEX($E85:$K85,0,AV$6),(INDEX($E85:$K85,0,AV$8+1)-INDEX($E85:$K85,0,AV$8))/(INDEX($D$5:$J$5,0,AV$8+1)-INDEX($D$5:$J$5,0,AV$8))+AU85)))</f>
        <v>133.35170923701128</v>
      </c>
      <c r="AW85" s="5" cm="1">
        <f t="array" ref="AW85">IF(AW$8=-1,AX85,IF(AW$8=99,AV85,IF(AW$8=0,INDEX($E85:$K85,0,AW$6),(INDEX($E85:$K85,0,AW$8+1)-INDEX($E85:$K85,0,AW$8))/(INDEX($D$5:$J$5,0,AW$8+1)-INDEX($D$5:$J$5,0,AW$8))+AV85)))</f>
        <v>133.35170923701128</v>
      </c>
      <c r="AX85" s="5" cm="1">
        <f t="array" ref="AX85">IF(AX$8=-1,AY85,IF(AX$8=99,AW85,IF(AX$8=0,INDEX($E85:$K85,0,AX$6),(INDEX($E85:$K85,0,AX$8+1)-INDEX($E85:$K85,0,AX$8))/(INDEX($D$5:$J$5,0,AX$8+1)-INDEX($D$5:$J$5,0,AX$8))+AW85)))</f>
        <v>133.35170923701128</v>
      </c>
      <c r="AY85" s="5" cm="1">
        <f t="array" ref="AY85">IF(AY$8=-1,AZ85,IF(AY$8=99,AX85,IF(AY$8=0,INDEX($E85:$K85,0,AY$6),(INDEX($E85:$K85,0,AY$8+1)-INDEX($E85:$K85,0,AY$8))/(INDEX($D$5:$J$5,0,AY$8+1)-INDEX($D$5:$J$5,0,AY$8))+AX85)))</f>
        <v>133.35170923701128</v>
      </c>
      <c r="AZ85" s="5" cm="1">
        <f t="array" ref="AZ85">IF(AZ$8=-1,BA85,IF(AZ$8=99,AY85,IF(AZ$8=0,INDEX($E85:$K85,0,AZ$6),(INDEX($E85:$K85,0,AZ$8+1)-INDEX($E85:$K85,0,AZ$8))/(INDEX($D$5:$J$5,0,AZ$8+1)-INDEX($D$5:$J$5,0,AZ$8))+AY85)))</f>
        <v>133.35170923701128</v>
      </c>
      <c r="BA85" s="5" cm="1">
        <f t="array" ref="BA85">IF(BA$8=-1,BB85,IF(BA$8=99,AZ85,IF(BA$8=0,INDEX($E85:$K85,0,BA$6),(INDEX($E85:$K85,0,BA$8+1)-INDEX($E85:$K85,0,BA$8))/(INDEX($D$5:$J$5,0,BA$8+1)-INDEX($D$5:$J$5,0,BA$8))+AZ85)))</f>
        <v>133.35170923701128</v>
      </c>
      <c r="BB85" s="5" cm="1">
        <f t="array" ref="BB85">IF(BB$8=-1,BC85,IF(BB$8=99,BA85,IF(BB$8=0,INDEX($E85:$K85,0,BB$6),(INDEX($E85:$K85,0,BB$8+1)-INDEX($E85:$K85,0,BB$8))/(INDEX($D$5:$J$5,0,BB$8+1)-INDEX($D$5:$J$5,0,BB$8))+BA85)))</f>
        <v>133.35170923701128</v>
      </c>
      <c r="BC85" s="5" cm="1">
        <f t="array" ref="BC85">IF(BC$8=-1,BD85,IF(BC$8=99,BB85,IF(BC$8=0,INDEX($E85:$K85,0,BC$6),(INDEX($E85:$K85,0,BC$8+1)-INDEX($E85:$K85,0,BC$8))/(INDEX($D$5:$J$5,0,BC$8+1)-INDEX($D$5:$J$5,0,BC$8))+BB85)))</f>
        <v>133.35170923701128</v>
      </c>
      <c r="BD85" s="5" cm="1">
        <f t="array" ref="BD85">IF(BD$8=-1,BE85,IF(BD$8=99,BC85,IF(BD$8=0,INDEX($E85:$K85,0,BD$6),(INDEX($E85:$K85,0,BD$8+1)-INDEX($E85:$K85,0,BD$8))/(INDEX($D$5:$J$5,0,BD$8+1)-INDEX($D$5:$J$5,0,BD$8))+BC85)))</f>
        <v>133.35170923701128</v>
      </c>
      <c r="BE85" s="5" cm="1">
        <f t="array" ref="BE85">IF(BE$8=-1,BF85,IF(BE$8=99,BD85,IF(BE$8=0,INDEX($E85:$K85,0,BE$6),(INDEX($E85:$K85,0,BE$8+1)-INDEX($E85:$K85,0,BE$8))/(INDEX($D$5:$J$5,0,BE$8+1)-INDEX($D$5:$J$5,0,BE$8))+BD85)))</f>
        <v>133.35170923701128</v>
      </c>
      <c r="BF85" s="5" cm="1">
        <f t="array" ref="BF85">IF(BF$8=-1,BG85,IF(BF$8=99,BE85,IF(BF$8=0,INDEX($E85:$K85,0,BF$6),(INDEX($E85:$K85,0,BF$8+1)-INDEX($E85:$K85,0,BF$8))/(INDEX($D$5:$J$5,0,BF$8+1)-INDEX($D$5:$J$5,0,BF$8))+BE85)))</f>
        <v>133.35170923701128</v>
      </c>
      <c r="BG85" s="5" cm="1">
        <f t="array" ref="BG85">IF(BG$8=-1,BH85,IF(BG$8=99,BF85,IF(BG$8=0,INDEX($E85:$K85,0,BG$6),(INDEX($E85:$K85,0,BG$8+1)-INDEX($E85:$K85,0,BG$8))/(INDEX($D$5:$J$5,0,BG$8+1)-INDEX($D$5:$J$5,0,BG$8))+BF85)))</f>
        <v>133.35170923701128</v>
      </c>
      <c r="BH85" s="5" cm="1">
        <f t="array" ref="BH85">IF(BH$8=-1,BI85,IF(BH$8=99,BG85,IF(BH$8=0,INDEX($E85:$K85,0,BH$6),(INDEX($E85:$K85,0,BH$8+1)-INDEX($E85:$K85,0,BH$8))/(INDEX($D$5:$J$5,0,BH$8+1)-INDEX($D$5:$J$5,0,BH$8))+BG85)))</f>
        <v>133.35170923701128</v>
      </c>
      <c r="BI85" s="5" cm="1">
        <f t="array" ref="BI85">IF(BI$8=-1,BJ85,IF(BI$8=99,BH85,IF(BI$8=0,INDEX($E85:$K85,0,BI$6),(INDEX($E85:$K85,0,BI$8+1)-INDEX($E85:$K85,0,BI$8))/(INDEX($D$5:$J$5,0,BI$8+1)-INDEX($D$5:$J$5,0,BI$8))+BH85)))</f>
        <v>133.35170923701128</v>
      </c>
      <c r="BJ85" s="5" cm="1">
        <f t="array" ref="BJ85">IF(BJ$8=-1,BK85,IF(BJ$8=99,BI85,IF(BJ$8=0,INDEX($E85:$K85,0,BJ$6),(INDEX($E85:$K85,0,BJ$8+1)-INDEX($E85:$K85,0,BJ$8))/(INDEX($D$5:$J$5,0,BJ$8+1)-INDEX($D$5:$J$5,0,BJ$8))+BI85)))</f>
        <v>133.35170923701128</v>
      </c>
      <c r="BK85" s="5" cm="1">
        <f t="array" ref="BK85">IF(BK$8=-1,BL85,IF(BK$8=99,BJ85,IF(BK$8=0,INDEX($E85:$K85,0,BK$6),(INDEX($E85:$K85,0,BK$8+1)-INDEX($E85:$K85,0,BK$8))/(INDEX($D$5:$J$5,0,BK$8+1)-INDEX($D$5:$J$5,0,BK$8))+BJ85)))</f>
        <v>133.35170923701128</v>
      </c>
      <c r="BL85" s="5" cm="1">
        <f t="array" ref="BL85">IF(BL$8=-1,BM85,IF(BL$8=99,BK85,IF(BL$8=0,INDEX($E85:$K85,0,BL$6),(INDEX($E85:$K85,0,BL$8+1)-INDEX($E85:$K85,0,BL$8))/(INDEX($D$5:$J$5,0,BL$8+1)-INDEX($D$5:$J$5,0,BL$8))+BK85)))</f>
        <v>133.35170923701128</v>
      </c>
      <c r="BM85" s="5" cm="1">
        <f t="array" ref="BM85">IF(BM$8=-1,BN85,IF(BM$8=99,BL85,IF(BM$8=0,INDEX($E85:$K85,0,BM$6),(INDEX($E85:$K85,0,BM$8+1)-INDEX($E85:$K85,0,BM$8))/(INDEX($D$5:$J$5,0,BM$8+1)-INDEX($D$5:$J$5,0,BM$8))+BL85)))</f>
        <v>133.35170923701128</v>
      </c>
      <c r="BN85" s="5" cm="1">
        <f t="array" ref="BN85">IF(BN$8=-1,BO85,IF(BN$8=99,BM85,IF(BN$8=0,INDEX($E85:$K85,0,BN$6),(INDEX($E85:$K85,0,BN$8+1)-INDEX($E85:$K85,0,BN$8))/(INDEX($D$5:$J$5,0,BN$8+1)-INDEX($D$5:$J$5,0,BN$8))+BM85)))</f>
        <v>133.35170923701128</v>
      </c>
      <c r="BO85" s="5" cm="1">
        <f t="array" ref="BO85">IF(BO$8=-1,BP85,IF(BO$8=99,BN85,IF(BO$8=0,INDEX($E85:$K85,0,BO$6),(INDEX($E85:$K85,0,BO$8+1)-INDEX($E85:$K85,0,BO$8))/(INDEX($D$5:$J$5,0,BO$8+1)-INDEX($D$5:$J$5,0,BO$8))+BN85)))</f>
        <v>133.35170923701128</v>
      </c>
      <c r="BP85" s="5" cm="1">
        <f t="array" ref="BP85">IF(BP$8=-1,BQ85,IF(BP$8=99,BO85,IF(BP$8=0,INDEX($E85:$K85,0,BP$6),(INDEX($E85:$K85,0,BP$8+1)-INDEX($E85:$K85,0,BP$8))/(INDEX($D$5:$J$5,0,BP$8+1)-INDEX($D$5:$J$5,0,BP$8))+BO85)))</f>
        <v>133.35170923701128</v>
      </c>
      <c r="BQ85" s="5" cm="1">
        <f t="array" ref="BQ85">IF(BQ$8=-1,BR85,IF(BQ$8=99,BP85,IF(BQ$8=0,INDEX($E85:$K85,0,BQ$6),(INDEX($E85:$K85,0,BQ$8+1)-INDEX($E85:$K85,0,BQ$8))/(INDEX($D$5:$J$5,0,BQ$8+1)-INDEX($D$5:$J$5,0,BQ$8))+BP85)))</f>
        <v>133.35170923701128</v>
      </c>
      <c r="BR85" s="5" cm="1">
        <f t="array" ref="BR85">IF(BR$8=-1,BS85,IF(BR$8=99,BQ85,IF(BR$8=0,INDEX($E85:$K85,0,BR$6),(INDEX($E85:$K85,0,BR$8+1)-INDEX($E85:$K85,0,BR$8))/(INDEX($D$5:$J$5,0,BR$8+1)-INDEX($D$5:$J$5,0,BR$8))+BQ85)))</f>
        <v>133.35170923701128</v>
      </c>
    </row>
    <row r="86" spans="1:70">
      <c r="A86" t="s">
        <v>16</v>
      </c>
      <c r="B86" s="223" t="s">
        <v>239</v>
      </c>
      <c r="C86" s="70" t="str">
        <f t="shared" si="143"/>
        <v>Commercial - Water Heating</v>
      </c>
      <c r="D86" s="70" t="s">
        <v>66</v>
      </c>
      <c r="E86" s="79">
        <f t="shared" si="148"/>
        <v>72.906473658117989</v>
      </c>
      <c r="F86" s="87">
        <f t="shared" si="148"/>
        <v>103.37272938194623</v>
      </c>
      <c r="G86" s="87">
        <f t="shared" si="144"/>
        <v>103.37272938194623</v>
      </c>
      <c r="H86" s="87">
        <f t="shared" si="149"/>
        <v>53.60857484701905</v>
      </c>
      <c r="I86" s="131">
        <f t="shared" si="145"/>
        <v>53.60857484701905</v>
      </c>
      <c r="J86" s="131">
        <f t="shared" si="146"/>
        <v>53.60857484701905</v>
      </c>
      <c r="K86" s="131">
        <f t="shared" si="147"/>
        <v>53.60857484701905</v>
      </c>
      <c r="L86" s="5" cm="1">
        <f t="array" ref="L86">IF(L$8=-1,M86,IF(L$8=99,I86,IF(L$8=0,INDEX($E86:$I86,0,L$6),(INDEX($E86:$I86,0,L$8+1)-INDEX($E86:$I86,0,L$8))/(INDEX($D$5:$H$5,0,L$8+1)-INDEX($D$5:$H$5,0,L$8))+I86)))</f>
        <v>72.906473658117989</v>
      </c>
      <c r="M86" s="5" cm="1">
        <f t="array" ref="M86">IF(M$8=-1,N86,IF(M$8=99,L86,IF(M$8=0,INDEX($E86:$I86,0,M$6),(INDEX($E86:$I86,0,M$8+1)-INDEX($E86:$I86,0,M$8))/(INDEX($D$5:$H$5,0,M$8+1)-INDEX($D$5:$H$5,0,M$8))+L86)))</f>
        <v>78.999724802883634</v>
      </c>
      <c r="N86" s="5" cm="1">
        <f t="array" ref="N86">IF(N$8=-1,O86,IF(N$8=99,M86,IF(N$8=0,INDEX($E86:$I86,0,N$6),(INDEX($E86:$I86,0,N$8+1)-INDEX($E86:$I86,0,N$8))/(INDEX($D$5:$H$5,0,N$8+1)-INDEX($D$5:$H$5,0,N$8))+M86)))</f>
        <v>85.092975947649279</v>
      </c>
      <c r="O86" s="5" cm="1">
        <f t="array" ref="O86">IF(O$8=-1,P86,IF(O$8=99,N86,IF(O$8=0,INDEX($E86:$I86,0,O$6),(INDEX($E86:$I86,0,O$8+1)-INDEX($E86:$I86,0,O$8))/(INDEX($D$5:$H$5,0,O$8+1)-INDEX($D$5:$H$5,0,O$8))+N86)))</f>
        <v>91.186227092414924</v>
      </c>
      <c r="P86" s="5" cm="1">
        <f t="array" ref="P86">IF(P$8=-1,Q86,IF(P$8=99,O86,IF(P$8=0,INDEX($E86:$I86,0,P$6),(INDEX($E86:$I86,0,P$8+1)-INDEX($E86:$I86,0,P$8))/(INDEX($D$5:$H$5,0,P$8+1)-INDEX($D$5:$H$5,0,P$8))+O86)))</f>
        <v>97.27947823718057</v>
      </c>
      <c r="Q86" s="5" cm="1">
        <f t="array" ref="Q86">IF(Q$8=-1,R86,IF(Q$8=99,P86,IF(Q$8=0,INDEX($E86:$I86,0,Q$6),(INDEX($E86:$I86,0,Q$8+1)-INDEX($E86:$I86,0,Q$8))/(INDEX($D$5:$H$5,0,Q$8+1)-INDEX($D$5:$H$5,0,Q$8))+P86)))</f>
        <v>103.37272938194623</v>
      </c>
      <c r="R86" s="5" cm="1">
        <f t="array" ref="R86">IF(R$8=-1,S86,IF(R$8=99,Q86,IF(R$8=0,INDEX($E86:$I86,0,R$6),(INDEX($E86:$I86,0,R$8+1)-INDEX($E86:$I86,0,R$8))/(INDEX($D$5:$H$5,0,R$8+1)-INDEX($D$5:$H$5,0,R$8))+Q86)))</f>
        <v>103.37272938194623</v>
      </c>
      <c r="S86" s="5" cm="1">
        <f t="array" ref="S86">IF(S$8=-1,T86,IF(S$8=99,R86,IF(S$8=0,INDEX($E86:$I86,0,S$6),(INDEX($E86:$I86,0,S$8+1)-INDEX($E86:$I86,0,S$8))/(INDEX($D$5:$H$5,0,S$8+1)-INDEX($D$5:$H$5,0,S$8))+R86)))</f>
        <v>103.37272938194623</v>
      </c>
      <c r="T86" s="5" cm="1">
        <f t="array" ref="T86">IF(T$8=-1,U86,IF(T$8=99,S86,IF(T$8=0,INDEX($E86:$I86,0,T$6),(INDEX($E86:$I86,0,T$8+1)-INDEX($E86:$I86,0,T$8))/(INDEX($D$5:$H$5,0,T$8+1)-INDEX($D$5:$H$5,0,T$8))+S86)))</f>
        <v>103.37272938194623</v>
      </c>
      <c r="U86" s="5" cm="1">
        <f t="array" ref="U86">IF(U$8=-1,V86,IF(U$8=99,T86,IF(U$8=0,INDEX($E86:$I86,0,U$6),(INDEX($E86:$I86,0,U$8+1)-INDEX($E86:$I86,0,U$8))/(INDEX($D$5:$H$5,0,U$8+1)-INDEX($D$5:$H$5,0,U$8))+T86)))</f>
        <v>98.396313928453509</v>
      </c>
      <c r="V86" s="5" cm="1">
        <f t="array" ref="V86">IF(V$8=-1,W86,IF(V$8=99,U86,IF(V$8=0,INDEX($E86:$I86,0,V$6),(INDEX($E86:$I86,0,V$8+1)-INDEX($E86:$I86,0,V$8))/(INDEX($D$5:$H$5,0,V$8+1)-INDEX($D$5:$H$5,0,V$8))+U86)))</f>
        <v>93.419898474960789</v>
      </c>
      <c r="W86" s="5" cm="1">
        <f t="array" ref="W86">IF(W$8=-1,X86,IF(W$8=99,V86,IF(W$8=0,INDEX($E86:$I86,0,W$6),(INDEX($E86:$I86,0,W$8+1)-INDEX($E86:$I86,0,W$8))/(INDEX($D$5:$H$5,0,W$8+1)-INDEX($D$5:$H$5,0,W$8))+V86)))</f>
        <v>88.443483021468069</v>
      </c>
      <c r="X86" s="5" cm="1">
        <f t="array" ref="X86">IF(X$8=-1,Y86,IF(X$8=99,W86,IF(X$8=0,INDEX($E86:$I86,0,X$6),(INDEX($E86:$I86,0,X$8+1)-INDEX($E86:$I86,0,X$8))/(INDEX($D$5:$H$5,0,X$8+1)-INDEX($D$5:$H$5,0,X$8))+W86)))</f>
        <v>83.467067567975349</v>
      </c>
      <c r="Y86" s="5" cm="1">
        <f t="array" ref="Y86">IF(Y$8=-1,Z86,IF(Y$8=99,X86,IF(Y$8=0,INDEX($E86:$I86,0,Y$6),(INDEX($E86:$I86,0,Y$8+1)-INDEX($E86:$I86,0,Y$8))/(INDEX($D$5:$H$5,0,Y$8+1)-INDEX($D$5:$H$5,0,Y$8))+X86)))</f>
        <v>78.490652114482629</v>
      </c>
      <c r="Z86" s="5" cm="1">
        <f t="array" ref="Z86">IF(Z$8=-1,AA86,IF(Z$8=99,Y86,IF(Z$8=0,INDEX($E86:$I86,0,Z$6),(INDEX($E86:$I86,0,Z$8+1)-INDEX($E86:$I86,0,Z$8))/(INDEX($D$5:$H$5,0,Z$8+1)-INDEX($D$5:$H$5,0,Z$8))+Y86)))</f>
        <v>73.514236660989909</v>
      </c>
      <c r="AA86" s="5" cm="1">
        <f t="array" ref="AA86">IF(AA$8=-1,AB86,IF(AA$8=99,Z86,IF(AA$8=0,INDEX($E86:$I86,0,AA$6),(INDEX($E86:$I86,0,AA$8+1)-INDEX($E86:$I86,0,AA$8))/(INDEX($D$5:$H$5,0,AA$8+1)-INDEX($D$5:$H$5,0,AA$8))+Z86)))</f>
        <v>68.537821207497188</v>
      </c>
      <c r="AB86" s="5" cm="1">
        <f t="array" ref="AB86">IF(AB$8=-1,AC86,IF(AB$8=99,AA86,IF(AB$8=0,INDEX($E86:$I86,0,AB$6),(INDEX($E86:$I86,0,AB$8+1)-INDEX($E86:$I86,0,AB$8))/(INDEX($D$5:$H$5,0,AB$8+1)-INDEX($D$5:$H$5,0,AB$8))+AA86)))</f>
        <v>63.561405754004468</v>
      </c>
      <c r="AC86" s="5" cm="1">
        <f t="array" ref="AC86">IF(AC$8=-1,AD86,IF(AC$8=99,AB86,IF(AC$8=0,INDEX($E86:$I86,0,AC$6),(INDEX($E86:$I86,0,AC$8+1)-INDEX($E86:$I86,0,AC$8))/(INDEX($D$5:$H$5,0,AC$8+1)-INDEX($D$5:$H$5,0,AC$8))+AB86)))</f>
        <v>58.584990300511748</v>
      </c>
      <c r="AD86" s="5" cm="1">
        <f t="array" ref="AD86">IF(AD$8=-1,AE86,IF(AD$8=99,AC86,IF(AD$8=0,INDEX($E86:$I86,0,AD$6),(INDEX($E86:$I86,0,AD$8+1)-INDEX($E86:$I86,0,AD$8))/(INDEX($D$5:$H$5,0,AD$8+1)-INDEX($D$5:$H$5,0,AD$8))+AC86)))</f>
        <v>53.60857484701905</v>
      </c>
      <c r="AE86" s="5" cm="1">
        <f t="array" ref="AE86">IF(AE$8=-1,AF86,IF(AE$8=99,AD86,IF(AE$8=0,INDEX($E86:$I86,0,AE$6),(INDEX($E86:$I86,0,AE$8+1)-INDEX($E86:$I86,0,AE$8))/(INDEX($D$5:$H$5,0,AE$8+1)-INDEX($D$5:$H$5,0,AE$8))+AD86)))</f>
        <v>53.60857484701905</v>
      </c>
      <c r="AF86" s="5" cm="1">
        <f t="array" ref="AF86">IF(AF$8=-1,AG86,IF(AF$8=99,AE86,IF(AF$8=0,INDEX($E86:$I86,0,AF$6),(INDEX($E86:$I86,0,AF$8+1)-INDEX($E86:$I86,0,AF$8))/(INDEX($D$5:$H$5,0,AF$8+1)-INDEX($D$5:$H$5,0,AF$8))+AE86)))</f>
        <v>53.60857484701905</v>
      </c>
      <c r="AG86" s="5" cm="1">
        <f t="array" ref="AG86">IF(AG$8=-1,AH86,IF(AG$8=99,AF86,IF(AG$8=0,INDEX($E86:$I86,0,AG$6),(INDEX($E86:$I86,0,AG$8+1)-INDEX($E86:$I86,0,AG$8))/(INDEX($D$5:$H$5,0,AG$8+1)-INDEX($D$5:$H$5,0,AG$8))+AF86)))</f>
        <v>53.60857484701905</v>
      </c>
      <c r="AH86" s="5" cm="1">
        <f t="array" ref="AH86">IF(AH$8=-1,AI86,IF(AH$8=99,AG86,IF(AH$8=0,INDEX($E86:$I86,0,AH$6),(INDEX($E86:$I86,0,AH$8+1)-INDEX($E86:$I86,0,AH$8))/(INDEX($D$5:$H$5,0,AH$8+1)-INDEX($D$5:$H$5,0,AH$8))+AG86)))</f>
        <v>53.60857484701905</v>
      </c>
      <c r="AI86" s="5" cm="1">
        <f t="array" ref="AI86">IF(AI$8=-1,AJ86,IF(AI$8=99,AH86,IF(AI$8=0,INDEX($E86:$I86,0,AI$6),(INDEX($E86:$I86,0,AI$8+1)-INDEX($E86:$I86,0,AI$8))/(INDEX($D$5:$H$5,0,AI$8+1)-INDEX($D$5:$H$5,0,AI$8))+AH86)))</f>
        <v>53.60857484701905</v>
      </c>
      <c r="AJ86" s="5" cm="1">
        <f t="array" ref="AJ86">IF(AJ$8=-1,AK86,IF(AJ$8=99,AI86,IF(AJ$8=0,INDEX($E86:$I86,0,AJ$6),(INDEX($E86:$I86,0,AJ$8+1)-INDEX($E86:$I86,0,AJ$8))/(INDEX($D$5:$H$5,0,AJ$8+1)-INDEX($D$5:$H$5,0,AJ$8))+AI86)))</f>
        <v>53.60857484701905</v>
      </c>
      <c r="AK86" s="5" cm="1">
        <f t="array" ref="AK86">IF(AK$8=-1,AL86,IF(AK$8=99,AJ86,IF(AK$8=0,INDEX($E86:$I86,0,AK$6),(INDEX($E86:$I86,0,AK$8+1)-INDEX($E86:$I86,0,AK$8))/(INDEX($D$5:$H$5,0,AK$8+1)-INDEX($D$5:$H$5,0,AK$8))+AJ86)))</f>
        <v>53.60857484701905</v>
      </c>
      <c r="AL86" s="5" cm="1">
        <f t="array" ref="AL86">IF(AL$8=-1,AM86,IF(AL$8=99,AK86,IF(AL$8=0,INDEX($E86:$I86,0,AL$6),(INDEX($E86:$I86,0,AL$8+1)-INDEX($E86:$I86,0,AL$8))/(INDEX($D$5:$H$5,0,AL$8+1)-INDEX($D$5:$H$5,0,AL$8))+AK86)))</f>
        <v>53.60857484701905</v>
      </c>
      <c r="AM86" s="5" cm="1">
        <f t="array" ref="AM86">IF(AM$8=-1,AN86,IF(AM$8=99,AL86,IF(AM$8=0,INDEX($E86:$I86,0,AM$6),(INDEX($E86:$I86,0,AM$8+1)-INDEX($E86:$I86,0,AM$8))/(INDEX($D$5:$H$5,0,AM$8+1)-INDEX($D$5:$H$5,0,AM$8))+AL86)))</f>
        <v>53.60857484701905</v>
      </c>
      <c r="AN86" s="5" cm="1">
        <f t="array" ref="AN86">IF(AN$8=-1,AO86,IF(AN$8=99,AM86,IF(AN$8=0,INDEX($E86:$I86,0,AN$6),(INDEX($E86:$I86,0,AN$8+1)-INDEX($E86:$I86,0,AN$8))/(INDEX($D$5:$H$5,0,AN$8+1)-INDEX($D$5:$H$5,0,AN$8))+AM86)))</f>
        <v>53.60857484701905</v>
      </c>
      <c r="AO86" s="5" cm="1">
        <f t="array" ref="AO86">IF(AO$8=-1,AP86,IF(AO$8=99,AN86,IF(AO$8=0,INDEX($E86:$K86,0,AO$6),(INDEX($E86:$K86,0,AO$8+1)-INDEX($E86:$K86,0,AO$8))/(INDEX($D$5:$J$5,0,AO$8+1)-INDEX($D$5:$J$5,0,AO$8))+AN86)))</f>
        <v>53.60857484701905</v>
      </c>
      <c r="AP86" s="5" cm="1">
        <f t="array" ref="AP86">IF(AP$8=-1,AQ86,IF(AP$8=99,AO86,IF(AP$8=0,INDEX($E86:$K86,0,AP$6),(INDEX($E86:$K86,0,AP$8+1)-INDEX($E86:$K86,0,AP$8))/(INDEX($D$5:$J$5,0,AP$8+1)-INDEX($D$5:$J$5,0,AP$8))+AO86)))</f>
        <v>53.60857484701905</v>
      </c>
      <c r="AQ86" s="5" cm="1">
        <f t="array" ref="AQ86">IF(AQ$8=-1,AR86,IF(AQ$8=99,AP86,IF(AQ$8=0,INDEX($E86:$K86,0,AQ$6),(INDEX($E86:$K86,0,AQ$8+1)-INDEX($E86:$K86,0,AQ$8))/(INDEX($D$5:$J$5,0,AQ$8+1)-INDEX($D$5:$J$5,0,AQ$8))+AP86)))</f>
        <v>53.60857484701905</v>
      </c>
      <c r="AR86" s="5" cm="1">
        <f t="array" ref="AR86">IF(AR$8=-1,AS86,IF(AR$8=99,AQ86,IF(AR$8=0,INDEX($E86:$K86,0,AR$6),(INDEX($E86:$K86,0,AR$8+1)-INDEX($E86:$K86,0,AR$8))/(INDEX($D$5:$J$5,0,AR$8+1)-INDEX($D$5:$J$5,0,AR$8))+AQ86)))</f>
        <v>53.60857484701905</v>
      </c>
      <c r="AS86" s="5" cm="1">
        <f t="array" ref="AS86">IF(AS$8=-1,AT86,IF(AS$8=99,AR86,IF(AS$8=0,INDEX($E86:$K86,0,AS$6),(INDEX($E86:$K86,0,AS$8+1)-INDEX($E86:$K86,0,AS$8))/(INDEX($D$5:$J$5,0,AS$8+1)-INDEX($D$5:$J$5,0,AS$8))+AR86)))</f>
        <v>53.60857484701905</v>
      </c>
      <c r="AT86" s="5" cm="1">
        <f t="array" ref="AT86">IF(AT$8=-1,AU86,IF(AT$8=99,AS86,IF(AT$8=0,INDEX($E86:$K86,0,AT$6),(INDEX($E86:$K86,0,AT$8+1)-INDEX($E86:$K86,0,AT$8))/(INDEX($D$5:$J$5,0,AT$8+1)-INDEX($D$5:$J$5,0,AT$8))+AS86)))</f>
        <v>53.60857484701905</v>
      </c>
      <c r="AU86" s="5" cm="1">
        <f t="array" ref="AU86">IF(AU$8=-1,AV86,IF(AU$8=99,AT86,IF(AU$8=0,INDEX($E86:$K86,0,AU$6),(INDEX($E86:$K86,0,AU$8+1)-INDEX($E86:$K86,0,AU$8))/(INDEX($D$5:$J$5,0,AU$8+1)-INDEX($D$5:$J$5,0,AU$8))+AT86)))</f>
        <v>53.60857484701905</v>
      </c>
      <c r="AV86" s="5" cm="1">
        <f t="array" ref="AV86">IF(AV$8=-1,AW86,IF(AV$8=99,AU86,IF(AV$8=0,INDEX($E86:$K86,0,AV$6),(INDEX($E86:$K86,0,AV$8+1)-INDEX($E86:$K86,0,AV$8))/(INDEX($D$5:$J$5,0,AV$8+1)-INDEX($D$5:$J$5,0,AV$8))+AU86)))</f>
        <v>53.60857484701905</v>
      </c>
      <c r="AW86" s="5" cm="1">
        <f t="array" ref="AW86">IF(AW$8=-1,AX86,IF(AW$8=99,AV86,IF(AW$8=0,INDEX($E86:$K86,0,AW$6),(INDEX($E86:$K86,0,AW$8+1)-INDEX($E86:$K86,0,AW$8))/(INDEX($D$5:$J$5,0,AW$8+1)-INDEX($D$5:$J$5,0,AW$8))+AV86)))</f>
        <v>53.60857484701905</v>
      </c>
      <c r="AX86" s="5" cm="1">
        <f t="array" ref="AX86">IF(AX$8=-1,AY86,IF(AX$8=99,AW86,IF(AX$8=0,INDEX($E86:$K86,0,AX$6),(INDEX($E86:$K86,0,AX$8+1)-INDEX($E86:$K86,0,AX$8))/(INDEX($D$5:$J$5,0,AX$8+1)-INDEX($D$5:$J$5,0,AX$8))+AW86)))</f>
        <v>53.60857484701905</v>
      </c>
      <c r="AY86" s="5" cm="1">
        <f t="array" ref="AY86">IF(AY$8=-1,AZ86,IF(AY$8=99,AX86,IF(AY$8=0,INDEX($E86:$K86,0,AY$6),(INDEX($E86:$K86,0,AY$8+1)-INDEX($E86:$K86,0,AY$8))/(INDEX($D$5:$J$5,0,AY$8+1)-INDEX($D$5:$J$5,0,AY$8))+AX86)))</f>
        <v>53.60857484701905</v>
      </c>
      <c r="AZ86" s="5" cm="1">
        <f t="array" ref="AZ86">IF(AZ$8=-1,BA86,IF(AZ$8=99,AY86,IF(AZ$8=0,INDEX($E86:$K86,0,AZ$6),(INDEX($E86:$K86,0,AZ$8+1)-INDEX($E86:$K86,0,AZ$8))/(INDEX($D$5:$J$5,0,AZ$8+1)-INDEX($D$5:$J$5,0,AZ$8))+AY86)))</f>
        <v>53.60857484701905</v>
      </c>
      <c r="BA86" s="5" cm="1">
        <f t="array" ref="BA86">IF(BA$8=-1,BB86,IF(BA$8=99,AZ86,IF(BA$8=0,INDEX($E86:$K86,0,BA$6),(INDEX($E86:$K86,0,BA$8+1)-INDEX($E86:$K86,0,BA$8))/(INDEX($D$5:$J$5,0,BA$8+1)-INDEX($D$5:$J$5,0,BA$8))+AZ86)))</f>
        <v>53.60857484701905</v>
      </c>
      <c r="BB86" s="5" cm="1">
        <f t="array" ref="BB86">IF(BB$8=-1,BC86,IF(BB$8=99,BA86,IF(BB$8=0,INDEX($E86:$K86,0,BB$6),(INDEX($E86:$K86,0,BB$8+1)-INDEX($E86:$K86,0,BB$8))/(INDEX($D$5:$J$5,0,BB$8+1)-INDEX($D$5:$J$5,0,BB$8))+BA86)))</f>
        <v>53.60857484701905</v>
      </c>
      <c r="BC86" s="5" cm="1">
        <f t="array" ref="BC86">IF(BC$8=-1,BD86,IF(BC$8=99,BB86,IF(BC$8=0,INDEX($E86:$K86,0,BC$6),(INDEX($E86:$K86,0,BC$8+1)-INDEX($E86:$K86,0,BC$8))/(INDEX($D$5:$J$5,0,BC$8+1)-INDEX($D$5:$J$5,0,BC$8))+BB86)))</f>
        <v>53.60857484701905</v>
      </c>
      <c r="BD86" s="5" cm="1">
        <f t="array" ref="BD86">IF(BD$8=-1,BE86,IF(BD$8=99,BC86,IF(BD$8=0,INDEX($E86:$K86,0,BD$6),(INDEX($E86:$K86,0,BD$8+1)-INDEX($E86:$K86,0,BD$8))/(INDEX($D$5:$J$5,0,BD$8+1)-INDEX($D$5:$J$5,0,BD$8))+BC86)))</f>
        <v>53.60857484701905</v>
      </c>
      <c r="BE86" s="5" cm="1">
        <f t="array" ref="BE86">IF(BE$8=-1,BF86,IF(BE$8=99,BD86,IF(BE$8=0,INDEX($E86:$K86,0,BE$6),(INDEX($E86:$K86,0,BE$8+1)-INDEX($E86:$K86,0,BE$8))/(INDEX($D$5:$J$5,0,BE$8+1)-INDEX($D$5:$J$5,0,BE$8))+BD86)))</f>
        <v>53.60857484701905</v>
      </c>
      <c r="BF86" s="5" cm="1">
        <f t="array" ref="BF86">IF(BF$8=-1,BG86,IF(BF$8=99,BE86,IF(BF$8=0,INDEX($E86:$K86,0,BF$6),(INDEX($E86:$K86,0,BF$8+1)-INDEX($E86:$K86,0,BF$8))/(INDEX($D$5:$J$5,0,BF$8+1)-INDEX($D$5:$J$5,0,BF$8))+BE86)))</f>
        <v>53.60857484701905</v>
      </c>
      <c r="BG86" s="5" cm="1">
        <f t="array" ref="BG86">IF(BG$8=-1,BH86,IF(BG$8=99,BF86,IF(BG$8=0,INDEX($E86:$K86,0,BG$6),(INDEX($E86:$K86,0,BG$8+1)-INDEX($E86:$K86,0,BG$8))/(INDEX($D$5:$J$5,0,BG$8+1)-INDEX($D$5:$J$5,0,BG$8))+BF86)))</f>
        <v>53.60857484701905</v>
      </c>
      <c r="BH86" s="5" cm="1">
        <f t="array" ref="BH86">IF(BH$8=-1,BI86,IF(BH$8=99,BG86,IF(BH$8=0,INDEX($E86:$K86,0,BH$6),(INDEX($E86:$K86,0,BH$8+1)-INDEX($E86:$K86,0,BH$8))/(INDEX($D$5:$J$5,0,BH$8+1)-INDEX($D$5:$J$5,0,BH$8))+BG86)))</f>
        <v>53.60857484701905</v>
      </c>
      <c r="BI86" s="5" cm="1">
        <f t="array" ref="BI86">IF(BI$8=-1,BJ86,IF(BI$8=99,BH86,IF(BI$8=0,INDEX($E86:$K86,0,BI$6),(INDEX($E86:$K86,0,BI$8+1)-INDEX($E86:$K86,0,BI$8))/(INDEX($D$5:$J$5,0,BI$8+1)-INDEX($D$5:$J$5,0,BI$8))+BH86)))</f>
        <v>53.60857484701905</v>
      </c>
      <c r="BJ86" s="5" cm="1">
        <f t="array" ref="BJ86">IF(BJ$8=-1,BK86,IF(BJ$8=99,BI86,IF(BJ$8=0,INDEX($E86:$K86,0,BJ$6),(INDEX($E86:$K86,0,BJ$8+1)-INDEX($E86:$K86,0,BJ$8))/(INDEX($D$5:$J$5,0,BJ$8+1)-INDEX($D$5:$J$5,0,BJ$8))+BI86)))</f>
        <v>53.60857484701905</v>
      </c>
      <c r="BK86" s="5" cm="1">
        <f t="array" ref="BK86">IF(BK$8=-1,BL86,IF(BK$8=99,BJ86,IF(BK$8=0,INDEX($E86:$K86,0,BK$6),(INDEX($E86:$K86,0,BK$8+1)-INDEX($E86:$K86,0,BK$8))/(INDEX($D$5:$J$5,0,BK$8+1)-INDEX($D$5:$J$5,0,BK$8))+BJ86)))</f>
        <v>53.60857484701905</v>
      </c>
      <c r="BL86" s="5" cm="1">
        <f t="array" ref="BL86">IF(BL$8=-1,BM86,IF(BL$8=99,BK86,IF(BL$8=0,INDEX($E86:$K86,0,BL$6),(INDEX($E86:$K86,0,BL$8+1)-INDEX($E86:$K86,0,BL$8))/(INDEX($D$5:$J$5,0,BL$8+1)-INDEX($D$5:$J$5,0,BL$8))+BK86)))</f>
        <v>53.60857484701905</v>
      </c>
      <c r="BM86" s="5" cm="1">
        <f t="array" ref="BM86">IF(BM$8=-1,BN86,IF(BM$8=99,BL86,IF(BM$8=0,INDEX($E86:$K86,0,BM$6),(INDEX($E86:$K86,0,BM$8+1)-INDEX($E86:$K86,0,BM$8))/(INDEX($D$5:$J$5,0,BM$8+1)-INDEX($D$5:$J$5,0,BM$8))+BL86)))</f>
        <v>53.60857484701905</v>
      </c>
      <c r="BN86" s="5" cm="1">
        <f t="array" ref="BN86">IF(BN$8=-1,BO86,IF(BN$8=99,BM86,IF(BN$8=0,INDEX($E86:$K86,0,BN$6),(INDEX($E86:$K86,0,BN$8+1)-INDEX($E86:$K86,0,BN$8))/(INDEX($D$5:$J$5,0,BN$8+1)-INDEX($D$5:$J$5,0,BN$8))+BM86)))</f>
        <v>53.60857484701905</v>
      </c>
      <c r="BO86" s="5" cm="1">
        <f t="array" ref="BO86">IF(BO$8=-1,BP86,IF(BO$8=99,BN86,IF(BO$8=0,INDEX($E86:$K86,0,BO$6),(INDEX($E86:$K86,0,BO$8+1)-INDEX($E86:$K86,0,BO$8))/(INDEX($D$5:$J$5,0,BO$8+1)-INDEX($D$5:$J$5,0,BO$8))+BN86)))</f>
        <v>53.60857484701905</v>
      </c>
      <c r="BP86" s="5" cm="1">
        <f t="array" ref="BP86">IF(BP$8=-1,BQ86,IF(BP$8=99,BO86,IF(BP$8=0,INDEX($E86:$K86,0,BP$6),(INDEX($E86:$K86,0,BP$8+1)-INDEX($E86:$K86,0,BP$8))/(INDEX($D$5:$J$5,0,BP$8+1)-INDEX($D$5:$J$5,0,BP$8))+BO86)))</f>
        <v>53.60857484701905</v>
      </c>
      <c r="BQ86" s="5" cm="1">
        <f t="array" ref="BQ86">IF(BQ$8=-1,BR86,IF(BQ$8=99,BP86,IF(BQ$8=0,INDEX($E86:$K86,0,BQ$6),(INDEX($E86:$K86,0,BQ$8+1)-INDEX($E86:$K86,0,BQ$8))/(INDEX($D$5:$J$5,0,BQ$8+1)-INDEX($D$5:$J$5,0,BQ$8))+BP86)))</f>
        <v>53.60857484701905</v>
      </c>
      <c r="BR86" s="5" cm="1">
        <f t="array" ref="BR86">IF(BR$8=-1,BS86,IF(BR$8=99,BQ86,IF(BR$8=0,INDEX($E86:$K86,0,BR$6),(INDEX($E86:$K86,0,BR$8+1)-INDEX($E86:$K86,0,BR$8))/(INDEX($D$5:$J$5,0,BR$8+1)-INDEX($D$5:$J$5,0,BR$8))+BQ86)))</f>
        <v>53.60857484701905</v>
      </c>
    </row>
    <row r="87" spans="1:70">
      <c r="A87" t="s">
        <v>16</v>
      </c>
      <c r="B87" s="223" t="s">
        <v>240</v>
      </c>
      <c r="C87" s="90" t="str">
        <f t="shared" si="143"/>
        <v>Commercial - Public lights</v>
      </c>
      <c r="D87" s="90" t="s">
        <v>66</v>
      </c>
      <c r="E87" s="147">
        <f t="shared" si="148"/>
        <v>0</v>
      </c>
      <c r="F87" s="87">
        <f t="shared" si="148"/>
        <v>0</v>
      </c>
      <c r="G87" s="148">
        <f t="shared" si="144"/>
        <v>0</v>
      </c>
      <c r="H87" s="87">
        <f t="shared" si="149"/>
        <v>0</v>
      </c>
      <c r="I87" s="149">
        <f t="shared" si="145"/>
        <v>0</v>
      </c>
      <c r="J87" s="149">
        <f t="shared" si="146"/>
        <v>0</v>
      </c>
      <c r="K87" s="149">
        <f t="shared" si="147"/>
        <v>0</v>
      </c>
      <c r="L87" s="5" cm="1">
        <f t="array" ref="L87">IF(L$8=-1,M87,IF(L$8=99,I87,IF(L$8=0,INDEX($E87:$I87,0,L$6),(INDEX($E87:$I87,0,L$8+1)-INDEX($E87:$I87,0,L$8))/(INDEX($D$5:$H$5,0,L$8+1)-INDEX($D$5:$H$5,0,L$8))+I87)))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IF(AO$8=-1,AP87,IF(AO$8=99,AN87,IF(AO$8=0,INDEX($E87:$K87,0,AO$6),(INDEX($E87:$K87,0,AO$8+1)-INDEX($E87:$K87,0,AO$8))/(INDEX($D$5:$J$5,0,AO$8+1)-INDEX($D$5:$J$5,0,AO$8))+AN87)))</f>
        <v>0</v>
      </c>
      <c r="AP87" s="5" cm="1">
        <f t="array" ref="AP87">IF(AP$8=-1,AQ87,IF(AP$8=99,AO87,IF(AP$8=0,INDEX($E87:$K87,0,AP$6),(INDEX($E87:$K87,0,AP$8+1)-INDEX($E87:$K87,0,AP$8))/(INDEX($D$5:$J$5,0,AP$8+1)-INDEX($D$5:$J$5,0,AP$8))+AO87)))</f>
        <v>0</v>
      </c>
      <c r="AQ87" s="5" cm="1">
        <f t="array" ref="AQ87">IF(AQ$8=-1,AR87,IF(AQ$8=99,AP87,IF(AQ$8=0,INDEX($E87:$K87,0,AQ$6),(INDEX($E87:$K87,0,AQ$8+1)-INDEX($E87:$K87,0,AQ$8))/(INDEX($D$5:$J$5,0,AQ$8+1)-INDEX($D$5:$J$5,0,AQ$8))+AP87)))</f>
        <v>0</v>
      </c>
      <c r="AR87" s="5" cm="1">
        <f t="array" ref="AR87">IF(AR$8=-1,AS87,IF(AR$8=99,AQ87,IF(AR$8=0,INDEX($E87:$K87,0,AR$6),(INDEX($E87:$K87,0,AR$8+1)-INDEX($E87:$K87,0,AR$8))/(INDEX($D$5:$J$5,0,AR$8+1)-INDEX($D$5:$J$5,0,AR$8))+AQ87)))</f>
        <v>0</v>
      </c>
      <c r="AS87" s="5" cm="1">
        <f t="array" ref="AS87">IF(AS$8=-1,AT87,IF(AS$8=99,AR87,IF(AS$8=0,INDEX($E87:$K87,0,AS$6),(INDEX($E87:$K87,0,AS$8+1)-INDEX($E87:$K87,0,AS$8))/(INDEX($D$5:$J$5,0,AS$8+1)-INDEX($D$5:$J$5,0,AS$8))+AR87)))</f>
        <v>0</v>
      </c>
      <c r="AT87" s="5" cm="1">
        <f t="array" ref="AT87">IF(AT$8=-1,AU87,IF(AT$8=99,AS87,IF(AT$8=0,INDEX($E87:$K87,0,AT$6),(INDEX($E87:$K87,0,AT$8+1)-INDEX($E87:$K87,0,AT$8))/(INDEX($D$5:$J$5,0,AT$8+1)-INDEX($D$5:$J$5,0,AT$8))+AS87)))</f>
        <v>0</v>
      </c>
      <c r="AU87" s="5" cm="1">
        <f t="array" ref="AU87">IF(AU$8=-1,AV87,IF(AU$8=99,AT87,IF(AU$8=0,INDEX($E87:$K87,0,AU$6),(INDEX($E87:$K87,0,AU$8+1)-INDEX($E87:$K87,0,AU$8))/(INDEX($D$5:$J$5,0,AU$8+1)-INDEX($D$5:$J$5,0,AU$8))+AT87)))</f>
        <v>0</v>
      </c>
      <c r="AV87" s="5" cm="1">
        <f t="array" ref="AV87">IF(AV$8=-1,AW87,IF(AV$8=99,AU87,IF(AV$8=0,INDEX($E87:$K87,0,AV$6),(INDEX($E87:$K87,0,AV$8+1)-INDEX($E87:$K87,0,AV$8))/(INDEX($D$5:$J$5,0,AV$8+1)-INDEX($D$5:$J$5,0,AV$8))+AU87)))</f>
        <v>0</v>
      </c>
      <c r="AW87" s="5" cm="1">
        <f t="array" ref="AW87">IF(AW$8=-1,AX87,IF(AW$8=99,AV87,IF(AW$8=0,INDEX($E87:$K87,0,AW$6),(INDEX($E87:$K87,0,AW$8+1)-INDEX($E87:$K87,0,AW$8))/(INDEX($D$5:$J$5,0,AW$8+1)-INDEX($D$5:$J$5,0,AW$8))+AV87)))</f>
        <v>0</v>
      </c>
      <c r="AX87" s="5" cm="1">
        <f t="array" ref="AX87">IF(AX$8=-1,AY87,IF(AX$8=99,AW87,IF(AX$8=0,INDEX($E87:$K87,0,AX$6),(INDEX($E87:$K87,0,AX$8+1)-INDEX($E87:$K87,0,AX$8))/(INDEX($D$5:$J$5,0,AX$8+1)-INDEX($D$5:$J$5,0,AX$8))+AW87)))</f>
        <v>0</v>
      </c>
      <c r="AY87" s="5" cm="1">
        <f t="array" ref="AY87">IF(AY$8=-1,AZ87,IF(AY$8=99,AX87,IF(AY$8=0,INDEX($E87:$K87,0,AY$6),(INDEX($E87:$K87,0,AY$8+1)-INDEX($E87:$K87,0,AY$8))/(INDEX($D$5:$J$5,0,AY$8+1)-INDEX($D$5:$J$5,0,AY$8))+AX87)))</f>
        <v>0</v>
      </c>
      <c r="AZ87" s="5" cm="1">
        <f t="array" ref="AZ87">IF(AZ$8=-1,BA87,IF(AZ$8=99,AY87,IF(AZ$8=0,INDEX($E87:$K87,0,AZ$6),(INDEX($E87:$K87,0,AZ$8+1)-INDEX($E87:$K87,0,AZ$8))/(INDEX($D$5:$J$5,0,AZ$8+1)-INDEX($D$5:$J$5,0,AZ$8))+AY87)))</f>
        <v>0</v>
      </c>
      <c r="BA87" s="5" cm="1">
        <f t="array" ref="BA87">IF(BA$8=-1,BB87,IF(BA$8=99,AZ87,IF(BA$8=0,INDEX($E87:$K87,0,BA$6),(INDEX($E87:$K87,0,BA$8+1)-INDEX($E87:$K87,0,BA$8))/(INDEX($D$5:$J$5,0,BA$8+1)-INDEX($D$5:$J$5,0,BA$8))+AZ87)))</f>
        <v>0</v>
      </c>
      <c r="BB87" s="5" cm="1">
        <f t="array" ref="BB87">IF(BB$8=-1,BC87,IF(BB$8=99,BA87,IF(BB$8=0,INDEX($E87:$K87,0,BB$6),(INDEX($E87:$K87,0,BB$8+1)-INDEX($E87:$K87,0,BB$8))/(INDEX($D$5:$J$5,0,BB$8+1)-INDEX($D$5:$J$5,0,BB$8))+BA87)))</f>
        <v>0</v>
      </c>
      <c r="BC87" s="5" cm="1">
        <f t="array" ref="BC87">IF(BC$8=-1,BD87,IF(BC$8=99,BB87,IF(BC$8=0,INDEX($E87:$K87,0,BC$6),(INDEX($E87:$K87,0,BC$8+1)-INDEX($E87:$K87,0,BC$8))/(INDEX($D$5:$J$5,0,BC$8+1)-INDEX($D$5:$J$5,0,BC$8))+BB87)))</f>
        <v>0</v>
      </c>
      <c r="BD87" s="5" cm="1">
        <f t="array" ref="BD87">IF(BD$8=-1,BE87,IF(BD$8=99,BC87,IF(BD$8=0,INDEX($E87:$K87,0,BD$6),(INDEX($E87:$K87,0,BD$8+1)-INDEX($E87:$K87,0,BD$8))/(INDEX($D$5:$J$5,0,BD$8+1)-INDEX($D$5:$J$5,0,BD$8))+BC87)))</f>
        <v>0</v>
      </c>
      <c r="BE87" s="5" cm="1">
        <f t="array" ref="BE87">IF(BE$8=-1,BF87,IF(BE$8=99,BD87,IF(BE$8=0,INDEX($E87:$K87,0,BE$6),(INDEX($E87:$K87,0,BE$8+1)-INDEX($E87:$K87,0,BE$8))/(INDEX($D$5:$J$5,0,BE$8+1)-INDEX($D$5:$J$5,0,BE$8))+BD87)))</f>
        <v>0</v>
      </c>
      <c r="BF87" s="5" cm="1">
        <f t="array" ref="BF87">IF(BF$8=-1,BG87,IF(BF$8=99,BE87,IF(BF$8=0,INDEX($E87:$K87,0,BF$6),(INDEX($E87:$K87,0,BF$8+1)-INDEX($E87:$K87,0,BF$8))/(INDEX($D$5:$J$5,0,BF$8+1)-INDEX($D$5:$J$5,0,BF$8))+BE87)))</f>
        <v>0</v>
      </c>
      <c r="BG87" s="5" cm="1">
        <f t="array" ref="BG87">IF(BG$8=-1,BH87,IF(BG$8=99,BF87,IF(BG$8=0,INDEX($E87:$K87,0,BG$6),(INDEX($E87:$K87,0,BG$8+1)-INDEX($E87:$K87,0,BG$8))/(INDEX($D$5:$J$5,0,BG$8+1)-INDEX($D$5:$J$5,0,BG$8))+BF87)))</f>
        <v>0</v>
      </c>
      <c r="BH87" s="5" cm="1">
        <f t="array" ref="BH87">IF(BH$8=-1,BI87,IF(BH$8=99,BG87,IF(BH$8=0,INDEX($E87:$K87,0,BH$6),(INDEX($E87:$K87,0,BH$8+1)-INDEX($E87:$K87,0,BH$8))/(INDEX($D$5:$J$5,0,BH$8+1)-INDEX($D$5:$J$5,0,BH$8))+BG87)))</f>
        <v>0</v>
      </c>
      <c r="BI87" s="5" cm="1">
        <f t="array" ref="BI87">IF(BI$8=-1,BJ87,IF(BI$8=99,BH87,IF(BI$8=0,INDEX($E87:$K87,0,BI$6),(INDEX($E87:$K87,0,BI$8+1)-INDEX($E87:$K87,0,BI$8))/(INDEX($D$5:$J$5,0,BI$8+1)-INDEX($D$5:$J$5,0,BI$8))+BH87)))</f>
        <v>0</v>
      </c>
      <c r="BJ87" s="5" cm="1">
        <f t="array" ref="BJ87">IF(BJ$8=-1,BK87,IF(BJ$8=99,BI87,IF(BJ$8=0,INDEX($E87:$K87,0,BJ$6),(INDEX($E87:$K87,0,BJ$8+1)-INDEX($E87:$K87,0,BJ$8))/(INDEX($D$5:$J$5,0,BJ$8+1)-INDEX($D$5:$J$5,0,BJ$8))+BI87)))</f>
        <v>0</v>
      </c>
      <c r="BK87" s="5" cm="1">
        <f t="array" ref="BK87">IF(BK$8=-1,BL87,IF(BK$8=99,BJ87,IF(BK$8=0,INDEX($E87:$K87,0,BK$6),(INDEX($E87:$K87,0,BK$8+1)-INDEX($E87:$K87,0,BK$8))/(INDEX($D$5:$J$5,0,BK$8+1)-INDEX($D$5:$J$5,0,BK$8))+BJ87)))</f>
        <v>0</v>
      </c>
      <c r="BL87" s="5" cm="1">
        <f t="array" ref="BL87">IF(BL$8=-1,BM87,IF(BL$8=99,BK87,IF(BL$8=0,INDEX($E87:$K87,0,BL$6),(INDEX($E87:$K87,0,BL$8+1)-INDEX($E87:$K87,0,BL$8))/(INDEX($D$5:$J$5,0,BL$8+1)-INDEX($D$5:$J$5,0,BL$8))+BK87)))</f>
        <v>0</v>
      </c>
      <c r="BM87" s="5" cm="1">
        <f t="array" ref="BM87">IF(BM$8=-1,BN87,IF(BM$8=99,BL87,IF(BM$8=0,INDEX($E87:$K87,0,BM$6),(INDEX($E87:$K87,0,BM$8+1)-INDEX($E87:$K87,0,BM$8))/(INDEX($D$5:$J$5,0,BM$8+1)-INDEX($D$5:$J$5,0,BM$8))+BL87)))</f>
        <v>0</v>
      </c>
      <c r="BN87" s="5" cm="1">
        <f t="array" ref="BN87">IF(BN$8=-1,BO87,IF(BN$8=99,BM87,IF(BN$8=0,INDEX($E87:$K87,0,BN$6),(INDEX($E87:$K87,0,BN$8+1)-INDEX($E87:$K87,0,BN$8))/(INDEX($D$5:$J$5,0,BN$8+1)-INDEX($D$5:$J$5,0,BN$8))+BM87)))</f>
        <v>0</v>
      </c>
      <c r="BO87" s="5" cm="1">
        <f t="array" ref="BO87">IF(BO$8=-1,BP87,IF(BO$8=99,BN87,IF(BO$8=0,INDEX($E87:$K87,0,BO$6),(INDEX($E87:$K87,0,BO$8+1)-INDEX($E87:$K87,0,BO$8))/(INDEX($D$5:$J$5,0,BO$8+1)-INDEX($D$5:$J$5,0,BO$8))+BN87)))</f>
        <v>0</v>
      </c>
      <c r="BP87" s="5" cm="1">
        <f t="array" ref="BP87">IF(BP$8=-1,BQ87,IF(BP$8=99,BO87,IF(BP$8=0,INDEX($E87:$K87,0,BP$6),(INDEX($E87:$K87,0,BP$8+1)-INDEX($E87:$K87,0,BP$8))/(INDEX($D$5:$J$5,0,BP$8+1)-INDEX($D$5:$J$5,0,BP$8))+BO87)))</f>
        <v>0</v>
      </c>
      <c r="BQ87" s="5" cm="1">
        <f t="array" ref="BQ87">IF(BQ$8=-1,BR87,IF(BQ$8=99,BP87,IF(BQ$8=0,INDEX($E87:$K87,0,BQ$6),(INDEX($E87:$K87,0,BQ$8+1)-INDEX($E87:$K87,0,BQ$8))/(INDEX($D$5:$J$5,0,BQ$8+1)-INDEX($D$5:$J$5,0,BQ$8))+BP87)))</f>
        <v>0</v>
      </c>
      <c r="BR87" s="5" cm="1">
        <f t="array" ref="BR87">IF(BR$8=-1,BS87,IF(BR$8=99,BQ87,IF(BR$8=0,INDEX($E87:$K87,0,BR$6),(INDEX($E87:$K87,0,BR$8+1)-INDEX($E87:$K87,0,BR$8))/(INDEX($D$5:$J$5,0,BR$8+1)-INDEX($D$5:$J$5,0,BR$8))+BQ87)))</f>
        <v>0</v>
      </c>
    </row>
    <row r="88" spans="1:70">
      <c r="A88" t="s">
        <v>16</v>
      </c>
      <c r="B88" s="223" t="s">
        <v>241</v>
      </c>
      <c r="C88" s="90" t="str">
        <f t="shared" si="143"/>
        <v>Commercial - Public Water</v>
      </c>
      <c r="D88" s="90" t="s">
        <v>66</v>
      </c>
      <c r="E88" s="147">
        <f t="shared" si="148"/>
        <v>0</v>
      </c>
      <c r="F88" s="87">
        <f t="shared" si="148"/>
        <v>0</v>
      </c>
      <c r="G88" s="148">
        <f t="shared" si="144"/>
        <v>0</v>
      </c>
      <c r="H88" s="87">
        <f t="shared" si="149"/>
        <v>0</v>
      </c>
      <c r="I88" s="149">
        <f t="shared" si="145"/>
        <v>0</v>
      </c>
      <c r="J88" s="149">
        <f t="shared" si="146"/>
        <v>0</v>
      </c>
      <c r="K88" s="149">
        <f t="shared" si="147"/>
        <v>0</v>
      </c>
      <c r="L88" s="5" cm="1">
        <f t="array" ref="L88">IF(L$8=-1,M88,IF(L$8=99,I88,IF(L$8=0,INDEX($E88:$I88,0,L$6),(INDEX($E88:$I88,0,L$8+1)-INDEX($E88:$I88,0,L$8))/(INDEX($D$5:$H$5,0,L$8+1)-INDEX($D$5:$H$5,0,L$8))+I88)))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IF(AO$8=-1,AP88,IF(AO$8=99,AN88,IF(AO$8=0,INDEX($E88:$K88,0,AO$6),(INDEX($E88:$K88,0,AO$8+1)-INDEX($E88:$K88,0,AO$8))/(INDEX($D$5:$J$5,0,AO$8+1)-INDEX($D$5:$J$5,0,AO$8))+AN88)))</f>
        <v>0</v>
      </c>
      <c r="AP88" s="5" cm="1">
        <f t="array" ref="AP88">IF(AP$8=-1,AQ88,IF(AP$8=99,AO88,IF(AP$8=0,INDEX($E88:$K88,0,AP$6),(INDEX($E88:$K88,0,AP$8+1)-INDEX($E88:$K88,0,AP$8))/(INDEX($D$5:$J$5,0,AP$8+1)-INDEX($D$5:$J$5,0,AP$8))+AO88)))</f>
        <v>0</v>
      </c>
      <c r="AQ88" s="5" cm="1">
        <f t="array" ref="AQ88">IF(AQ$8=-1,AR88,IF(AQ$8=99,AP88,IF(AQ$8=0,INDEX($E88:$K88,0,AQ$6),(INDEX($E88:$K88,0,AQ$8+1)-INDEX($E88:$K88,0,AQ$8))/(INDEX($D$5:$J$5,0,AQ$8+1)-INDEX($D$5:$J$5,0,AQ$8))+AP88)))</f>
        <v>0</v>
      </c>
      <c r="AR88" s="5" cm="1">
        <f t="array" ref="AR88">IF(AR$8=-1,AS88,IF(AR$8=99,AQ88,IF(AR$8=0,INDEX($E88:$K88,0,AR$6),(INDEX($E88:$K88,0,AR$8+1)-INDEX($E88:$K88,0,AR$8))/(INDEX($D$5:$J$5,0,AR$8+1)-INDEX($D$5:$J$5,0,AR$8))+AQ88)))</f>
        <v>0</v>
      </c>
      <c r="AS88" s="5" cm="1">
        <f t="array" ref="AS88">IF(AS$8=-1,AT88,IF(AS$8=99,AR88,IF(AS$8=0,INDEX($E88:$K88,0,AS$6),(INDEX($E88:$K88,0,AS$8+1)-INDEX($E88:$K88,0,AS$8))/(INDEX($D$5:$J$5,0,AS$8+1)-INDEX($D$5:$J$5,0,AS$8))+AR88)))</f>
        <v>0</v>
      </c>
      <c r="AT88" s="5" cm="1">
        <f t="array" ref="AT88">IF(AT$8=-1,AU88,IF(AT$8=99,AS88,IF(AT$8=0,INDEX($E88:$K88,0,AT$6),(INDEX($E88:$K88,0,AT$8+1)-INDEX($E88:$K88,0,AT$8))/(INDEX($D$5:$J$5,0,AT$8+1)-INDEX($D$5:$J$5,0,AT$8))+AS88)))</f>
        <v>0</v>
      </c>
      <c r="AU88" s="5" cm="1">
        <f t="array" ref="AU88">IF(AU$8=-1,AV88,IF(AU$8=99,AT88,IF(AU$8=0,INDEX($E88:$K88,0,AU$6),(INDEX($E88:$K88,0,AU$8+1)-INDEX($E88:$K88,0,AU$8))/(INDEX($D$5:$J$5,0,AU$8+1)-INDEX($D$5:$J$5,0,AU$8))+AT88)))</f>
        <v>0</v>
      </c>
      <c r="AV88" s="5" cm="1">
        <f t="array" ref="AV88">IF(AV$8=-1,AW88,IF(AV$8=99,AU88,IF(AV$8=0,INDEX($E88:$K88,0,AV$6),(INDEX($E88:$K88,0,AV$8+1)-INDEX($E88:$K88,0,AV$8))/(INDEX($D$5:$J$5,0,AV$8+1)-INDEX($D$5:$J$5,0,AV$8))+AU88)))</f>
        <v>0</v>
      </c>
      <c r="AW88" s="5" cm="1">
        <f t="array" ref="AW88">IF(AW$8=-1,AX88,IF(AW$8=99,AV88,IF(AW$8=0,INDEX($E88:$K88,0,AW$6),(INDEX($E88:$K88,0,AW$8+1)-INDEX($E88:$K88,0,AW$8))/(INDEX($D$5:$J$5,0,AW$8+1)-INDEX($D$5:$J$5,0,AW$8))+AV88)))</f>
        <v>0</v>
      </c>
      <c r="AX88" s="5" cm="1">
        <f t="array" ref="AX88">IF(AX$8=-1,AY88,IF(AX$8=99,AW88,IF(AX$8=0,INDEX($E88:$K88,0,AX$6),(INDEX($E88:$K88,0,AX$8+1)-INDEX($E88:$K88,0,AX$8))/(INDEX($D$5:$J$5,0,AX$8+1)-INDEX($D$5:$J$5,0,AX$8))+AW88)))</f>
        <v>0</v>
      </c>
      <c r="AY88" s="5" cm="1">
        <f t="array" ref="AY88">IF(AY$8=-1,AZ88,IF(AY$8=99,AX88,IF(AY$8=0,INDEX($E88:$K88,0,AY$6),(INDEX($E88:$K88,0,AY$8+1)-INDEX($E88:$K88,0,AY$8))/(INDEX($D$5:$J$5,0,AY$8+1)-INDEX($D$5:$J$5,0,AY$8))+AX88)))</f>
        <v>0</v>
      </c>
      <c r="AZ88" s="5" cm="1">
        <f t="array" ref="AZ88">IF(AZ$8=-1,BA88,IF(AZ$8=99,AY88,IF(AZ$8=0,INDEX($E88:$K88,0,AZ$6),(INDEX($E88:$K88,0,AZ$8+1)-INDEX($E88:$K88,0,AZ$8))/(INDEX($D$5:$J$5,0,AZ$8+1)-INDEX($D$5:$J$5,0,AZ$8))+AY88)))</f>
        <v>0</v>
      </c>
      <c r="BA88" s="5" cm="1">
        <f t="array" ref="BA88">IF(BA$8=-1,BB88,IF(BA$8=99,AZ88,IF(BA$8=0,INDEX($E88:$K88,0,BA$6),(INDEX($E88:$K88,0,BA$8+1)-INDEX($E88:$K88,0,BA$8))/(INDEX($D$5:$J$5,0,BA$8+1)-INDEX($D$5:$J$5,0,BA$8))+AZ88)))</f>
        <v>0</v>
      </c>
      <c r="BB88" s="5" cm="1">
        <f t="array" ref="BB88">IF(BB$8=-1,BC88,IF(BB$8=99,BA88,IF(BB$8=0,INDEX($E88:$K88,0,BB$6),(INDEX($E88:$K88,0,BB$8+1)-INDEX($E88:$K88,0,BB$8))/(INDEX($D$5:$J$5,0,BB$8+1)-INDEX($D$5:$J$5,0,BB$8))+BA88)))</f>
        <v>0</v>
      </c>
      <c r="BC88" s="5" cm="1">
        <f t="array" ref="BC88">IF(BC$8=-1,BD88,IF(BC$8=99,BB88,IF(BC$8=0,INDEX($E88:$K88,0,BC$6),(INDEX($E88:$K88,0,BC$8+1)-INDEX($E88:$K88,0,BC$8))/(INDEX($D$5:$J$5,0,BC$8+1)-INDEX($D$5:$J$5,0,BC$8))+BB88)))</f>
        <v>0</v>
      </c>
      <c r="BD88" s="5" cm="1">
        <f t="array" ref="BD88">IF(BD$8=-1,BE88,IF(BD$8=99,BC88,IF(BD$8=0,INDEX($E88:$K88,0,BD$6),(INDEX($E88:$K88,0,BD$8+1)-INDEX($E88:$K88,0,BD$8))/(INDEX($D$5:$J$5,0,BD$8+1)-INDEX($D$5:$J$5,0,BD$8))+BC88)))</f>
        <v>0</v>
      </c>
      <c r="BE88" s="5" cm="1">
        <f t="array" ref="BE88">IF(BE$8=-1,BF88,IF(BE$8=99,BD88,IF(BE$8=0,INDEX($E88:$K88,0,BE$6),(INDEX($E88:$K88,0,BE$8+1)-INDEX($E88:$K88,0,BE$8))/(INDEX($D$5:$J$5,0,BE$8+1)-INDEX($D$5:$J$5,0,BE$8))+BD88)))</f>
        <v>0</v>
      </c>
      <c r="BF88" s="5" cm="1">
        <f t="array" ref="BF88">IF(BF$8=-1,BG88,IF(BF$8=99,BE88,IF(BF$8=0,INDEX($E88:$K88,0,BF$6),(INDEX($E88:$K88,0,BF$8+1)-INDEX($E88:$K88,0,BF$8))/(INDEX($D$5:$J$5,0,BF$8+1)-INDEX($D$5:$J$5,0,BF$8))+BE88)))</f>
        <v>0</v>
      </c>
      <c r="BG88" s="5" cm="1">
        <f t="array" ref="BG88">IF(BG$8=-1,BH88,IF(BG$8=99,BF88,IF(BG$8=0,INDEX($E88:$K88,0,BG$6),(INDEX($E88:$K88,0,BG$8+1)-INDEX($E88:$K88,0,BG$8))/(INDEX($D$5:$J$5,0,BG$8+1)-INDEX($D$5:$J$5,0,BG$8))+BF88)))</f>
        <v>0</v>
      </c>
      <c r="BH88" s="5" cm="1">
        <f t="array" ref="BH88">IF(BH$8=-1,BI88,IF(BH$8=99,BG88,IF(BH$8=0,INDEX($E88:$K88,0,BH$6),(INDEX($E88:$K88,0,BH$8+1)-INDEX($E88:$K88,0,BH$8))/(INDEX($D$5:$J$5,0,BH$8+1)-INDEX($D$5:$J$5,0,BH$8))+BG88)))</f>
        <v>0</v>
      </c>
      <c r="BI88" s="5" cm="1">
        <f t="array" ref="BI88">IF(BI$8=-1,BJ88,IF(BI$8=99,BH88,IF(BI$8=0,INDEX($E88:$K88,0,BI$6),(INDEX($E88:$K88,0,BI$8+1)-INDEX($E88:$K88,0,BI$8))/(INDEX($D$5:$J$5,0,BI$8+1)-INDEX($D$5:$J$5,0,BI$8))+BH88)))</f>
        <v>0</v>
      </c>
      <c r="BJ88" s="5" cm="1">
        <f t="array" ref="BJ88">IF(BJ$8=-1,BK88,IF(BJ$8=99,BI88,IF(BJ$8=0,INDEX($E88:$K88,0,BJ$6),(INDEX($E88:$K88,0,BJ$8+1)-INDEX($E88:$K88,0,BJ$8))/(INDEX($D$5:$J$5,0,BJ$8+1)-INDEX($D$5:$J$5,0,BJ$8))+BI88)))</f>
        <v>0</v>
      </c>
      <c r="BK88" s="5" cm="1">
        <f t="array" ref="BK88">IF(BK$8=-1,BL88,IF(BK$8=99,BJ88,IF(BK$8=0,INDEX($E88:$K88,0,BK$6),(INDEX($E88:$K88,0,BK$8+1)-INDEX($E88:$K88,0,BK$8))/(INDEX($D$5:$J$5,0,BK$8+1)-INDEX($D$5:$J$5,0,BK$8))+BJ88)))</f>
        <v>0</v>
      </c>
      <c r="BL88" s="5" cm="1">
        <f t="array" ref="BL88">IF(BL$8=-1,BM88,IF(BL$8=99,BK88,IF(BL$8=0,INDEX($E88:$K88,0,BL$6),(INDEX($E88:$K88,0,BL$8+1)-INDEX($E88:$K88,0,BL$8))/(INDEX($D$5:$J$5,0,BL$8+1)-INDEX($D$5:$J$5,0,BL$8))+BK88)))</f>
        <v>0</v>
      </c>
      <c r="BM88" s="5" cm="1">
        <f t="array" ref="BM88">IF(BM$8=-1,BN88,IF(BM$8=99,BL88,IF(BM$8=0,INDEX($E88:$K88,0,BM$6),(INDEX($E88:$K88,0,BM$8+1)-INDEX($E88:$K88,0,BM$8))/(INDEX($D$5:$J$5,0,BM$8+1)-INDEX($D$5:$J$5,0,BM$8))+BL88)))</f>
        <v>0</v>
      </c>
      <c r="BN88" s="5" cm="1">
        <f t="array" ref="BN88">IF(BN$8=-1,BO88,IF(BN$8=99,BM88,IF(BN$8=0,INDEX($E88:$K88,0,BN$6),(INDEX($E88:$K88,0,BN$8+1)-INDEX($E88:$K88,0,BN$8))/(INDEX($D$5:$J$5,0,BN$8+1)-INDEX($D$5:$J$5,0,BN$8))+BM88)))</f>
        <v>0</v>
      </c>
      <c r="BO88" s="5" cm="1">
        <f t="array" ref="BO88">IF(BO$8=-1,BP88,IF(BO$8=99,BN88,IF(BO$8=0,INDEX($E88:$K88,0,BO$6),(INDEX($E88:$K88,0,BO$8+1)-INDEX($E88:$K88,0,BO$8))/(INDEX($D$5:$J$5,0,BO$8+1)-INDEX($D$5:$J$5,0,BO$8))+BN88)))</f>
        <v>0</v>
      </c>
      <c r="BP88" s="5" cm="1">
        <f t="array" ref="BP88">IF(BP$8=-1,BQ88,IF(BP$8=99,BO88,IF(BP$8=0,INDEX($E88:$K88,0,BP$6),(INDEX($E88:$K88,0,BP$8+1)-INDEX($E88:$K88,0,BP$8))/(INDEX($D$5:$J$5,0,BP$8+1)-INDEX($D$5:$J$5,0,BP$8))+BO88)))</f>
        <v>0</v>
      </c>
      <c r="BQ88" s="5" cm="1">
        <f t="array" ref="BQ88">IF(BQ$8=-1,BR88,IF(BQ$8=99,BP88,IF(BQ$8=0,INDEX($E88:$K88,0,BQ$6),(INDEX($E88:$K88,0,BQ$8+1)-INDEX($E88:$K88,0,BQ$8))/(INDEX($D$5:$J$5,0,BQ$8+1)-INDEX($D$5:$J$5,0,BQ$8))+BP88)))</f>
        <v>0</v>
      </c>
      <c r="BR88" s="5" cm="1">
        <f t="array" ref="BR88">IF(BR$8=-1,BS88,IF(BR$8=99,BQ88,IF(BR$8=0,INDEX($E88:$K88,0,BR$6),(INDEX($E88:$K88,0,BR$8+1)-INDEX($E88:$K88,0,BR$8))/(INDEX($D$5:$J$5,0,BR$8+1)-INDEX($D$5:$J$5,0,BR$8))+BQ88)))</f>
        <v>0</v>
      </c>
    </row>
    <row r="89" spans="1:70">
      <c r="A89" t="s">
        <v>16</v>
      </c>
      <c r="B89" s="223" t="s">
        <v>242</v>
      </c>
      <c r="C89" s="70" t="str">
        <f t="shared" si="143"/>
        <v>Commercial - Other</v>
      </c>
      <c r="D89" s="70" t="s">
        <v>66</v>
      </c>
      <c r="E89" s="79">
        <f t="shared" si="148"/>
        <v>141.24997285391134</v>
      </c>
      <c r="F89" s="87">
        <f t="shared" si="148"/>
        <v>145.08075848468391</v>
      </c>
      <c r="G89" s="87">
        <f t="shared" si="144"/>
        <v>145.08075848468391</v>
      </c>
      <c r="H89" s="87">
        <f t="shared" si="149"/>
        <v>89.952840876918827</v>
      </c>
      <c r="I89" s="131">
        <f t="shared" si="145"/>
        <v>89.952840876918827</v>
      </c>
      <c r="J89" s="131">
        <f t="shared" si="146"/>
        <v>89.952840876918827</v>
      </c>
      <c r="K89" s="131">
        <f t="shared" si="147"/>
        <v>89.952840876918827</v>
      </c>
      <c r="L89" s="5" cm="1">
        <f t="array" ref="L89">IF(L$8=-1,M89,IF(L$8=99,I89,IF(L$8=0,INDEX($E89:$I89,0,L$6),(INDEX($E89:$I89,0,L$8+1)-INDEX($E89:$I89,0,L$8))/(INDEX($D$5:$H$5,0,L$8+1)-INDEX($D$5:$H$5,0,L$8))+I89)))</f>
        <v>141.24997285391134</v>
      </c>
      <c r="M89" s="5" cm="1">
        <f t="array" ref="M89">IF(M$8=-1,N89,IF(M$8=99,L89,IF(M$8=0,INDEX($E89:$I89,0,M$6),(INDEX($E89:$I89,0,M$8+1)-INDEX($E89:$I89,0,M$8))/(INDEX($D$5:$H$5,0,M$8+1)-INDEX($D$5:$H$5,0,M$8))+L89)))</f>
        <v>142.01612998006587</v>
      </c>
      <c r="N89" s="5" cm="1">
        <f t="array" ref="N89">IF(N$8=-1,O89,IF(N$8=99,M89,IF(N$8=0,INDEX($E89:$I89,0,N$6),(INDEX($E89:$I89,0,N$8+1)-INDEX($E89:$I89,0,N$8))/(INDEX($D$5:$H$5,0,N$8+1)-INDEX($D$5:$H$5,0,N$8))+M89)))</f>
        <v>142.78228710622039</v>
      </c>
      <c r="O89" s="5" cm="1">
        <f t="array" ref="O89">IF(O$8=-1,P89,IF(O$8=99,N89,IF(O$8=0,INDEX($E89:$I89,0,O$6),(INDEX($E89:$I89,0,O$8+1)-INDEX($E89:$I89,0,O$8))/(INDEX($D$5:$H$5,0,O$8+1)-INDEX($D$5:$H$5,0,O$8))+N89)))</f>
        <v>143.54844423237492</v>
      </c>
      <c r="P89" s="5" cm="1">
        <f t="array" ref="P89">IF(P$8=-1,Q89,IF(P$8=99,O89,IF(P$8=0,INDEX($E89:$I89,0,P$6),(INDEX($E89:$I89,0,P$8+1)-INDEX($E89:$I89,0,P$8))/(INDEX($D$5:$H$5,0,P$8+1)-INDEX($D$5:$H$5,0,P$8))+O89)))</f>
        <v>144.31460135852944</v>
      </c>
      <c r="Q89" s="5" cm="1">
        <f t="array" ref="Q89">IF(Q$8=-1,R89,IF(Q$8=99,P89,IF(Q$8=0,INDEX($E89:$I89,0,Q$6),(INDEX($E89:$I89,0,Q$8+1)-INDEX($E89:$I89,0,Q$8))/(INDEX($D$5:$H$5,0,Q$8+1)-INDEX($D$5:$H$5,0,Q$8))+P89)))</f>
        <v>145.08075848468391</v>
      </c>
      <c r="R89" s="5" cm="1">
        <f t="array" ref="R89">IF(R$8=-1,S89,IF(R$8=99,Q89,IF(R$8=0,INDEX($E89:$I89,0,R$6),(INDEX($E89:$I89,0,R$8+1)-INDEX($E89:$I89,0,R$8))/(INDEX($D$5:$H$5,0,R$8+1)-INDEX($D$5:$H$5,0,R$8))+Q89)))</f>
        <v>145.08075848468391</v>
      </c>
      <c r="S89" s="5" cm="1">
        <f t="array" ref="S89">IF(S$8=-1,T89,IF(S$8=99,R89,IF(S$8=0,INDEX($E89:$I89,0,S$6),(INDEX($E89:$I89,0,S$8+1)-INDEX($E89:$I89,0,S$8))/(INDEX($D$5:$H$5,0,S$8+1)-INDEX($D$5:$H$5,0,S$8))+R89)))</f>
        <v>145.08075848468391</v>
      </c>
      <c r="T89" s="5" cm="1">
        <f t="array" ref="T89">IF(T$8=-1,U89,IF(T$8=99,S89,IF(T$8=0,INDEX($E89:$I89,0,T$6),(INDEX($E89:$I89,0,T$8+1)-INDEX($E89:$I89,0,T$8))/(INDEX($D$5:$H$5,0,T$8+1)-INDEX($D$5:$H$5,0,T$8))+S89)))</f>
        <v>145.08075848468391</v>
      </c>
      <c r="U89" s="5" cm="1">
        <f t="array" ref="U89">IF(U$8=-1,V89,IF(U$8=99,T89,IF(U$8=0,INDEX($E89:$I89,0,U$6),(INDEX($E89:$I89,0,U$8+1)-INDEX($E89:$I89,0,U$8))/(INDEX($D$5:$H$5,0,U$8+1)-INDEX($D$5:$H$5,0,U$8))+T89)))</f>
        <v>139.5679667239074</v>
      </c>
      <c r="V89" s="5" cm="1">
        <f t="array" ref="V89">IF(V$8=-1,W89,IF(V$8=99,U89,IF(V$8=0,INDEX($E89:$I89,0,V$6),(INDEX($E89:$I89,0,V$8+1)-INDEX($E89:$I89,0,V$8))/(INDEX($D$5:$H$5,0,V$8+1)-INDEX($D$5:$H$5,0,V$8))+U89)))</f>
        <v>134.0551749631309</v>
      </c>
      <c r="W89" s="5" cm="1">
        <f t="array" ref="W89">IF(W$8=-1,X89,IF(W$8=99,V89,IF(W$8=0,INDEX($E89:$I89,0,W$6),(INDEX($E89:$I89,0,W$8+1)-INDEX($E89:$I89,0,W$8))/(INDEX($D$5:$H$5,0,W$8+1)-INDEX($D$5:$H$5,0,W$8))+V89)))</f>
        <v>128.54238320235439</v>
      </c>
      <c r="X89" s="5" cm="1">
        <f t="array" ref="X89">IF(X$8=-1,Y89,IF(X$8=99,W89,IF(X$8=0,INDEX($E89:$I89,0,X$6),(INDEX($E89:$I89,0,X$8+1)-INDEX($E89:$I89,0,X$8))/(INDEX($D$5:$H$5,0,X$8+1)-INDEX($D$5:$H$5,0,X$8))+W89)))</f>
        <v>123.02959144157788</v>
      </c>
      <c r="Y89" s="5" cm="1">
        <f t="array" ref="Y89">IF(Y$8=-1,Z89,IF(Y$8=99,X89,IF(Y$8=0,INDEX($E89:$I89,0,Y$6),(INDEX($E89:$I89,0,Y$8+1)-INDEX($E89:$I89,0,Y$8))/(INDEX($D$5:$H$5,0,Y$8+1)-INDEX($D$5:$H$5,0,Y$8))+X89)))</f>
        <v>117.51679968080137</v>
      </c>
      <c r="Z89" s="5" cm="1">
        <f t="array" ref="Z89">IF(Z$8=-1,AA89,IF(Z$8=99,Y89,IF(Z$8=0,INDEX($E89:$I89,0,Z$6),(INDEX($E89:$I89,0,Z$8+1)-INDEX($E89:$I89,0,Z$8))/(INDEX($D$5:$H$5,0,Z$8+1)-INDEX($D$5:$H$5,0,Z$8))+Y89)))</f>
        <v>112.00400792002486</v>
      </c>
      <c r="AA89" s="5" cm="1">
        <f t="array" ref="AA89">IF(AA$8=-1,AB89,IF(AA$8=99,Z89,IF(AA$8=0,INDEX($E89:$I89,0,AA$6),(INDEX($E89:$I89,0,AA$8+1)-INDEX($E89:$I89,0,AA$8))/(INDEX($D$5:$H$5,0,AA$8+1)-INDEX($D$5:$H$5,0,AA$8))+Z89)))</f>
        <v>106.49121615924835</v>
      </c>
      <c r="AB89" s="5" cm="1">
        <f t="array" ref="AB89">IF(AB$8=-1,AC89,IF(AB$8=99,AA89,IF(AB$8=0,INDEX($E89:$I89,0,AB$6),(INDEX($E89:$I89,0,AB$8+1)-INDEX($E89:$I89,0,AB$8))/(INDEX($D$5:$H$5,0,AB$8+1)-INDEX($D$5:$H$5,0,AB$8))+AA89)))</f>
        <v>100.97842439847184</v>
      </c>
      <c r="AC89" s="5" cm="1">
        <f t="array" ref="AC89">IF(AC$8=-1,AD89,IF(AC$8=99,AB89,IF(AC$8=0,INDEX($E89:$I89,0,AC$6),(INDEX($E89:$I89,0,AC$8+1)-INDEX($E89:$I89,0,AC$8))/(INDEX($D$5:$H$5,0,AC$8+1)-INDEX($D$5:$H$5,0,AC$8))+AB89)))</f>
        <v>95.465632637695336</v>
      </c>
      <c r="AD89" s="5" cm="1">
        <f t="array" ref="AD89">IF(AD$8=-1,AE89,IF(AD$8=99,AC89,IF(AD$8=0,INDEX($E89:$I89,0,AD$6),(INDEX($E89:$I89,0,AD$8+1)-INDEX($E89:$I89,0,AD$8))/(INDEX($D$5:$H$5,0,AD$8+1)-INDEX($D$5:$H$5,0,AD$8))+AC89)))</f>
        <v>89.952840876918827</v>
      </c>
      <c r="AE89" s="5" cm="1">
        <f t="array" ref="AE89">IF(AE$8=-1,AF89,IF(AE$8=99,AD89,IF(AE$8=0,INDEX($E89:$I89,0,AE$6),(INDEX($E89:$I89,0,AE$8+1)-INDEX($E89:$I89,0,AE$8))/(INDEX($D$5:$H$5,0,AE$8+1)-INDEX($D$5:$H$5,0,AE$8))+AD89)))</f>
        <v>89.952840876918827</v>
      </c>
      <c r="AF89" s="5" cm="1">
        <f t="array" ref="AF89">IF(AF$8=-1,AG89,IF(AF$8=99,AE89,IF(AF$8=0,INDEX($E89:$I89,0,AF$6),(INDEX($E89:$I89,0,AF$8+1)-INDEX($E89:$I89,0,AF$8))/(INDEX($D$5:$H$5,0,AF$8+1)-INDEX($D$5:$H$5,0,AF$8))+AE89)))</f>
        <v>89.952840876918827</v>
      </c>
      <c r="AG89" s="5" cm="1">
        <f t="array" ref="AG89">IF(AG$8=-1,AH89,IF(AG$8=99,AF89,IF(AG$8=0,INDEX($E89:$I89,0,AG$6),(INDEX($E89:$I89,0,AG$8+1)-INDEX($E89:$I89,0,AG$8))/(INDEX($D$5:$H$5,0,AG$8+1)-INDEX($D$5:$H$5,0,AG$8))+AF89)))</f>
        <v>89.952840876918827</v>
      </c>
      <c r="AH89" s="5" cm="1">
        <f t="array" ref="AH89">IF(AH$8=-1,AI89,IF(AH$8=99,AG89,IF(AH$8=0,INDEX($E89:$I89,0,AH$6),(INDEX($E89:$I89,0,AH$8+1)-INDEX($E89:$I89,0,AH$8))/(INDEX($D$5:$H$5,0,AH$8+1)-INDEX($D$5:$H$5,0,AH$8))+AG89)))</f>
        <v>89.952840876918827</v>
      </c>
      <c r="AI89" s="5" cm="1">
        <f t="array" ref="AI89">IF(AI$8=-1,AJ89,IF(AI$8=99,AH89,IF(AI$8=0,INDEX($E89:$I89,0,AI$6),(INDEX($E89:$I89,0,AI$8+1)-INDEX($E89:$I89,0,AI$8))/(INDEX($D$5:$H$5,0,AI$8+1)-INDEX($D$5:$H$5,0,AI$8))+AH89)))</f>
        <v>89.952840876918827</v>
      </c>
      <c r="AJ89" s="5" cm="1">
        <f t="array" ref="AJ89">IF(AJ$8=-1,AK89,IF(AJ$8=99,AI89,IF(AJ$8=0,INDEX($E89:$I89,0,AJ$6),(INDEX($E89:$I89,0,AJ$8+1)-INDEX($E89:$I89,0,AJ$8))/(INDEX($D$5:$H$5,0,AJ$8+1)-INDEX($D$5:$H$5,0,AJ$8))+AI89)))</f>
        <v>89.952840876918827</v>
      </c>
      <c r="AK89" s="5" cm="1">
        <f t="array" ref="AK89">IF(AK$8=-1,AL89,IF(AK$8=99,AJ89,IF(AK$8=0,INDEX($E89:$I89,0,AK$6),(INDEX($E89:$I89,0,AK$8+1)-INDEX($E89:$I89,0,AK$8))/(INDEX($D$5:$H$5,0,AK$8+1)-INDEX($D$5:$H$5,0,AK$8))+AJ89)))</f>
        <v>89.952840876918827</v>
      </c>
      <c r="AL89" s="5" cm="1">
        <f t="array" ref="AL89">IF(AL$8=-1,AM89,IF(AL$8=99,AK89,IF(AL$8=0,INDEX($E89:$I89,0,AL$6),(INDEX($E89:$I89,0,AL$8+1)-INDEX($E89:$I89,0,AL$8))/(INDEX($D$5:$H$5,0,AL$8+1)-INDEX($D$5:$H$5,0,AL$8))+AK89)))</f>
        <v>89.952840876918827</v>
      </c>
      <c r="AM89" s="5" cm="1">
        <f t="array" ref="AM89">IF(AM$8=-1,AN89,IF(AM$8=99,AL89,IF(AM$8=0,INDEX($E89:$I89,0,AM$6),(INDEX($E89:$I89,0,AM$8+1)-INDEX($E89:$I89,0,AM$8))/(INDEX($D$5:$H$5,0,AM$8+1)-INDEX($D$5:$H$5,0,AM$8))+AL89)))</f>
        <v>89.952840876918827</v>
      </c>
      <c r="AN89" s="5" cm="1">
        <f t="array" ref="AN89">IF(AN$8=-1,AO89,IF(AN$8=99,AM89,IF(AN$8=0,INDEX($E89:$I89,0,AN$6),(INDEX($E89:$I89,0,AN$8+1)-INDEX($E89:$I89,0,AN$8))/(INDEX($D$5:$H$5,0,AN$8+1)-INDEX($D$5:$H$5,0,AN$8))+AM89)))</f>
        <v>89.952840876918827</v>
      </c>
      <c r="AO89" s="5" cm="1">
        <f t="array" ref="AO89">IF(AO$8=-1,AP89,IF(AO$8=99,AN89,IF(AO$8=0,INDEX($E89:$K89,0,AO$6),(INDEX($E89:$K89,0,AO$8+1)-INDEX($E89:$K89,0,AO$8))/(INDEX($D$5:$J$5,0,AO$8+1)-INDEX($D$5:$J$5,0,AO$8))+AN89)))</f>
        <v>89.952840876918827</v>
      </c>
      <c r="AP89" s="5" cm="1">
        <f t="array" ref="AP89">IF(AP$8=-1,AQ89,IF(AP$8=99,AO89,IF(AP$8=0,INDEX($E89:$K89,0,AP$6),(INDEX($E89:$K89,0,AP$8+1)-INDEX($E89:$K89,0,AP$8))/(INDEX($D$5:$J$5,0,AP$8+1)-INDEX($D$5:$J$5,0,AP$8))+AO89)))</f>
        <v>89.952840876918827</v>
      </c>
      <c r="AQ89" s="5" cm="1">
        <f t="array" ref="AQ89">IF(AQ$8=-1,AR89,IF(AQ$8=99,AP89,IF(AQ$8=0,INDEX($E89:$K89,0,AQ$6),(INDEX($E89:$K89,0,AQ$8+1)-INDEX($E89:$K89,0,AQ$8))/(INDEX($D$5:$J$5,0,AQ$8+1)-INDEX($D$5:$J$5,0,AQ$8))+AP89)))</f>
        <v>89.952840876918827</v>
      </c>
      <c r="AR89" s="5" cm="1">
        <f t="array" ref="AR89">IF(AR$8=-1,AS89,IF(AR$8=99,AQ89,IF(AR$8=0,INDEX($E89:$K89,0,AR$6),(INDEX($E89:$K89,0,AR$8+1)-INDEX($E89:$K89,0,AR$8))/(INDEX($D$5:$J$5,0,AR$8+1)-INDEX($D$5:$J$5,0,AR$8))+AQ89)))</f>
        <v>89.952840876918827</v>
      </c>
      <c r="AS89" s="5" cm="1">
        <f t="array" ref="AS89">IF(AS$8=-1,AT89,IF(AS$8=99,AR89,IF(AS$8=0,INDEX($E89:$K89,0,AS$6),(INDEX($E89:$K89,0,AS$8+1)-INDEX($E89:$K89,0,AS$8))/(INDEX($D$5:$J$5,0,AS$8+1)-INDEX($D$5:$J$5,0,AS$8))+AR89)))</f>
        <v>89.952840876918827</v>
      </c>
      <c r="AT89" s="5" cm="1">
        <f t="array" ref="AT89">IF(AT$8=-1,AU89,IF(AT$8=99,AS89,IF(AT$8=0,INDEX($E89:$K89,0,AT$6),(INDEX($E89:$K89,0,AT$8+1)-INDEX($E89:$K89,0,AT$8))/(INDEX($D$5:$J$5,0,AT$8+1)-INDEX($D$5:$J$5,0,AT$8))+AS89)))</f>
        <v>89.952840876918827</v>
      </c>
      <c r="AU89" s="5" cm="1">
        <f t="array" ref="AU89">IF(AU$8=-1,AV89,IF(AU$8=99,AT89,IF(AU$8=0,INDEX($E89:$K89,0,AU$6),(INDEX($E89:$K89,0,AU$8+1)-INDEX($E89:$K89,0,AU$8))/(INDEX($D$5:$J$5,0,AU$8+1)-INDEX($D$5:$J$5,0,AU$8))+AT89)))</f>
        <v>89.952840876918827</v>
      </c>
      <c r="AV89" s="5" cm="1">
        <f t="array" ref="AV89">IF(AV$8=-1,AW89,IF(AV$8=99,AU89,IF(AV$8=0,INDEX($E89:$K89,0,AV$6),(INDEX($E89:$K89,0,AV$8+1)-INDEX($E89:$K89,0,AV$8))/(INDEX($D$5:$J$5,0,AV$8+1)-INDEX($D$5:$J$5,0,AV$8))+AU89)))</f>
        <v>89.952840876918827</v>
      </c>
      <c r="AW89" s="5" cm="1">
        <f t="array" ref="AW89">IF(AW$8=-1,AX89,IF(AW$8=99,AV89,IF(AW$8=0,INDEX($E89:$K89,0,AW$6),(INDEX($E89:$K89,0,AW$8+1)-INDEX($E89:$K89,0,AW$8))/(INDEX($D$5:$J$5,0,AW$8+1)-INDEX($D$5:$J$5,0,AW$8))+AV89)))</f>
        <v>89.952840876918827</v>
      </c>
      <c r="AX89" s="5" cm="1">
        <f t="array" ref="AX89">IF(AX$8=-1,AY89,IF(AX$8=99,AW89,IF(AX$8=0,INDEX($E89:$K89,0,AX$6),(INDEX($E89:$K89,0,AX$8+1)-INDEX($E89:$K89,0,AX$8))/(INDEX($D$5:$J$5,0,AX$8+1)-INDEX($D$5:$J$5,0,AX$8))+AW89)))</f>
        <v>89.952840876918827</v>
      </c>
      <c r="AY89" s="5" cm="1">
        <f t="array" ref="AY89">IF(AY$8=-1,AZ89,IF(AY$8=99,AX89,IF(AY$8=0,INDEX($E89:$K89,0,AY$6),(INDEX($E89:$K89,0,AY$8+1)-INDEX($E89:$K89,0,AY$8))/(INDEX($D$5:$J$5,0,AY$8+1)-INDEX($D$5:$J$5,0,AY$8))+AX89)))</f>
        <v>89.952840876918827</v>
      </c>
      <c r="AZ89" s="5" cm="1">
        <f t="array" ref="AZ89">IF(AZ$8=-1,BA89,IF(AZ$8=99,AY89,IF(AZ$8=0,INDEX($E89:$K89,0,AZ$6),(INDEX($E89:$K89,0,AZ$8+1)-INDEX($E89:$K89,0,AZ$8))/(INDEX($D$5:$J$5,0,AZ$8+1)-INDEX($D$5:$J$5,0,AZ$8))+AY89)))</f>
        <v>89.952840876918827</v>
      </c>
      <c r="BA89" s="5" cm="1">
        <f t="array" ref="BA89">IF(BA$8=-1,BB89,IF(BA$8=99,AZ89,IF(BA$8=0,INDEX($E89:$K89,0,BA$6),(INDEX($E89:$K89,0,BA$8+1)-INDEX($E89:$K89,0,BA$8))/(INDEX($D$5:$J$5,0,BA$8+1)-INDEX($D$5:$J$5,0,BA$8))+AZ89)))</f>
        <v>89.952840876918827</v>
      </c>
      <c r="BB89" s="5" cm="1">
        <f t="array" ref="BB89">IF(BB$8=-1,BC89,IF(BB$8=99,BA89,IF(BB$8=0,INDEX($E89:$K89,0,BB$6),(INDEX($E89:$K89,0,BB$8+1)-INDEX($E89:$K89,0,BB$8))/(INDEX($D$5:$J$5,0,BB$8+1)-INDEX($D$5:$J$5,0,BB$8))+BA89)))</f>
        <v>89.952840876918827</v>
      </c>
      <c r="BC89" s="5" cm="1">
        <f t="array" ref="BC89">IF(BC$8=-1,BD89,IF(BC$8=99,BB89,IF(BC$8=0,INDEX($E89:$K89,0,BC$6),(INDEX($E89:$K89,0,BC$8+1)-INDEX($E89:$K89,0,BC$8))/(INDEX($D$5:$J$5,0,BC$8+1)-INDEX($D$5:$J$5,0,BC$8))+BB89)))</f>
        <v>89.952840876918827</v>
      </c>
      <c r="BD89" s="5" cm="1">
        <f t="array" ref="BD89">IF(BD$8=-1,BE89,IF(BD$8=99,BC89,IF(BD$8=0,INDEX($E89:$K89,0,BD$6),(INDEX($E89:$K89,0,BD$8+1)-INDEX($E89:$K89,0,BD$8))/(INDEX($D$5:$J$5,0,BD$8+1)-INDEX($D$5:$J$5,0,BD$8))+BC89)))</f>
        <v>89.952840876918827</v>
      </c>
      <c r="BE89" s="5" cm="1">
        <f t="array" ref="BE89">IF(BE$8=-1,BF89,IF(BE$8=99,BD89,IF(BE$8=0,INDEX($E89:$K89,0,BE$6),(INDEX($E89:$K89,0,BE$8+1)-INDEX($E89:$K89,0,BE$8))/(INDEX($D$5:$J$5,0,BE$8+1)-INDEX($D$5:$J$5,0,BE$8))+BD89)))</f>
        <v>89.952840876918827</v>
      </c>
      <c r="BF89" s="5" cm="1">
        <f t="array" ref="BF89">IF(BF$8=-1,BG89,IF(BF$8=99,BE89,IF(BF$8=0,INDEX($E89:$K89,0,BF$6),(INDEX($E89:$K89,0,BF$8+1)-INDEX($E89:$K89,0,BF$8))/(INDEX($D$5:$J$5,0,BF$8+1)-INDEX($D$5:$J$5,0,BF$8))+BE89)))</f>
        <v>89.952840876918827</v>
      </c>
      <c r="BG89" s="5" cm="1">
        <f t="array" ref="BG89">IF(BG$8=-1,BH89,IF(BG$8=99,BF89,IF(BG$8=0,INDEX($E89:$K89,0,BG$6),(INDEX($E89:$K89,0,BG$8+1)-INDEX($E89:$K89,0,BG$8))/(INDEX($D$5:$J$5,0,BG$8+1)-INDEX($D$5:$J$5,0,BG$8))+BF89)))</f>
        <v>89.952840876918827</v>
      </c>
      <c r="BH89" s="5" cm="1">
        <f t="array" ref="BH89">IF(BH$8=-1,BI89,IF(BH$8=99,BG89,IF(BH$8=0,INDEX($E89:$K89,0,BH$6),(INDEX($E89:$K89,0,BH$8+1)-INDEX($E89:$K89,0,BH$8))/(INDEX($D$5:$J$5,0,BH$8+1)-INDEX($D$5:$J$5,0,BH$8))+BG89)))</f>
        <v>89.952840876918827</v>
      </c>
      <c r="BI89" s="5" cm="1">
        <f t="array" ref="BI89">IF(BI$8=-1,BJ89,IF(BI$8=99,BH89,IF(BI$8=0,INDEX($E89:$K89,0,BI$6),(INDEX($E89:$K89,0,BI$8+1)-INDEX($E89:$K89,0,BI$8))/(INDEX($D$5:$J$5,0,BI$8+1)-INDEX($D$5:$J$5,0,BI$8))+BH89)))</f>
        <v>89.952840876918827</v>
      </c>
      <c r="BJ89" s="5" cm="1">
        <f t="array" ref="BJ89">IF(BJ$8=-1,BK89,IF(BJ$8=99,BI89,IF(BJ$8=0,INDEX($E89:$K89,0,BJ$6),(INDEX($E89:$K89,0,BJ$8+1)-INDEX($E89:$K89,0,BJ$8))/(INDEX($D$5:$J$5,0,BJ$8+1)-INDEX($D$5:$J$5,0,BJ$8))+BI89)))</f>
        <v>89.952840876918827</v>
      </c>
      <c r="BK89" s="5" cm="1">
        <f t="array" ref="BK89">IF(BK$8=-1,BL89,IF(BK$8=99,BJ89,IF(BK$8=0,INDEX($E89:$K89,0,BK$6),(INDEX($E89:$K89,0,BK$8+1)-INDEX($E89:$K89,0,BK$8))/(INDEX($D$5:$J$5,0,BK$8+1)-INDEX($D$5:$J$5,0,BK$8))+BJ89)))</f>
        <v>89.952840876918827</v>
      </c>
      <c r="BL89" s="5" cm="1">
        <f t="array" ref="BL89">IF(BL$8=-1,BM89,IF(BL$8=99,BK89,IF(BL$8=0,INDEX($E89:$K89,0,BL$6),(INDEX($E89:$K89,0,BL$8+1)-INDEX($E89:$K89,0,BL$8))/(INDEX($D$5:$J$5,0,BL$8+1)-INDEX($D$5:$J$5,0,BL$8))+BK89)))</f>
        <v>89.952840876918827</v>
      </c>
      <c r="BM89" s="5" cm="1">
        <f t="array" ref="BM89">IF(BM$8=-1,BN89,IF(BM$8=99,BL89,IF(BM$8=0,INDEX($E89:$K89,0,BM$6),(INDEX($E89:$K89,0,BM$8+1)-INDEX($E89:$K89,0,BM$8))/(INDEX($D$5:$J$5,0,BM$8+1)-INDEX($D$5:$J$5,0,BM$8))+BL89)))</f>
        <v>89.952840876918827</v>
      </c>
      <c r="BN89" s="5" cm="1">
        <f t="array" ref="BN89">IF(BN$8=-1,BO89,IF(BN$8=99,BM89,IF(BN$8=0,INDEX($E89:$K89,0,BN$6),(INDEX($E89:$K89,0,BN$8+1)-INDEX($E89:$K89,0,BN$8))/(INDEX($D$5:$J$5,0,BN$8+1)-INDEX($D$5:$J$5,0,BN$8))+BM89)))</f>
        <v>89.952840876918827</v>
      </c>
      <c r="BO89" s="5" cm="1">
        <f t="array" ref="BO89">IF(BO$8=-1,BP89,IF(BO$8=99,BN89,IF(BO$8=0,INDEX($E89:$K89,0,BO$6),(INDEX($E89:$K89,0,BO$8+1)-INDEX($E89:$K89,0,BO$8))/(INDEX($D$5:$J$5,0,BO$8+1)-INDEX($D$5:$J$5,0,BO$8))+BN89)))</f>
        <v>89.952840876918827</v>
      </c>
      <c r="BP89" s="5" cm="1">
        <f t="array" ref="BP89">IF(BP$8=-1,BQ89,IF(BP$8=99,BO89,IF(BP$8=0,INDEX($E89:$K89,0,BP$6),(INDEX($E89:$K89,0,BP$8+1)-INDEX($E89:$K89,0,BP$8))/(INDEX($D$5:$J$5,0,BP$8+1)-INDEX($D$5:$J$5,0,BP$8))+BO89)))</f>
        <v>89.952840876918827</v>
      </c>
      <c r="BQ89" s="5" cm="1">
        <f t="array" ref="BQ89">IF(BQ$8=-1,BR89,IF(BQ$8=99,BP89,IF(BQ$8=0,INDEX($E89:$K89,0,BQ$6),(INDEX($E89:$K89,0,BQ$8+1)-INDEX($E89:$K89,0,BQ$8))/(INDEX($D$5:$J$5,0,BQ$8+1)-INDEX($D$5:$J$5,0,BQ$8))+BP89)))</f>
        <v>89.952840876918827</v>
      </c>
      <c r="BR89" s="5" cm="1">
        <f t="array" ref="BR89">IF(BR$8=-1,BS89,IF(BR$8=99,BQ89,IF(BR$8=0,INDEX($E89:$K89,0,BR$6),(INDEX($E89:$K89,0,BR$8+1)-INDEX($E89:$K89,0,BR$8))/(INDEX($D$5:$J$5,0,BR$8+1)-INDEX($D$5:$J$5,0,BR$8))+BQ89)))</f>
        <v>89.952840876918827</v>
      </c>
    </row>
    <row r="90" spans="1:70">
      <c r="A90" t="s">
        <v>16</v>
      </c>
      <c r="B90" s="223"/>
      <c r="I90" s="132"/>
      <c r="J90" s="132"/>
      <c r="K90" s="132"/>
      <c r="M90" s="70"/>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row>
    <row r="91" spans="1:70" ht="15.75" thickBot="1">
      <c r="A91" t="s">
        <v>16</v>
      </c>
      <c r="B91" s="86" t="s">
        <v>469</v>
      </c>
      <c r="C91" s="67"/>
      <c r="D91" s="68"/>
      <c r="H91" s="155">
        <f>VLOOKUP($N$57,$M$59:$Q$66,4)</f>
        <v>-0.5</v>
      </c>
      <c r="I91" s="156">
        <f>VLOOKUP($N$57,$M$59:$Q$66,5)</f>
        <v>-0.2</v>
      </c>
      <c r="J91" s="156">
        <f t="shared" ref="J91:K91" si="150">VLOOKUP($N$57,$M$59:$Q$66,5)</f>
        <v>-0.2</v>
      </c>
      <c r="K91" s="156">
        <f t="shared" si="150"/>
        <v>-0.2</v>
      </c>
      <c r="M91" s="70"/>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row>
    <row r="92" spans="1:70">
      <c r="A92" t="s">
        <v>16</v>
      </c>
      <c r="B92" s="223" t="str">
        <f>B70</f>
        <v>CEC</v>
      </c>
      <c r="C92" s="70" t="str">
        <f t="shared" ref="C92:C100" si="151">C81</f>
        <v>Commercial - Cooling</v>
      </c>
      <c r="D92" s="70" t="s">
        <v>66</v>
      </c>
      <c r="E92" s="79">
        <f>E81</f>
        <v>1051.567060091292</v>
      </c>
      <c r="F92" s="87">
        <f>F81</f>
        <v>922.3353159822409</v>
      </c>
      <c r="G92" s="87">
        <f t="shared" ref="G92:G100" si="152">F92</f>
        <v>922.3353159822409</v>
      </c>
      <c r="H92" s="87">
        <f>IF($N$57=-1,G92,((F92-E92)*2/5+E92)*(1+$H$91))</f>
        <v>499.93718122383575</v>
      </c>
      <c r="I92" s="131">
        <f>H92</f>
        <v>499.93718122383575</v>
      </c>
      <c r="J92" s="131">
        <f t="shared" ref="J92:K100" si="153">I92</f>
        <v>499.93718122383575</v>
      </c>
      <c r="K92" s="131">
        <f t="shared" si="153"/>
        <v>499.93718122383575</v>
      </c>
      <c r="L92" s="5" cm="1">
        <f t="array" ref="L92">IF(L$8=-1,M92,IF(L$8=99,I92,IF(L$8=0,INDEX($E92:$I92,0,L$6),(INDEX($E92:$I92,0,L$8+1)-INDEX($E92:$I92,0,L$8))/(INDEX($D$5:$H$5,0,L$8+1)-INDEX($D$5:$H$5,0,L$8))+I92)))</f>
        <v>1051.567060091292</v>
      </c>
      <c r="M92" s="5" cm="1">
        <f t="array" ref="M92">IF(M$8=-1,N92,IF(M$8=99,L92,IF(M$8=0,INDEX($E92:$I92,0,M$6),(INDEX($E92:$I92,0,M$8+1)-INDEX($E92:$I92,0,M$8))/(INDEX($D$5:$H$5,0,M$8+1)-INDEX($D$5:$H$5,0,M$8))+L92)))</f>
        <v>1025.7207112694819</v>
      </c>
      <c r="N92" s="5" cm="1">
        <f t="array" ref="N92">IF(N$8=-1,O92,IF(N$8=99,M92,IF(N$8=0,INDEX($E92:$I92,0,N$6),(INDEX($E92:$I92,0,N$8+1)-INDEX($E92:$I92,0,N$8))/(INDEX($D$5:$H$5,0,N$8+1)-INDEX($D$5:$H$5,0,N$8))+M92)))</f>
        <v>999.87436244767161</v>
      </c>
      <c r="O92" s="5" cm="1">
        <f t="array" ref="O92">IF(O$8=-1,P92,IF(O$8=99,N92,IF(O$8=0,INDEX($E92:$I92,0,O$6),(INDEX($E92:$I92,0,O$8+1)-INDEX($E92:$I92,0,O$8))/(INDEX($D$5:$H$5,0,O$8+1)-INDEX($D$5:$H$5,0,O$8))+N92)))</f>
        <v>974.02801362586138</v>
      </c>
      <c r="P92" s="5" cm="1">
        <f t="array" ref="P92">IF(P$8=-1,Q92,IF(P$8=99,O92,IF(P$8=0,INDEX($E92:$I92,0,P$6),(INDEX($E92:$I92,0,P$8+1)-INDEX($E92:$I92,0,P$8))/(INDEX($D$5:$H$5,0,P$8+1)-INDEX($D$5:$H$5,0,P$8))+O92)))</f>
        <v>948.18166480405114</v>
      </c>
      <c r="Q92" s="5" cm="1">
        <f t="array" ref="Q92">IF(Q$8=-1,R92,IF(Q$8=99,P92,IF(Q$8=0,INDEX($E92:$I92,0,Q$6),(INDEX($E92:$I92,0,Q$8+1)-INDEX($E92:$I92,0,Q$8))/(INDEX($D$5:$H$5,0,Q$8+1)-INDEX($D$5:$H$5,0,Q$8))+P92)))</f>
        <v>922.3353159822409</v>
      </c>
      <c r="R92" s="5" cm="1">
        <f t="array" ref="R92">IF(R$8=-1,S92,IF(R$8=99,Q92,IF(R$8=0,INDEX($E92:$I92,0,R$6),(INDEX($E92:$I92,0,R$8+1)-INDEX($E92:$I92,0,R$8))/(INDEX($D$5:$H$5,0,R$8+1)-INDEX($D$5:$H$5,0,R$8))+Q92)))</f>
        <v>922.3353159822409</v>
      </c>
      <c r="S92" s="5" cm="1">
        <f t="array" ref="S92">IF(S$8=-1,T92,IF(S$8=99,R92,IF(S$8=0,INDEX($E92:$I92,0,S$6),(INDEX($E92:$I92,0,S$8+1)-INDEX($E92:$I92,0,S$8))/(INDEX($D$5:$H$5,0,S$8+1)-INDEX($D$5:$H$5,0,S$8))+R92)))</f>
        <v>922.3353159822409</v>
      </c>
      <c r="T92" s="5" cm="1">
        <f t="array" ref="T92">IF(T$8=-1,U92,IF(T$8=99,S92,IF(T$8=0,INDEX($E92:$I92,0,T$6),(INDEX($E92:$I92,0,T$8+1)-INDEX($E92:$I92,0,T$8))/(INDEX($D$5:$H$5,0,T$8+1)-INDEX($D$5:$H$5,0,T$8))+S92)))</f>
        <v>922.3353159822409</v>
      </c>
      <c r="U92" s="5" cm="1">
        <f t="array" ref="U92">IF(U$8=-1,V92,IF(U$8=99,T92,IF(U$8=0,INDEX($E92:$I92,0,U$6),(INDEX($E92:$I92,0,U$8+1)-INDEX($E92:$I92,0,U$8))/(INDEX($D$5:$H$5,0,U$8+1)-INDEX($D$5:$H$5,0,U$8))+T92)))</f>
        <v>880.09550250640041</v>
      </c>
      <c r="V92" s="5" cm="1">
        <f t="array" ref="V92">IF(V$8=-1,W92,IF(V$8=99,U92,IF(V$8=0,INDEX($E92:$I92,0,V$6),(INDEX($E92:$I92,0,V$8+1)-INDEX($E92:$I92,0,V$8))/(INDEX($D$5:$H$5,0,V$8+1)-INDEX($D$5:$H$5,0,V$8))+U92)))</f>
        <v>837.85568903055992</v>
      </c>
      <c r="W92" s="5" cm="1">
        <f t="array" ref="W92">IF(W$8=-1,X92,IF(W$8=99,V92,IF(W$8=0,INDEX($E92:$I92,0,W$6),(INDEX($E92:$I92,0,W$8+1)-INDEX($E92:$I92,0,W$8))/(INDEX($D$5:$H$5,0,W$8+1)-INDEX($D$5:$H$5,0,W$8))+V92)))</f>
        <v>795.61587555471942</v>
      </c>
      <c r="X92" s="5" cm="1">
        <f t="array" ref="X92">IF(X$8=-1,Y92,IF(X$8=99,W92,IF(X$8=0,INDEX($E92:$I92,0,X$6),(INDEX($E92:$I92,0,X$8+1)-INDEX($E92:$I92,0,X$8))/(INDEX($D$5:$H$5,0,X$8+1)-INDEX($D$5:$H$5,0,X$8))+W92)))</f>
        <v>753.37606207887893</v>
      </c>
      <c r="Y92" s="5" cm="1">
        <f t="array" ref="Y92">IF(Y$8=-1,Z92,IF(Y$8=99,X92,IF(Y$8=0,INDEX($E92:$I92,0,Y$6),(INDEX($E92:$I92,0,Y$8+1)-INDEX($E92:$I92,0,Y$8))/(INDEX($D$5:$H$5,0,Y$8+1)-INDEX($D$5:$H$5,0,Y$8))+X92)))</f>
        <v>711.13624860303844</v>
      </c>
      <c r="Z92" s="5" cm="1">
        <f t="array" ref="Z92">IF(Z$8=-1,AA92,IF(Z$8=99,Y92,IF(Z$8=0,INDEX($E92:$I92,0,Z$6),(INDEX($E92:$I92,0,Z$8+1)-INDEX($E92:$I92,0,Z$8))/(INDEX($D$5:$H$5,0,Z$8+1)-INDEX($D$5:$H$5,0,Z$8))+Y92)))</f>
        <v>668.89643512719795</v>
      </c>
      <c r="AA92" s="5" cm="1">
        <f t="array" ref="AA92">IF(AA$8=-1,AB92,IF(AA$8=99,Z92,IF(AA$8=0,INDEX($E92:$I92,0,AA$6),(INDEX($E92:$I92,0,AA$8+1)-INDEX($E92:$I92,0,AA$8))/(INDEX($D$5:$H$5,0,AA$8+1)-INDEX($D$5:$H$5,0,AA$8))+Z92)))</f>
        <v>626.65662165135745</v>
      </c>
      <c r="AB92" s="5" cm="1">
        <f t="array" ref="AB92">IF(AB$8=-1,AC92,IF(AB$8=99,AA92,IF(AB$8=0,INDEX($E92:$I92,0,AB$6),(INDEX($E92:$I92,0,AB$8+1)-INDEX($E92:$I92,0,AB$8))/(INDEX($D$5:$H$5,0,AB$8+1)-INDEX($D$5:$H$5,0,AB$8))+AA92)))</f>
        <v>584.41680817551696</v>
      </c>
      <c r="AC92" s="5" cm="1">
        <f t="array" ref="AC92">IF(AC$8=-1,AD92,IF(AC$8=99,AB92,IF(AC$8=0,INDEX($E92:$I92,0,AC$6),(INDEX($E92:$I92,0,AC$8+1)-INDEX($E92:$I92,0,AC$8))/(INDEX($D$5:$H$5,0,AC$8+1)-INDEX($D$5:$H$5,0,AC$8))+AB92)))</f>
        <v>542.17699469967647</v>
      </c>
      <c r="AD92" s="5" cm="1">
        <f t="array" ref="AD92">IF(AD$8=-1,AE92,IF(AD$8=99,AC92,IF(AD$8=0,INDEX($E92:$I92,0,AD$6),(INDEX($E92:$I92,0,AD$8+1)-INDEX($E92:$I92,0,AD$8))/(INDEX($D$5:$H$5,0,AD$8+1)-INDEX($D$5:$H$5,0,AD$8))+AC92)))</f>
        <v>499.93718122383575</v>
      </c>
      <c r="AE92" s="5" cm="1">
        <f t="array" ref="AE92">IF(AE$8=-1,AF92,IF(AE$8=99,AD92,IF(AE$8=0,INDEX($E92:$I92,0,AE$6),(INDEX($E92:$I92,0,AE$8+1)-INDEX($E92:$I92,0,AE$8))/(INDEX($D$5:$H$5,0,AE$8+1)-INDEX($D$5:$H$5,0,AE$8))+AD92)))</f>
        <v>499.93718122383575</v>
      </c>
      <c r="AF92" s="5" cm="1">
        <f t="array" ref="AF92">IF(AF$8=-1,AG92,IF(AF$8=99,AE92,IF(AF$8=0,INDEX($E92:$I92,0,AF$6),(INDEX($E92:$I92,0,AF$8+1)-INDEX($E92:$I92,0,AF$8))/(INDEX($D$5:$H$5,0,AF$8+1)-INDEX($D$5:$H$5,0,AF$8))+AE92)))</f>
        <v>499.93718122383575</v>
      </c>
      <c r="AG92" s="5" cm="1">
        <f t="array" ref="AG92">IF(AG$8=-1,AH92,IF(AG$8=99,AF92,IF(AG$8=0,INDEX($E92:$I92,0,AG$6),(INDEX($E92:$I92,0,AG$8+1)-INDEX($E92:$I92,0,AG$8))/(INDEX($D$5:$H$5,0,AG$8+1)-INDEX($D$5:$H$5,0,AG$8))+AF92)))</f>
        <v>499.93718122383575</v>
      </c>
      <c r="AH92" s="5" cm="1">
        <f t="array" ref="AH92">IF(AH$8=-1,AI92,IF(AH$8=99,AG92,IF(AH$8=0,INDEX($E92:$I92,0,AH$6),(INDEX($E92:$I92,0,AH$8+1)-INDEX($E92:$I92,0,AH$8))/(INDEX($D$5:$H$5,0,AH$8+1)-INDEX($D$5:$H$5,0,AH$8))+AG92)))</f>
        <v>499.93718122383575</v>
      </c>
      <c r="AI92" s="5" cm="1">
        <f t="array" ref="AI92">IF(AI$8=-1,AJ92,IF(AI$8=99,AH92,IF(AI$8=0,INDEX($E92:$I92,0,AI$6),(INDEX($E92:$I92,0,AI$8+1)-INDEX($E92:$I92,0,AI$8))/(INDEX($D$5:$H$5,0,AI$8+1)-INDEX($D$5:$H$5,0,AI$8))+AH92)))</f>
        <v>499.93718122383575</v>
      </c>
      <c r="AJ92" s="5" cm="1">
        <f t="array" ref="AJ92">IF(AJ$8=-1,AK92,IF(AJ$8=99,AI92,IF(AJ$8=0,INDEX($E92:$I92,0,AJ$6),(INDEX($E92:$I92,0,AJ$8+1)-INDEX($E92:$I92,0,AJ$8))/(INDEX($D$5:$H$5,0,AJ$8+1)-INDEX($D$5:$H$5,0,AJ$8))+AI92)))</f>
        <v>499.93718122383575</v>
      </c>
      <c r="AK92" s="5" cm="1">
        <f t="array" ref="AK92">IF(AK$8=-1,AL92,IF(AK$8=99,AJ92,IF(AK$8=0,INDEX($E92:$I92,0,AK$6),(INDEX($E92:$I92,0,AK$8+1)-INDEX($E92:$I92,0,AK$8))/(INDEX($D$5:$H$5,0,AK$8+1)-INDEX($D$5:$H$5,0,AK$8))+AJ92)))</f>
        <v>499.93718122383575</v>
      </c>
      <c r="AL92" s="5" cm="1">
        <f t="array" ref="AL92">IF(AL$8=-1,AM92,IF(AL$8=99,AK92,IF(AL$8=0,INDEX($E92:$I92,0,AL$6),(INDEX($E92:$I92,0,AL$8+1)-INDEX($E92:$I92,0,AL$8))/(INDEX($D$5:$H$5,0,AL$8+1)-INDEX($D$5:$H$5,0,AL$8))+AK92)))</f>
        <v>499.93718122383575</v>
      </c>
      <c r="AM92" s="5" cm="1">
        <f t="array" ref="AM92">IF(AM$8=-1,AN92,IF(AM$8=99,AL92,IF(AM$8=0,INDEX($E92:$I92,0,AM$6),(INDEX($E92:$I92,0,AM$8+1)-INDEX($E92:$I92,0,AM$8))/(INDEX($D$5:$H$5,0,AM$8+1)-INDEX($D$5:$H$5,0,AM$8))+AL92)))</f>
        <v>499.93718122383575</v>
      </c>
      <c r="AN92" s="5" cm="1">
        <f t="array" ref="AN92">IF(AN$8=-1,AO92,IF(AN$8=99,AM92,IF(AN$8=0,INDEX($E92:$I92,0,AN$6),(INDEX($E92:$I92,0,AN$8+1)-INDEX($E92:$I92,0,AN$8))/(INDEX($D$5:$H$5,0,AN$8+1)-INDEX($D$5:$H$5,0,AN$8))+AM92)))</f>
        <v>499.93718122383575</v>
      </c>
      <c r="AO92" s="5" cm="1">
        <f t="array" ref="AO92">IF(AO$8=-1,AP92,IF(AO$8=99,AN92,IF(AO$8=0,INDEX($E92:$K92,0,AO$6),(INDEX($E92:$K92,0,AO$8+1)-INDEX($E92:$K92,0,AO$8))/(INDEX($D$5:$J$5,0,AO$8+1)-INDEX($D$5:$J$5,0,AO$8))+AN92)))</f>
        <v>499.93718122383575</v>
      </c>
      <c r="AP92" s="5" cm="1">
        <f t="array" ref="AP92">IF(AP$8=-1,AQ92,IF(AP$8=99,AO92,IF(AP$8=0,INDEX($E92:$K92,0,AP$6),(INDEX($E92:$K92,0,AP$8+1)-INDEX($E92:$K92,0,AP$8))/(INDEX($D$5:$J$5,0,AP$8+1)-INDEX($D$5:$J$5,0,AP$8))+AO92)))</f>
        <v>499.93718122383575</v>
      </c>
      <c r="AQ92" s="5" cm="1">
        <f t="array" ref="AQ92">IF(AQ$8=-1,AR92,IF(AQ$8=99,AP92,IF(AQ$8=0,INDEX($E92:$K92,0,AQ$6),(INDEX($E92:$K92,0,AQ$8+1)-INDEX($E92:$K92,0,AQ$8))/(INDEX($D$5:$J$5,0,AQ$8+1)-INDEX($D$5:$J$5,0,AQ$8))+AP92)))</f>
        <v>499.93718122383575</v>
      </c>
      <c r="AR92" s="5" cm="1">
        <f t="array" ref="AR92">IF(AR$8=-1,AS92,IF(AR$8=99,AQ92,IF(AR$8=0,INDEX($E92:$K92,0,AR$6),(INDEX($E92:$K92,0,AR$8+1)-INDEX($E92:$K92,0,AR$8))/(INDEX($D$5:$J$5,0,AR$8+1)-INDEX($D$5:$J$5,0,AR$8))+AQ92)))</f>
        <v>499.93718122383575</v>
      </c>
      <c r="AS92" s="5" cm="1">
        <f t="array" ref="AS92">IF(AS$8=-1,AT92,IF(AS$8=99,AR92,IF(AS$8=0,INDEX($E92:$K92,0,AS$6),(INDEX($E92:$K92,0,AS$8+1)-INDEX($E92:$K92,0,AS$8))/(INDEX($D$5:$J$5,0,AS$8+1)-INDEX($D$5:$J$5,0,AS$8))+AR92)))</f>
        <v>499.93718122383575</v>
      </c>
      <c r="AT92" s="5" cm="1">
        <f t="array" ref="AT92">IF(AT$8=-1,AU92,IF(AT$8=99,AS92,IF(AT$8=0,INDEX($E92:$K92,0,AT$6),(INDEX($E92:$K92,0,AT$8+1)-INDEX($E92:$K92,0,AT$8))/(INDEX($D$5:$J$5,0,AT$8+1)-INDEX($D$5:$J$5,0,AT$8))+AS92)))</f>
        <v>499.93718122383575</v>
      </c>
      <c r="AU92" s="5" cm="1">
        <f t="array" ref="AU92">IF(AU$8=-1,AV92,IF(AU$8=99,AT92,IF(AU$8=0,INDEX($E92:$K92,0,AU$6),(INDEX($E92:$K92,0,AU$8+1)-INDEX($E92:$K92,0,AU$8))/(INDEX($D$5:$J$5,0,AU$8+1)-INDEX($D$5:$J$5,0,AU$8))+AT92)))</f>
        <v>499.93718122383575</v>
      </c>
      <c r="AV92" s="5" cm="1">
        <f t="array" ref="AV92">IF(AV$8=-1,AW92,IF(AV$8=99,AU92,IF(AV$8=0,INDEX($E92:$K92,0,AV$6),(INDEX($E92:$K92,0,AV$8+1)-INDEX($E92:$K92,0,AV$8))/(INDEX($D$5:$J$5,0,AV$8+1)-INDEX($D$5:$J$5,0,AV$8))+AU92)))</f>
        <v>499.93718122383575</v>
      </c>
      <c r="AW92" s="5" cm="1">
        <f t="array" ref="AW92">IF(AW$8=-1,AX92,IF(AW$8=99,AV92,IF(AW$8=0,INDEX($E92:$K92,0,AW$6),(INDEX($E92:$K92,0,AW$8+1)-INDEX($E92:$K92,0,AW$8))/(INDEX($D$5:$J$5,0,AW$8+1)-INDEX($D$5:$J$5,0,AW$8))+AV92)))</f>
        <v>499.93718122383575</v>
      </c>
      <c r="AX92" s="5" cm="1">
        <f t="array" ref="AX92">IF(AX$8=-1,AY92,IF(AX$8=99,AW92,IF(AX$8=0,INDEX($E92:$K92,0,AX$6),(INDEX($E92:$K92,0,AX$8+1)-INDEX($E92:$K92,0,AX$8))/(INDEX($D$5:$J$5,0,AX$8+1)-INDEX($D$5:$J$5,0,AX$8))+AW92)))</f>
        <v>499.93718122383575</v>
      </c>
      <c r="AY92" s="5" cm="1">
        <f t="array" ref="AY92">IF(AY$8=-1,AZ92,IF(AY$8=99,AX92,IF(AY$8=0,INDEX($E92:$K92,0,AY$6),(INDEX($E92:$K92,0,AY$8+1)-INDEX($E92:$K92,0,AY$8))/(INDEX($D$5:$J$5,0,AY$8+1)-INDEX($D$5:$J$5,0,AY$8))+AX92)))</f>
        <v>499.93718122383575</v>
      </c>
      <c r="AZ92" s="5" cm="1">
        <f t="array" ref="AZ92">IF(AZ$8=-1,BA92,IF(AZ$8=99,AY92,IF(AZ$8=0,INDEX($E92:$K92,0,AZ$6),(INDEX($E92:$K92,0,AZ$8+1)-INDEX($E92:$K92,0,AZ$8))/(INDEX($D$5:$J$5,0,AZ$8+1)-INDEX($D$5:$J$5,0,AZ$8))+AY92)))</f>
        <v>499.93718122383575</v>
      </c>
      <c r="BA92" s="5" cm="1">
        <f t="array" ref="BA92">IF(BA$8=-1,BB92,IF(BA$8=99,AZ92,IF(BA$8=0,INDEX($E92:$K92,0,BA$6),(INDEX($E92:$K92,0,BA$8+1)-INDEX($E92:$K92,0,BA$8))/(INDEX($D$5:$J$5,0,BA$8+1)-INDEX($D$5:$J$5,0,BA$8))+AZ92)))</f>
        <v>499.93718122383575</v>
      </c>
      <c r="BB92" s="5" cm="1">
        <f t="array" ref="BB92">IF(BB$8=-1,BC92,IF(BB$8=99,BA92,IF(BB$8=0,INDEX($E92:$K92,0,BB$6),(INDEX($E92:$K92,0,BB$8+1)-INDEX($E92:$K92,0,BB$8))/(INDEX($D$5:$J$5,0,BB$8+1)-INDEX($D$5:$J$5,0,BB$8))+BA92)))</f>
        <v>499.93718122383575</v>
      </c>
      <c r="BC92" s="5" cm="1">
        <f t="array" ref="BC92">IF(BC$8=-1,BD92,IF(BC$8=99,BB92,IF(BC$8=0,INDEX($E92:$K92,0,BC$6),(INDEX($E92:$K92,0,BC$8+1)-INDEX($E92:$K92,0,BC$8))/(INDEX($D$5:$J$5,0,BC$8+1)-INDEX($D$5:$J$5,0,BC$8))+BB92)))</f>
        <v>499.93718122383575</v>
      </c>
      <c r="BD92" s="5" cm="1">
        <f t="array" ref="BD92">IF(BD$8=-1,BE92,IF(BD$8=99,BC92,IF(BD$8=0,INDEX($E92:$K92,0,BD$6),(INDEX($E92:$K92,0,BD$8+1)-INDEX($E92:$K92,0,BD$8))/(INDEX($D$5:$J$5,0,BD$8+1)-INDEX($D$5:$J$5,0,BD$8))+BC92)))</f>
        <v>499.93718122383575</v>
      </c>
      <c r="BE92" s="5" cm="1">
        <f t="array" ref="BE92">IF(BE$8=-1,BF92,IF(BE$8=99,BD92,IF(BE$8=0,INDEX($E92:$K92,0,BE$6),(INDEX($E92:$K92,0,BE$8+1)-INDEX($E92:$K92,0,BE$8))/(INDEX($D$5:$J$5,0,BE$8+1)-INDEX($D$5:$J$5,0,BE$8))+BD92)))</f>
        <v>499.93718122383575</v>
      </c>
      <c r="BF92" s="5" cm="1">
        <f t="array" ref="BF92">IF(BF$8=-1,BG92,IF(BF$8=99,BE92,IF(BF$8=0,INDEX($E92:$K92,0,BF$6),(INDEX($E92:$K92,0,BF$8+1)-INDEX($E92:$K92,0,BF$8))/(INDEX($D$5:$J$5,0,BF$8+1)-INDEX($D$5:$J$5,0,BF$8))+BE92)))</f>
        <v>499.93718122383575</v>
      </c>
      <c r="BG92" s="5" cm="1">
        <f t="array" ref="BG92">IF(BG$8=-1,BH92,IF(BG$8=99,BF92,IF(BG$8=0,INDEX($E92:$K92,0,BG$6),(INDEX($E92:$K92,0,BG$8+1)-INDEX($E92:$K92,0,BG$8))/(INDEX($D$5:$J$5,0,BG$8+1)-INDEX($D$5:$J$5,0,BG$8))+BF92)))</f>
        <v>499.93718122383575</v>
      </c>
      <c r="BH92" s="5" cm="1">
        <f t="array" ref="BH92">IF(BH$8=-1,BI92,IF(BH$8=99,BG92,IF(BH$8=0,INDEX($E92:$K92,0,BH$6),(INDEX($E92:$K92,0,BH$8+1)-INDEX($E92:$K92,0,BH$8))/(INDEX($D$5:$J$5,0,BH$8+1)-INDEX($D$5:$J$5,0,BH$8))+BG92)))</f>
        <v>499.93718122383575</v>
      </c>
      <c r="BI92" s="5" cm="1">
        <f t="array" ref="BI92">IF(BI$8=-1,BJ92,IF(BI$8=99,BH92,IF(BI$8=0,INDEX($E92:$K92,0,BI$6),(INDEX($E92:$K92,0,BI$8+1)-INDEX($E92:$K92,0,BI$8))/(INDEX($D$5:$J$5,0,BI$8+1)-INDEX($D$5:$J$5,0,BI$8))+BH92)))</f>
        <v>499.93718122383575</v>
      </c>
      <c r="BJ92" s="5" cm="1">
        <f t="array" ref="BJ92">IF(BJ$8=-1,BK92,IF(BJ$8=99,BI92,IF(BJ$8=0,INDEX($E92:$K92,0,BJ$6),(INDEX($E92:$K92,0,BJ$8+1)-INDEX($E92:$K92,0,BJ$8))/(INDEX($D$5:$J$5,0,BJ$8+1)-INDEX($D$5:$J$5,0,BJ$8))+BI92)))</f>
        <v>499.93718122383575</v>
      </c>
      <c r="BK92" s="5" cm="1">
        <f t="array" ref="BK92">IF(BK$8=-1,BL92,IF(BK$8=99,BJ92,IF(BK$8=0,INDEX($E92:$K92,0,BK$6),(INDEX($E92:$K92,0,BK$8+1)-INDEX($E92:$K92,0,BK$8))/(INDEX($D$5:$J$5,0,BK$8+1)-INDEX($D$5:$J$5,0,BK$8))+BJ92)))</f>
        <v>499.93718122383575</v>
      </c>
      <c r="BL92" s="5" cm="1">
        <f t="array" ref="BL92">IF(BL$8=-1,BM92,IF(BL$8=99,BK92,IF(BL$8=0,INDEX($E92:$K92,0,BL$6),(INDEX($E92:$K92,0,BL$8+1)-INDEX($E92:$K92,0,BL$8))/(INDEX($D$5:$J$5,0,BL$8+1)-INDEX($D$5:$J$5,0,BL$8))+BK92)))</f>
        <v>499.93718122383575</v>
      </c>
      <c r="BM92" s="5" cm="1">
        <f t="array" ref="BM92">IF(BM$8=-1,BN92,IF(BM$8=99,BL92,IF(BM$8=0,INDEX($E92:$K92,0,BM$6),(INDEX($E92:$K92,0,BM$8+1)-INDEX($E92:$K92,0,BM$8))/(INDEX($D$5:$J$5,0,BM$8+1)-INDEX($D$5:$J$5,0,BM$8))+BL92)))</f>
        <v>499.93718122383575</v>
      </c>
      <c r="BN92" s="5" cm="1">
        <f t="array" ref="BN92">IF(BN$8=-1,BO92,IF(BN$8=99,BM92,IF(BN$8=0,INDEX($E92:$K92,0,BN$6),(INDEX($E92:$K92,0,BN$8+1)-INDEX($E92:$K92,0,BN$8))/(INDEX($D$5:$J$5,0,BN$8+1)-INDEX($D$5:$J$5,0,BN$8))+BM92)))</f>
        <v>499.93718122383575</v>
      </c>
      <c r="BO92" s="5" cm="1">
        <f t="array" ref="BO92">IF(BO$8=-1,BP92,IF(BO$8=99,BN92,IF(BO$8=0,INDEX($E92:$K92,0,BO$6),(INDEX($E92:$K92,0,BO$8+1)-INDEX($E92:$K92,0,BO$8))/(INDEX($D$5:$J$5,0,BO$8+1)-INDEX($D$5:$J$5,0,BO$8))+BN92)))</f>
        <v>499.93718122383575</v>
      </c>
      <c r="BP92" s="5" cm="1">
        <f t="array" ref="BP92">IF(BP$8=-1,BQ92,IF(BP$8=99,BO92,IF(BP$8=0,INDEX($E92:$K92,0,BP$6),(INDEX($E92:$K92,0,BP$8+1)-INDEX($E92:$K92,0,BP$8))/(INDEX($D$5:$J$5,0,BP$8+1)-INDEX($D$5:$J$5,0,BP$8))+BO92)))</f>
        <v>499.93718122383575</v>
      </c>
      <c r="BQ92" s="5" cm="1">
        <f t="array" ref="BQ92">IF(BQ$8=-1,BR92,IF(BQ$8=99,BP92,IF(BQ$8=0,INDEX($E92:$K92,0,BQ$6),(INDEX($E92:$K92,0,BQ$8+1)-INDEX($E92:$K92,0,BQ$8))/(INDEX($D$5:$J$5,0,BQ$8+1)-INDEX($D$5:$J$5,0,BQ$8))+BP92)))</f>
        <v>499.93718122383575</v>
      </c>
      <c r="BR92" s="5" cm="1">
        <f t="array" ref="BR92">IF(BR$8=-1,BS92,IF(BR$8=99,BQ92,IF(BR$8=0,INDEX($E92:$K92,0,BR$6),(INDEX($E92:$K92,0,BR$8+1)-INDEX($E92:$K92,0,BR$8))/(INDEX($D$5:$J$5,0,BR$8+1)-INDEX($D$5:$J$5,0,BR$8))+BQ92)))</f>
        <v>499.93718122383575</v>
      </c>
    </row>
    <row r="93" spans="1:70">
      <c r="A93" t="s">
        <v>16</v>
      </c>
      <c r="B93" s="223" t="str">
        <f t="shared" ref="B93:B100" si="154">B71</f>
        <v>CEH</v>
      </c>
      <c r="C93" s="70" t="str">
        <f t="shared" si="151"/>
        <v>Commercial - Space Heating</v>
      </c>
      <c r="D93" s="70" t="s">
        <v>66</v>
      </c>
      <c r="E93" s="79">
        <f t="shared" ref="E93:F100" si="155">E82</f>
        <v>59.117764859369188</v>
      </c>
      <c r="F93" s="87">
        <f t="shared" si="155"/>
        <v>86.140082210951618</v>
      </c>
      <c r="G93" s="87">
        <f t="shared" si="152"/>
        <v>86.140082210951618</v>
      </c>
      <c r="H93" s="87">
        <f t="shared" ref="H93:H97" si="156">IF($N$57=-1,G93,((F93-E93)*2/5+E93)*(1+$H$91))</f>
        <v>34.96334590000108</v>
      </c>
      <c r="I93" s="131">
        <f t="shared" ref="I93:I100" si="157">H93</f>
        <v>34.96334590000108</v>
      </c>
      <c r="J93" s="131">
        <f t="shared" si="153"/>
        <v>34.96334590000108</v>
      </c>
      <c r="K93" s="131">
        <f t="shared" si="153"/>
        <v>34.96334590000108</v>
      </c>
      <c r="L93" s="5" cm="1">
        <f t="array" ref="L93">IF(L$8=-1,M93,IF(L$8=99,I93,IF(L$8=0,INDEX($E93:$I93,0,L$6),(INDEX($E93:$I93,0,L$8+1)-INDEX($E93:$I93,0,L$8))/(INDEX($D$5:$H$5,0,L$8+1)-INDEX($D$5:$H$5,0,L$8))+I93)))</f>
        <v>59.117764859369188</v>
      </c>
      <c r="M93" s="5" cm="1">
        <f t="array" ref="M93">IF(M$8=-1,N93,IF(M$8=99,L93,IF(M$8=0,INDEX($E93:$I93,0,M$6),(INDEX($E93:$I93,0,M$8+1)-INDEX($E93:$I93,0,M$8))/(INDEX($D$5:$H$5,0,M$8+1)-INDEX($D$5:$H$5,0,M$8))+L93)))</f>
        <v>64.522228329685674</v>
      </c>
      <c r="N93" s="5" cm="1">
        <f t="array" ref="N93">IF(N$8=-1,O93,IF(N$8=99,M93,IF(N$8=0,INDEX($E93:$I93,0,N$6),(INDEX($E93:$I93,0,N$8+1)-INDEX($E93:$I93,0,N$8))/(INDEX($D$5:$H$5,0,N$8+1)-INDEX($D$5:$H$5,0,N$8))+M93)))</f>
        <v>69.92669180000216</v>
      </c>
      <c r="O93" s="5" cm="1">
        <f t="array" ref="O93">IF(O$8=-1,P93,IF(O$8=99,N93,IF(O$8=0,INDEX($E93:$I93,0,O$6),(INDEX($E93:$I93,0,O$8+1)-INDEX($E93:$I93,0,O$8))/(INDEX($D$5:$H$5,0,O$8+1)-INDEX($D$5:$H$5,0,O$8))+N93)))</f>
        <v>75.331155270318646</v>
      </c>
      <c r="P93" s="5" cm="1">
        <f t="array" ref="P93">IF(P$8=-1,Q93,IF(P$8=99,O93,IF(P$8=0,INDEX($E93:$I93,0,P$6),(INDEX($E93:$I93,0,P$8+1)-INDEX($E93:$I93,0,P$8))/(INDEX($D$5:$H$5,0,P$8+1)-INDEX($D$5:$H$5,0,P$8))+O93)))</f>
        <v>80.735618740635132</v>
      </c>
      <c r="Q93" s="5" cm="1">
        <f t="array" ref="Q93">IF(Q$8=-1,R93,IF(Q$8=99,P93,IF(Q$8=0,INDEX($E93:$I93,0,Q$6),(INDEX($E93:$I93,0,Q$8+1)-INDEX($E93:$I93,0,Q$8))/(INDEX($D$5:$H$5,0,Q$8+1)-INDEX($D$5:$H$5,0,Q$8))+P93)))</f>
        <v>86.140082210951618</v>
      </c>
      <c r="R93" s="5" cm="1">
        <f t="array" ref="R93">IF(R$8=-1,S93,IF(R$8=99,Q93,IF(R$8=0,INDEX($E93:$I93,0,R$6),(INDEX($E93:$I93,0,R$8+1)-INDEX($E93:$I93,0,R$8))/(INDEX($D$5:$H$5,0,R$8+1)-INDEX($D$5:$H$5,0,R$8))+Q93)))</f>
        <v>86.140082210951618</v>
      </c>
      <c r="S93" s="5" cm="1">
        <f t="array" ref="S93">IF(S$8=-1,T93,IF(S$8=99,R93,IF(S$8=0,INDEX($E93:$I93,0,S$6),(INDEX($E93:$I93,0,S$8+1)-INDEX($E93:$I93,0,S$8))/(INDEX($D$5:$H$5,0,S$8+1)-INDEX($D$5:$H$5,0,S$8))+R93)))</f>
        <v>86.140082210951618</v>
      </c>
      <c r="T93" s="5" cm="1">
        <f t="array" ref="T93">IF(T$8=-1,U93,IF(T$8=99,S93,IF(T$8=0,INDEX($E93:$I93,0,T$6),(INDEX($E93:$I93,0,T$8+1)-INDEX($E93:$I93,0,T$8))/(INDEX($D$5:$H$5,0,T$8+1)-INDEX($D$5:$H$5,0,T$8))+S93)))</f>
        <v>86.140082210951618</v>
      </c>
      <c r="U93" s="5" cm="1">
        <f t="array" ref="U93">IF(U$8=-1,V93,IF(U$8=99,T93,IF(U$8=0,INDEX($E93:$I93,0,U$6),(INDEX($E93:$I93,0,U$8+1)-INDEX($E93:$I93,0,U$8))/(INDEX($D$5:$H$5,0,U$8+1)-INDEX($D$5:$H$5,0,U$8))+T93)))</f>
        <v>81.02240857985656</v>
      </c>
      <c r="V93" s="5" cm="1">
        <f t="array" ref="V93">IF(V$8=-1,W93,IF(V$8=99,U93,IF(V$8=0,INDEX($E93:$I93,0,V$6),(INDEX($E93:$I93,0,V$8+1)-INDEX($E93:$I93,0,V$8))/(INDEX($D$5:$H$5,0,V$8+1)-INDEX($D$5:$H$5,0,V$8))+U93)))</f>
        <v>75.904734948761501</v>
      </c>
      <c r="W93" s="5" cm="1">
        <f t="array" ref="W93">IF(W$8=-1,X93,IF(W$8=99,V93,IF(W$8=0,INDEX($E93:$I93,0,W$6),(INDEX($E93:$I93,0,W$8+1)-INDEX($E93:$I93,0,W$8))/(INDEX($D$5:$H$5,0,W$8+1)-INDEX($D$5:$H$5,0,W$8))+V93)))</f>
        <v>70.787061317666442</v>
      </c>
      <c r="X93" s="5" cm="1">
        <f t="array" ref="X93">IF(X$8=-1,Y93,IF(X$8=99,W93,IF(X$8=0,INDEX($E93:$I93,0,X$6),(INDEX($E93:$I93,0,X$8+1)-INDEX($E93:$I93,0,X$8))/(INDEX($D$5:$H$5,0,X$8+1)-INDEX($D$5:$H$5,0,X$8))+W93)))</f>
        <v>65.669387686571383</v>
      </c>
      <c r="Y93" s="5" cm="1">
        <f t="array" ref="Y93">IF(Y$8=-1,Z93,IF(Y$8=99,X93,IF(Y$8=0,INDEX($E93:$I93,0,Y$6),(INDEX($E93:$I93,0,Y$8+1)-INDEX($E93:$I93,0,Y$8))/(INDEX($D$5:$H$5,0,Y$8+1)-INDEX($D$5:$H$5,0,Y$8))+X93)))</f>
        <v>60.551714055476332</v>
      </c>
      <c r="Z93" s="5" cm="1">
        <f t="array" ref="Z93">IF(Z$8=-1,AA93,IF(Z$8=99,Y93,IF(Z$8=0,INDEX($E93:$I93,0,Z$6),(INDEX($E93:$I93,0,Z$8+1)-INDEX($E93:$I93,0,Z$8))/(INDEX($D$5:$H$5,0,Z$8+1)-INDEX($D$5:$H$5,0,Z$8))+Y93)))</f>
        <v>55.43404042438128</v>
      </c>
      <c r="AA93" s="5" cm="1">
        <f t="array" ref="AA93">IF(AA$8=-1,AB93,IF(AA$8=99,Z93,IF(AA$8=0,INDEX($E93:$I93,0,AA$6),(INDEX($E93:$I93,0,AA$8+1)-INDEX($E93:$I93,0,AA$8))/(INDEX($D$5:$H$5,0,AA$8+1)-INDEX($D$5:$H$5,0,AA$8))+Z93)))</f>
        <v>50.316366793286228</v>
      </c>
      <c r="AB93" s="5" cm="1">
        <f t="array" ref="AB93">IF(AB$8=-1,AC93,IF(AB$8=99,AA93,IF(AB$8=0,INDEX($E93:$I93,0,AB$6),(INDEX($E93:$I93,0,AB$8+1)-INDEX($E93:$I93,0,AB$8))/(INDEX($D$5:$H$5,0,AB$8+1)-INDEX($D$5:$H$5,0,AB$8))+AA93)))</f>
        <v>45.198693162191176</v>
      </c>
      <c r="AC93" s="5" cm="1">
        <f t="array" ref="AC93">IF(AC$8=-1,AD93,IF(AC$8=99,AB93,IF(AC$8=0,INDEX($E93:$I93,0,AC$6),(INDEX($E93:$I93,0,AC$8+1)-INDEX($E93:$I93,0,AC$8))/(INDEX($D$5:$H$5,0,AC$8+1)-INDEX($D$5:$H$5,0,AC$8))+AB93)))</f>
        <v>40.081019531096125</v>
      </c>
      <c r="AD93" s="5" cm="1">
        <f t="array" ref="AD93">IF(AD$8=-1,AE93,IF(AD$8=99,AC93,IF(AD$8=0,INDEX($E93:$I93,0,AD$6),(INDEX($E93:$I93,0,AD$8+1)-INDEX($E93:$I93,0,AD$8))/(INDEX($D$5:$H$5,0,AD$8+1)-INDEX($D$5:$H$5,0,AD$8))+AC93)))</f>
        <v>34.96334590000108</v>
      </c>
      <c r="AE93" s="5" cm="1">
        <f t="array" ref="AE93">IF(AE$8=-1,AF93,IF(AE$8=99,AD93,IF(AE$8=0,INDEX($E93:$I93,0,AE$6),(INDEX($E93:$I93,0,AE$8+1)-INDEX($E93:$I93,0,AE$8))/(INDEX($D$5:$H$5,0,AE$8+1)-INDEX($D$5:$H$5,0,AE$8))+AD93)))</f>
        <v>34.96334590000108</v>
      </c>
      <c r="AF93" s="5" cm="1">
        <f t="array" ref="AF93">IF(AF$8=-1,AG93,IF(AF$8=99,AE93,IF(AF$8=0,INDEX($E93:$I93,0,AF$6),(INDEX($E93:$I93,0,AF$8+1)-INDEX($E93:$I93,0,AF$8))/(INDEX($D$5:$H$5,0,AF$8+1)-INDEX($D$5:$H$5,0,AF$8))+AE93)))</f>
        <v>34.96334590000108</v>
      </c>
      <c r="AG93" s="5" cm="1">
        <f t="array" ref="AG93">IF(AG$8=-1,AH93,IF(AG$8=99,AF93,IF(AG$8=0,INDEX($E93:$I93,0,AG$6),(INDEX($E93:$I93,0,AG$8+1)-INDEX($E93:$I93,0,AG$8))/(INDEX($D$5:$H$5,0,AG$8+1)-INDEX($D$5:$H$5,0,AG$8))+AF93)))</f>
        <v>34.96334590000108</v>
      </c>
      <c r="AH93" s="5" cm="1">
        <f t="array" ref="AH93">IF(AH$8=-1,AI93,IF(AH$8=99,AG93,IF(AH$8=0,INDEX($E93:$I93,0,AH$6),(INDEX($E93:$I93,0,AH$8+1)-INDEX($E93:$I93,0,AH$8))/(INDEX($D$5:$H$5,0,AH$8+1)-INDEX($D$5:$H$5,0,AH$8))+AG93)))</f>
        <v>34.96334590000108</v>
      </c>
      <c r="AI93" s="5" cm="1">
        <f t="array" ref="AI93">IF(AI$8=-1,AJ93,IF(AI$8=99,AH93,IF(AI$8=0,INDEX($E93:$I93,0,AI$6),(INDEX($E93:$I93,0,AI$8+1)-INDEX($E93:$I93,0,AI$8))/(INDEX($D$5:$H$5,0,AI$8+1)-INDEX($D$5:$H$5,0,AI$8))+AH93)))</f>
        <v>34.96334590000108</v>
      </c>
      <c r="AJ93" s="5" cm="1">
        <f t="array" ref="AJ93">IF(AJ$8=-1,AK93,IF(AJ$8=99,AI93,IF(AJ$8=0,INDEX($E93:$I93,0,AJ$6),(INDEX($E93:$I93,0,AJ$8+1)-INDEX($E93:$I93,0,AJ$8))/(INDEX($D$5:$H$5,0,AJ$8+1)-INDEX($D$5:$H$5,0,AJ$8))+AI93)))</f>
        <v>34.96334590000108</v>
      </c>
      <c r="AK93" s="5" cm="1">
        <f t="array" ref="AK93">IF(AK$8=-1,AL93,IF(AK$8=99,AJ93,IF(AK$8=0,INDEX($E93:$I93,0,AK$6),(INDEX($E93:$I93,0,AK$8+1)-INDEX($E93:$I93,0,AK$8))/(INDEX($D$5:$H$5,0,AK$8+1)-INDEX($D$5:$H$5,0,AK$8))+AJ93)))</f>
        <v>34.96334590000108</v>
      </c>
      <c r="AL93" s="5" cm="1">
        <f t="array" ref="AL93">IF(AL$8=-1,AM93,IF(AL$8=99,AK93,IF(AL$8=0,INDEX($E93:$I93,0,AL$6),(INDEX($E93:$I93,0,AL$8+1)-INDEX($E93:$I93,0,AL$8))/(INDEX($D$5:$H$5,0,AL$8+1)-INDEX($D$5:$H$5,0,AL$8))+AK93)))</f>
        <v>34.96334590000108</v>
      </c>
      <c r="AM93" s="5" cm="1">
        <f t="array" ref="AM93">IF(AM$8=-1,AN93,IF(AM$8=99,AL93,IF(AM$8=0,INDEX($E93:$I93,0,AM$6),(INDEX($E93:$I93,0,AM$8+1)-INDEX($E93:$I93,0,AM$8))/(INDEX($D$5:$H$5,0,AM$8+1)-INDEX($D$5:$H$5,0,AM$8))+AL93)))</f>
        <v>34.96334590000108</v>
      </c>
      <c r="AN93" s="5" cm="1">
        <f t="array" ref="AN93">IF(AN$8=-1,AO93,IF(AN$8=99,AM93,IF(AN$8=0,INDEX($E93:$I93,0,AN$6),(INDEX($E93:$I93,0,AN$8+1)-INDEX($E93:$I93,0,AN$8))/(INDEX($D$5:$H$5,0,AN$8+1)-INDEX($D$5:$H$5,0,AN$8))+AM93)))</f>
        <v>34.96334590000108</v>
      </c>
      <c r="AO93" s="5" cm="1">
        <f t="array" ref="AO93">IF(AO$8=-1,AP93,IF(AO$8=99,AN93,IF(AO$8=0,INDEX($E93:$K93,0,AO$6),(INDEX($E93:$K93,0,AO$8+1)-INDEX($E93:$K93,0,AO$8))/(INDEX($D$5:$J$5,0,AO$8+1)-INDEX($D$5:$J$5,0,AO$8))+AN93)))</f>
        <v>34.96334590000108</v>
      </c>
      <c r="AP93" s="5" cm="1">
        <f t="array" ref="AP93">IF(AP$8=-1,AQ93,IF(AP$8=99,AO93,IF(AP$8=0,INDEX($E93:$K93,0,AP$6),(INDEX($E93:$K93,0,AP$8+1)-INDEX($E93:$K93,0,AP$8))/(INDEX($D$5:$J$5,0,AP$8+1)-INDEX($D$5:$J$5,0,AP$8))+AO93)))</f>
        <v>34.96334590000108</v>
      </c>
      <c r="AQ93" s="5" cm="1">
        <f t="array" ref="AQ93">IF(AQ$8=-1,AR93,IF(AQ$8=99,AP93,IF(AQ$8=0,INDEX($E93:$K93,0,AQ$6),(INDEX($E93:$K93,0,AQ$8+1)-INDEX($E93:$K93,0,AQ$8))/(INDEX($D$5:$J$5,0,AQ$8+1)-INDEX($D$5:$J$5,0,AQ$8))+AP93)))</f>
        <v>34.96334590000108</v>
      </c>
      <c r="AR93" s="5" cm="1">
        <f t="array" ref="AR93">IF(AR$8=-1,AS93,IF(AR$8=99,AQ93,IF(AR$8=0,INDEX($E93:$K93,0,AR$6),(INDEX($E93:$K93,0,AR$8+1)-INDEX($E93:$K93,0,AR$8))/(INDEX($D$5:$J$5,0,AR$8+1)-INDEX($D$5:$J$5,0,AR$8))+AQ93)))</f>
        <v>34.96334590000108</v>
      </c>
      <c r="AS93" s="5" cm="1">
        <f t="array" ref="AS93">IF(AS$8=-1,AT93,IF(AS$8=99,AR93,IF(AS$8=0,INDEX($E93:$K93,0,AS$6),(INDEX($E93:$K93,0,AS$8+1)-INDEX($E93:$K93,0,AS$8))/(INDEX($D$5:$J$5,0,AS$8+1)-INDEX($D$5:$J$5,0,AS$8))+AR93)))</f>
        <v>34.96334590000108</v>
      </c>
      <c r="AT93" s="5" cm="1">
        <f t="array" ref="AT93">IF(AT$8=-1,AU93,IF(AT$8=99,AS93,IF(AT$8=0,INDEX($E93:$K93,0,AT$6),(INDEX($E93:$K93,0,AT$8+1)-INDEX($E93:$K93,0,AT$8))/(INDEX($D$5:$J$5,0,AT$8+1)-INDEX($D$5:$J$5,0,AT$8))+AS93)))</f>
        <v>34.96334590000108</v>
      </c>
      <c r="AU93" s="5" cm="1">
        <f t="array" ref="AU93">IF(AU$8=-1,AV93,IF(AU$8=99,AT93,IF(AU$8=0,INDEX($E93:$K93,0,AU$6),(INDEX($E93:$K93,0,AU$8+1)-INDEX($E93:$K93,0,AU$8))/(INDEX($D$5:$J$5,0,AU$8+1)-INDEX($D$5:$J$5,0,AU$8))+AT93)))</f>
        <v>34.96334590000108</v>
      </c>
      <c r="AV93" s="5" cm="1">
        <f t="array" ref="AV93">IF(AV$8=-1,AW93,IF(AV$8=99,AU93,IF(AV$8=0,INDEX($E93:$K93,0,AV$6),(INDEX($E93:$K93,0,AV$8+1)-INDEX($E93:$K93,0,AV$8))/(INDEX($D$5:$J$5,0,AV$8+1)-INDEX($D$5:$J$5,0,AV$8))+AU93)))</f>
        <v>34.96334590000108</v>
      </c>
      <c r="AW93" s="5" cm="1">
        <f t="array" ref="AW93">IF(AW$8=-1,AX93,IF(AW$8=99,AV93,IF(AW$8=0,INDEX($E93:$K93,0,AW$6),(INDEX($E93:$K93,0,AW$8+1)-INDEX($E93:$K93,0,AW$8))/(INDEX($D$5:$J$5,0,AW$8+1)-INDEX($D$5:$J$5,0,AW$8))+AV93)))</f>
        <v>34.96334590000108</v>
      </c>
      <c r="AX93" s="5" cm="1">
        <f t="array" ref="AX93">IF(AX$8=-1,AY93,IF(AX$8=99,AW93,IF(AX$8=0,INDEX($E93:$K93,0,AX$6),(INDEX($E93:$K93,0,AX$8+1)-INDEX($E93:$K93,0,AX$8))/(INDEX($D$5:$J$5,0,AX$8+1)-INDEX($D$5:$J$5,0,AX$8))+AW93)))</f>
        <v>34.96334590000108</v>
      </c>
      <c r="AY93" s="5" cm="1">
        <f t="array" ref="AY93">IF(AY$8=-1,AZ93,IF(AY$8=99,AX93,IF(AY$8=0,INDEX($E93:$K93,0,AY$6),(INDEX($E93:$K93,0,AY$8+1)-INDEX($E93:$K93,0,AY$8))/(INDEX($D$5:$J$5,0,AY$8+1)-INDEX($D$5:$J$5,0,AY$8))+AX93)))</f>
        <v>34.96334590000108</v>
      </c>
      <c r="AZ93" s="5" cm="1">
        <f t="array" ref="AZ93">IF(AZ$8=-1,BA93,IF(AZ$8=99,AY93,IF(AZ$8=0,INDEX($E93:$K93,0,AZ$6),(INDEX($E93:$K93,0,AZ$8+1)-INDEX($E93:$K93,0,AZ$8))/(INDEX($D$5:$J$5,0,AZ$8+1)-INDEX($D$5:$J$5,0,AZ$8))+AY93)))</f>
        <v>34.96334590000108</v>
      </c>
      <c r="BA93" s="5" cm="1">
        <f t="array" ref="BA93">IF(BA$8=-1,BB93,IF(BA$8=99,AZ93,IF(BA$8=0,INDEX($E93:$K93,0,BA$6),(INDEX($E93:$K93,0,BA$8+1)-INDEX($E93:$K93,0,BA$8))/(INDEX($D$5:$J$5,0,BA$8+1)-INDEX($D$5:$J$5,0,BA$8))+AZ93)))</f>
        <v>34.96334590000108</v>
      </c>
      <c r="BB93" s="5" cm="1">
        <f t="array" ref="BB93">IF(BB$8=-1,BC93,IF(BB$8=99,BA93,IF(BB$8=0,INDEX($E93:$K93,0,BB$6),(INDEX($E93:$K93,0,BB$8+1)-INDEX($E93:$K93,0,BB$8))/(INDEX($D$5:$J$5,0,BB$8+1)-INDEX($D$5:$J$5,0,BB$8))+BA93)))</f>
        <v>34.96334590000108</v>
      </c>
      <c r="BC93" s="5" cm="1">
        <f t="array" ref="BC93">IF(BC$8=-1,BD93,IF(BC$8=99,BB93,IF(BC$8=0,INDEX($E93:$K93,0,BC$6),(INDEX($E93:$K93,0,BC$8+1)-INDEX($E93:$K93,0,BC$8))/(INDEX($D$5:$J$5,0,BC$8+1)-INDEX($D$5:$J$5,0,BC$8))+BB93)))</f>
        <v>34.96334590000108</v>
      </c>
      <c r="BD93" s="5" cm="1">
        <f t="array" ref="BD93">IF(BD$8=-1,BE93,IF(BD$8=99,BC93,IF(BD$8=0,INDEX($E93:$K93,0,BD$6),(INDEX($E93:$K93,0,BD$8+1)-INDEX($E93:$K93,0,BD$8))/(INDEX($D$5:$J$5,0,BD$8+1)-INDEX($D$5:$J$5,0,BD$8))+BC93)))</f>
        <v>34.96334590000108</v>
      </c>
      <c r="BE93" s="5" cm="1">
        <f t="array" ref="BE93">IF(BE$8=-1,BF93,IF(BE$8=99,BD93,IF(BE$8=0,INDEX($E93:$K93,0,BE$6),(INDEX($E93:$K93,0,BE$8+1)-INDEX($E93:$K93,0,BE$8))/(INDEX($D$5:$J$5,0,BE$8+1)-INDEX($D$5:$J$5,0,BE$8))+BD93)))</f>
        <v>34.96334590000108</v>
      </c>
      <c r="BF93" s="5" cm="1">
        <f t="array" ref="BF93">IF(BF$8=-1,BG93,IF(BF$8=99,BE93,IF(BF$8=0,INDEX($E93:$K93,0,BF$6),(INDEX($E93:$K93,0,BF$8+1)-INDEX($E93:$K93,0,BF$8))/(INDEX($D$5:$J$5,0,BF$8+1)-INDEX($D$5:$J$5,0,BF$8))+BE93)))</f>
        <v>34.96334590000108</v>
      </c>
      <c r="BG93" s="5" cm="1">
        <f t="array" ref="BG93">IF(BG$8=-1,BH93,IF(BG$8=99,BF93,IF(BG$8=0,INDEX($E93:$K93,0,BG$6),(INDEX($E93:$K93,0,BG$8+1)-INDEX($E93:$K93,0,BG$8))/(INDEX($D$5:$J$5,0,BG$8+1)-INDEX($D$5:$J$5,0,BG$8))+BF93)))</f>
        <v>34.96334590000108</v>
      </c>
      <c r="BH93" s="5" cm="1">
        <f t="array" ref="BH93">IF(BH$8=-1,BI93,IF(BH$8=99,BG93,IF(BH$8=0,INDEX($E93:$K93,0,BH$6),(INDEX($E93:$K93,0,BH$8+1)-INDEX($E93:$K93,0,BH$8))/(INDEX($D$5:$J$5,0,BH$8+1)-INDEX($D$5:$J$5,0,BH$8))+BG93)))</f>
        <v>34.96334590000108</v>
      </c>
      <c r="BI93" s="5" cm="1">
        <f t="array" ref="BI93">IF(BI$8=-1,BJ93,IF(BI$8=99,BH93,IF(BI$8=0,INDEX($E93:$K93,0,BI$6),(INDEX($E93:$K93,0,BI$8+1)-INDEX($E93:$K93,0,BI$8))/(INDEX($D$5:$J$5,0,BI$8+1)-INDEX($D$5:$J$5,0,BI$8))+BH93)))</f>
        <v>34.96334590000108</v>
      </c>
      <c r="BJ93" s="5" cm="1">
        <f t="array" ref="BJ93">IF(BJ$8=-1,BK93,IF(BJ$8=99,BI93,IF(BJ$8=0,INDEX($E93:$K93,0,BJ$6),(INDEX($E93:$K93,0,BJ$8+1)-INDEX($E93:$K93,0,BJ$8))/(INDEX($D$5:$J$5,0,BJ$8+1)-INDEX($D$5:$J$5,0,BJ$8))+BI93)))</f>
        <v>34.96334590000108</v>
      </c>
      <c r="BK93" s="5" cm="1">
        <f t="array" ref="BK93">IF(BK$8=-1,BL93,IF(BK$8=99,BJ93,IF(BK$8=0,INDEX($E93:$K93,0,BK$6),(INDEX($E93:$K93,0,BK$8+1)-INDEX($E93:$K93,0,BK$8))/(INDEX($D$5:$J$5,0,BK$8+1)-INDEX($D$5:$J$5,0,BK$8))+BJ93)))</f>
        <v>34.96334590000108</v>
      </c>
      <c r="BL93" s="5" cm="1">
        <f t="array" ref="BL93">IF(BL$8=-1,BM93,IF(BL$8=99,BK93,IF(BL$8=0,INDEX($E93:$K93,0,BL$6),(INDEX($E93:$K93,0,BL$8+1)-INDEX($E93:$K93,0,BL$8))/(INDEX($D$5:$J$5,0,BL$8+1)-INDEX($D$5:$J$5,0,BL$8))+BK93)))</f>
        <v>34.96334590000108</v>
      </c>
      <c r="BM93" s="5" cm="1">
        <f t="array" ref="BM93">IF(BM$8=-1,BN93,IF(BM$8=99,BL93,IF(BM$8=0,INDEX($E93:$K93,0,BM$6),(INDEX($E93:$K93,0,BM$8+1)-INDEX($E93:$K93,0,BM$8))/(INDEX($D$5:$J$5,0,BM$8+1)-INDEX($D$5:$J$5,0,BM$8))+BL93)))</f>
        <v>34.96334590000108</v>
      </c>
      <c r="BN93" s="5" cm="1">
        <f t="array" ref="BN93">IF(BN$8=-1,BO93,IF(BN$8=99,BM93,IF(BN$8=0,INDEX($E93:$K93,0,BN$6),(INDEX($E93:$K93,0,BN$8+1)-INDEX($E93:$K93,0,BN$8))/(INDEX($D$5:$J$5,0,BN$8+1)-INDEX($D$5:$J$5,0,BN$8))+BM93)))</f>
        <v>34.96334590000108</v>
      </c>
      <c r="BO93" s="5" cm="1">
        <f t="array" ref="BO93">IF(BO$8=-1,BP93,IF(BO$8=99,BN93,IF(BO$8=0,INDEX($E93:$K93,0,BO$6),(INDEX($E93:$K93,0,BO$8+1)-INDEX($E93:$K93,0,BO$8))/(INDEX($D$5:$J$5,0,BO$8+1)-INDEX($D$5:$J$5,0,BO$8))+BN93)))</f>
        <v>34.96334590000108</v>
      </c>
      <c r="BP93" s="5" cm="1">
        <f t="array" ref="BP93">IF(BP$8=-1,BQ93,IF(BP$8=99,BO93,IF(BP$8=0,INDEX($E93:$K93,0,BP$6),(INDEX($E93:$K93,0,BP$8+1)-INDEX($E93:$K93,0,BP$8))/(INDEX($D$5:$J$5,0,BP$8+1)-INDEX($D$5:$J$5,0,BP$8))+BO93)))</f>
        <v>34.96334590000108</v>
      </c>
      <c r="BQ93" s="5" cm="1">
        <f t="array" ref="BQ93">IF(BQ$8=-1,BR93,IF(BQ$8=99,BP93,IF(BQ$8=0,INDEX($E93:$K93,0,BQ$6),(INDEX($E93:$K93,0,BQ$8+1)-INDEX($E93:$K93,0,BQ$8))/(INDEX($D$5:$J$5,0,BQ$8+1)-INDEX($D$5:$J$5,0,BQ$8))+BP93)))</f>
        <v>34.96334590000108</v>
      </c>
      <c r="BR93" s="5" cm="1">
        <f t="array" ref="BR93">IF(BR$8=-1,BS93,IF(BR$8=99,BQ93,IF(BR$8=0,INDEX($E93:$K93,0,BR$6),(INDEX($E93:$K93,0,BR$8+1)-INDEX($E93:$K93,0,BR$8))/(INDEX($D$5:$J$5,0,BR$8+1)-INDEX($D$5:$J$5,0,BR$8))+BQ93)))</f>
        <v>34.96334590000108</v>
      </c>
    </row>
    <row r="94" spans="1:70">
      <c r="A94" t="s">
        <v>16</v>
      </c>
      <c r="B94" s="223" t="str">
        <f t="shared" si="154"/>
        <v>CEK</v>
      </c>
      <c r="C94" s="70" t="str">
        <f t="shared" si="151"/>
        <v>Commercial - Cooking</v>
      </c>
      <c r="D94" s="70" t="s">
        <v>66</v>
      </c>
      <c r="E94" s="79">
        <f t="shared" si="155"/>
        <v>74.498085701673531</v>
      </c>
      <c r="F94" s="87">
        <f t="shared" si="155"/>
        <v>64.377434268608681</v>
      </c>
      <c r="G94" s="87">
        <f t="shared" si="152"/>
        <v>64.377434268608681</v>
      </c>
      <c r="H94" s="87">
        <f t="shared" si="156"/>
        <v>35.224912564223793</v>
      </c>
      <c r="I94" s="131">
        <f t="shared" si="157"/>
        <v>35.224912564223793</v>
      </c>
      <c r="J94" s="131">
        <f t="shared" si="153"/>
        <v>35.224912564223793</v>
      </c>
      <c r="K94" s="131">
        <f t="shared" si="153"/>
        <v>35.224912564223793</v>
      </c>
      <c r="L94" s="5" cm="1">
        <f t="array" ref="L94">IF(L$8=-1,M94,IF(L$8=99,I94,IF(L$8=0,INDEX($E94:$I94,0,L$6),(INDEX($E94:$I94,0,L$8+1)-INDEX($E94:$I94,0,L$8))/(INDEX($D$5:$H$5,0,L$8+1)-INDEX($D$5:$H$5,0,L$8))+I94)))</f>
        <v>74.498085701673531</v>
      </c>
      <c r="M94" s="5" cm="1">
        <f t="array" ref="M94">IF(M$8=-1,N94,IF(M$8=99,L94,IF(M$8=0,INDEX($E94:$I94,0,M$6),(INDEX($E94:$I94,0,M$8+1)-INDEX($E94:$I94,0,M$8))/(INDEX($D$5:$H$5,0,M$8+1)-INDEX($D$5:$H$5,0,M$8))+L94)))</f>
        <v>72.473955415060558</v>
      </c>
      <c r="N94" s="5" cm="1">
        <f t="array" ref="N94">IF(N$8=-1,O94,IF(N$8=99,M94,IF(N$8=0,INDEX($E94:$I94,0,N$6),(INDEX($E94:$I94,0,N$8+1)-INDEX($E94:$I94,0,N$8))/(INDEX($D$5:$H$5,0,N$8+1)-INDEX($D$5:$H$5,0,N$8))+M94)))</f>
        <v>70.449825128447586</v>
      </c>
      <c r="O94" s="5" cm="1">
        <f t="array" ref="O94">IF(O$8=-1,P94,IF(O$8=99,N94,IF(O$8=0,INDEX($E94:$I94,0,O$6),(INDEX($E94:$I94,0,O$8+1)-INDEX($E94:$I94,0,O$8))/(INDEX($D$5:$H$5,0,O$8+1)-INDEX($D$5:$H$5,0,O$8))+N94)))</f>
        <v>68.425694841834613</v>
      </c>
      <c r="P94" s="5" cm="1">
        <f t="array" ref="P94">IF(P$8=-1,Q94,IF(P$8=99,O94,IF(P$8=0,INDEX($E94:$I94,0,P$6),(INDEX($E94:$I94,0,P$8+1)-INDEX($E94:$I94,0,P$8))/(INDEX($D$5:$H$5,0,P$8+1)-INDEX($D$5:$H$5,0,P$8))+O94)))</f>
        <v>66.40156455522164</v>
      </c>
      <c r="Q94" s="5" cm="1">
        <f t="array" ref="Q94">IF(Q$8=-1,R94,IF(Q$8=99,P94,IF(Q$8=0,INDEX($E94:$I94,0,Q$6),(INDEX($E94:$I94,0,Q$8+1)-INDEX($E94:$I94,0,Q$8))/(INDEX($D$5:$H$5,0,Q$8+1)-INDEX($D$5:$H$5,0,Q$8))+P94)))</f>
        <v>64.377434268608681</v>
      </c>
      <c r="R94" s="5" cm="1">
        <f t="array" ref="R94">IF(R$8=-1,S94,IF(R$8=99,Q94,IF(R$8=0,INDEX($E94:$I94,0,R$6),(INDEX($E94:$I94,0,R$8+1)-INDEX($E94:$I94,0,R$8))/(INDEX($D$5:$H$5,0,R$8+1)-INDEX($D$5:$H$5,0,R$8))+Q94)))</f>
        <v>64.377434268608681</v>
      </c>
      <c r="S94" s="5" cm="1">
        <f t="array" ref="S94">IF(S$8=-1,T94,IF(S$8=99,R94,IF(S$8=0,INDEX($E94:$I94,0,S$6),(INDEX($E94:$I94,0,S$8+1)-INDEX($E94:$I94,0,S$8))/(INDEX($D$5:$H$5,0,S$8+1)-INDEX($D$5:$H$5,0,S$8))+R94)))</f>
        <v>64.377434268608681</v>
      </c>
      <c r="T94" s="5" cm="1">
        <f t="array" ref="T94">IF(T$8=-1,U94,IF(T$8=99,S94,IF(T$8=0,INDEX($E94:$I94,0,T$6),(INDEX($E94:$I94,0,T$8+1)-INDEX($E94:$I94,0,T$8))/(INDEX($D$5:$H$5,0,T$8+1)-INDEX($D$5:$H$5,0,T$8))+S94)))</f>
        <v>64.377434268608681</v>
      </c>
      <c r="U94" s="5" cm="1">
        <f t="array" ref="U94">IF(U$8=-1,V94,IF(U$8=99,T94,IF(U$8=0,INDEX($E94:$I94,0,U$6),(INDEX($E94:$I94,0,U$8+1)-INDEX($E94:$I94,0,U$8))/(INDEX($D$5:$H$5,0,U$8+1)-INDEX($D$5:$H$5,0,U$8))+T94)))</f>
        <v>61.462182098170189</v>
      </c>
      <c r="V94" s="5" cm="1">
        <f t="array" ref="V94">IF(V$8=-1,W94,IF(V$8=99,U94,IF(V$8=0,INDEX($E94:$I94,0,V$6),(INDEX($E94:$I94,0,V$8+1)-INDEX($E94:$I94,0,V$8))/(INDEX($D$5:$H$5,0,V$8+1)-INDEX($D$5:$H$5,0,V$8))+U94)))</f>
        <v>58.546929927731696</v>
      </c>
      <c r="W94" s="5" cm="1">
        <f t="array" ref="W94">IF(W$8=-1,X94,IF(W$8=99,V94,IF(W$8=0,INDEX($E94:$I94,0,W$6),(INDEX($E94:$I94,0,W$8+1)-INDEX($E94:$I94,0,W$8))/(INDEX($D$5:$H$5,0,W$8+1)-INDEX($D$5:$H$5,0,W$8))+V94)))</f>
        <v>55.631677757293204</v>
      </c>
      <c r="X94" s="5" cm="1">
        <f t="array" ref="X94">IF(X$8=-1,Y94,IF(X$8=99,W94,IF(X$8=0,INDEX($E94:$I94,0,X$6),(INDEX($E94:$I94,0,X$8+1)-INDEX($E94:$I94,0,X$8))/(INDEX($D$5:$H$5,0,X$8+1)-INDEX($D$5:$H$5,0,X$8))+W94)))</f>
        <v>52.716425586854712</v>
      </c>
      <c r="Y94" s="5" cm="1">
        <f t="array" ref="Y94">IF(Y$8=-1,Z94,IF(Y$8=99,X94,IF(Y$8=0,INDEX($E94:$I94,0,Y$6),(INDEX($E94:$I94,0,Y$8+1)-INDEX($E94:$I94,0,Y$8))/(INDEX($D$5:$H$5,0,Y$8+1)-INDEX($D$5:$H$5,0,Y$8))+X94)))</f>
        <v>49.801173416416219</v>
      </c>
      <c r="Z94" s="5" cm="1">
        <f t="array" ref="Z94">IF(Z$8=-1,AA94,IF(Z$8=99,Y94,IF(Z$8=0,INDEX($E94:$I94,0,Z$6),(INDEX($E94:$I94,0,Z$8+1)-INDEX($E94:$I94,0,Z$8))/(INDEX($D$5:$H$5,0,Z$8+1)-INDEX($D$5:$H$5,0,Z$8))+Y94)))</f>
        <v>46.885921245977727</v>
      </c>
      <c r="AA94" s="5" cm="1">
        <f t="array" ref="AA94">IF(AA$8=-1,AB94,IF(AA$8=99,Z94,IF(AA$8=0,INDEX($E94:$I94,0,AA$6),(INDEX($E94:$I94,0,AA$8+1)-INDEX($E94:$I94,0,AA$8))/(INDEX($D$5:$H$5,0,AA$8+1)-INDEX($D$5:$H$5,0,AA$8))+Z94)))</f>
        <v>43.970669075539234</v>
      </c>
      <c r="AB94" s="5" cm="1">
        <f t="array" ref="AB94">IF(AB$8=-1,AC94,IF(AB$8=99,AA94,IF(AB$8=0,INDEX($E94:$I94,0,AB$6),(INDEX($E94:$I94,0,AB$8+1)-INDEX($E94:$I94,0,AB$8))/(INDEX($D$5:$H$5,0,AB$8+1)-INDEX($D$5:$H$5,0,AB$8))+AA94)))</f>
        <v>41.055416905100742</v>
      </c>
      <c r="AC94" s="5" cm="1">
        <f t="array" ref="AC94">IF(AC$8=-1,AD94,IF(AC$8=99,AB94,IF(AC$8=0,INDEX($E94:$I94,0,AC$6),(INDEX($E94:$I94,0,AC$8+1)-INDEX($E94:$I94,0,AC$8))/(INDEX($D$5:$H$5,0,AC$8+1)-INDEX($D$5:$H$5,0,AC$8))+AB94)))</f>
        <v>38.14016473466225</v>
      </c>
      <c r="AD94" s="5" cm="1">
        <f t="array" ref="AD94">IF(AD$8=-1,AE94,IF(AD$8=99,AC94,IF(AD$8=0,INDEX($E94:$I94,0,AD$6),(INDEX($E94:$I94,0,AD$8+1)-INDEX($E94:$I94,0,AD$8))/(INDEX($D$5:$H$5,0,AD$8+1)-INDEX($D$5:$H$5,0,AD$8))+AC94)))</f>
        <v>35.224912564223793</v>
      </c>
      <c r="AE94" s="5" cm="1">
        <f t="array" ref="AE94">IF(AE$8=-1,AF94,IF(AE$8=99,AD94,IF(AE$8=0,INDEX($E94:$I94,0,AE$6),(INDEX($E94:$I94,0,AE$8+1)-INDEX($E94:$I94,0,AE$8))/(INDEX($D$5:$H$5,0,AE$8+1)-INDEX($D$5:$H$5,0,AE$8))+AD94)))</f>
        <v>35.224912564223793</v>
      </c>
      <c r="AF94" s="5" cm="1">
        <f t="array" ref="AF94">IF(AF$8=-1,AG94,IF(AF$8=99,AE94,IF(AF$8=0,INDEX($E94:$I94,0,AF$6),(INDEX($E94:$I94,0,AF$8+1)-INDEX($E94:$I94,0,AF$8))/(INDEX($D$5:$H$5,0,AF$8+1)-INDEX($D$5:$H$5,0,AF$8))+AE94)))</f>
        <v>35.224912564223793</v>
      </c>
      <c r="AG94" s="5" cm="1">
        <f t="array" ref="AG94">IF(AG$8=-1,AH94,IF(AG$8=99,AF94,IF(AG$8=0,INDEX($E94:$I94,0,AG$6),(INDEX($E94:$I94,0,AG$8+1)-INDEX($E94:$I94,0,AG$8))/(INDEX($D$5:$H$5,0,AG$8+1)-INDEX($D$5:$H$5,0,AG$8))+AF94)))</f>
        <v>35.224912564223793</v>
      </c>
      <c r="AH94" s="5" cm="1">
        <f t="array" ref="AH94">IF(AH$8=-1,AI94,IF(AH$8=99,AG94,IF(AH$8=0,INDEX($E94:$I94,0,AH$6),(INDEX($E94:$I94,0,AH$8+1)-INDEX($E94:$I94,0,AH$8))/(INDEX($D$5:$H$5,0,AH$8+1)-INDEX($D$5:$H$5,0,AH$8))+AG94)))</f>
        <v>35.224912564223793</v>
      </c>
      <c r="AI94" s="5" cm="1">
        <f t="array" ref="AI94">IF(AI$8=-1,AJ94,IF(AI$8=99,AH94,IF(AI$8=0,INDEX($E94:$I94,0,AI$6),(INDEX($E94:$I94,0,AI$8+1)-INDEX($E94:$I94,0,AI$8))/(INDEX($D$5:$H$5,0,AI$8+1)-INDEX($D$5:$H$5,0,AI$8))+AH94)))</f>
        <v>35.224912564223793</v>
      </c>
      <c r="AJ94" s="5" cm="1">
        <f t="array" ref="AJ94">IF(AJ$8=-1,AK94,IF(AJ$8=99,AI94,IF(AJ$8=0,INDEX($E94:$I94,0,AJ$6),(INDEX($E94:$I94,0,AJ$8+1)-INDEX($E94:$I94,0,AJ$8))/(INDEX($D$5:$H$5,0,AJ$8+1)-INDEX($D$5:$H$5,0,AJ$8))+AI94)))</f>
        <v>35.224912564223793</v>
      </c>
      <c r="AK94" s="5" cm="1">
        <f t="array" ref="AK94">IF(AK$8=-1,AL94,IF(AK$8=99,AJ94,IF(AK$8=0,INDEX($E94:$I94,0,AK$6),(INDEX($E94:$I94,0,AK$8+1)-INDEX($E94:$I94,0,AK$8))/(INDEX($D$5:$H$5,0,AK$8+1)-INDEX($D$5:$H$5,0,AK$8))+AJ94)))</f>
        <v>35.224912564223793</v>
      </c>
      <c r="AL94" s="5" cm="1">
        <f t="array" ref="AL94">IF(AL$8=-1,AM94,IF(AL$8=99,AK94,IF(AL$8=0,INDEX($E94:$I94,0,AL$6),(INDEX($E94:$I94,0,AL$8+1)-INDEX($E94:$I94,0,AL$8))/(INDEX($D$5:$H$5,0,AL$8+1)-INDEX($D$5:$H$5,0,AL$8))+AK94)))</f>
        <v>35.224912564223793</v>
      </c>
      <c r="AM94" s="5" cm="1">
        <f t="array" ref="AM94">IF(AM$8=-1,AN94,IF(AM$8=99,AL94,IF(AM$8=0,INDEX($E94:$I94,0,AM$6),(INDEX($E94:$I94,0,AM$8+1)-INDEX($E94:$I94,0,AM$8))/(INDEX($D$5:$H$5,0,AM$8+1)-INDEX($D$5:$H$5,0,AM$8))+AL94)))</f>
        <v>35.224912564223793</v>
      </c>
      <c r="AN94" s="5" cm="1">
        <f t="array" ref="AN94">IF(AN$8=-1,AO94,IF(AN$8=99,AM94,IF(AN$8=0,INDEX($E94:$I94,0,AN$6),(INDEX($E94:$I94,0,AN$8+1)-INDEX($E94:$I94,0,AN$8))/(INDEX($D$5:$H$5,0,AN$8+1)-INDEX($D$5:$H$5,0,AN$8))+AM94)))</f>
        <v>35.224912564223793</v>
      </c>
      <c r="AO94" s="5" cm="1">
        <f t="array" ref="AO94">IF(AO$8=-1,AP94,IF(AO$8=99,AN94,IF(AO$8=0,INDEX($E94:$K94,0,AO$6),(INDEX($E94:$K94,0,AO$8+1)-INDEX($E94:$K94,0,AO$8))/(INDEX($D$5:$J$5,0,AO$8+1)-INDEX($D$5:$J$5,0,AO$8))+AN94)))</f>
        <v>35.224912564223793</v>
      </c>
      <c r="AP94" s="5" cm="1">
        <f t="array" ref="AP94">IF(AP$8=-1,AQ94,IF(AP$8=99,AO94,IF(AP$8=0,INDEX($E94:$K94,0,AP$6),(INDEX($E94:$K94,0,AP$8+1)-INDEX($E94:$K94,0,AP$8))/(INDEX($D$5:$J$5,0,AP$8+1)-INDEX($D$5:$J$5,0,AP$8))+AO94)))</f>
        <v>35.224912564223793</v>
      </c>
      <c r="AQ94" s="5" cm="1">
        <f t="array" ref="AQ94">IF(AQ$8=-1,AR94,IF(AQ$8=99,AP94,IF(AQ$8=0,INDEX($E94:$K94,0,AQ$6),(INDEX($E94:$K94,0,AQ$8+1)-INDEX($E94:$K94,0,AQ$8))/(INDEX($D$5:$J$5,0,AQ$8+1)-INDEX($D$5:$J$5,0,AQ$8))+AP94)))</f>
        <v>35.224912564223793</v>
      </c>
      <c r="AR94" s="5" cm="1">
        <f t="array" ref="AR94">IF(AR$8=-1,AS94,IF(AR$8=99,AQ94,IF(AR$8=0,INDEX($E94:$K94,0,AR$6),(INDEX($E94:$K94,0,AR$8+1)-INDEX($E94:$K94,0,AR$8))/(INDEX($D$5:$J$5,0,AR$8+1)-INDEX($D$5:$J$5,0,AR$8))+AQ94)))</f>
        <v>35.224912564223793</v>
      </c>
      <c r="AS94" s="5" cm="1">
        <f t="array" ref="AS94">IF(AS$8=-1,AT94,IF(AS$8=99,AR94,IF(AS$8=0,INDEX($E94:$K94,0,AS$6),(INDEX($E94:$K94,0,AS$8+1)-INDEX($E94:$K94,0,AS$8))/(INDEX($D$5:$J$5,0,AS$8+1)-INDEX($D$5:$J$5,0,AS$8))+AR94)))</f>
        <v>35.224912564223793</v>
      </c>
      <c r="AT94" s="5" cm="1">
        <f t="array" ref="AT94">IF(AT$8=-1,AU94,IF(AT$8=99,AS94,IF(AT$8=0,INDEX($E94:$K94,0,AT$6),(INDEX($E94:$K94,0,AT$8+1)-INDEX($E94:$K94,0,AT$8))/(INDEX($D$5:$J$5,0,AT$8+1)-INDEX($D$5:$J$5,0,AT$8))+AS94)))</f>
        <v>35.224912564223793</v>
      </c>
      <c r="AU94" s="5" cm="1">
        <f t="array" ref="AU94">IF(AU$8=-1,AV94,IF(AU$8=99,AT94,IF(AU$8=0,INDEX($E94:$K94,0,AU$6),(INDEX($E94:$K94,0,AU$8+1)-INDEX($E94:$K94,0,AU$8))/(INDEX($D$5:$J$5,0,AU$8+1)-INDEX($D$5:$J$5,0,AU$8))+AT94)))</f>
        <v>35.224912564223793</v>
      </c>
      <c r="AV94" s="5" cm="1">
        <f t="array" ref="AV94">IF(AV$8=-1,AW94,IF(AV$8=99,AU94,IF(AV$8=0,INDEX($E94:$K94,0,AV$6),(INDEX($E94:$K94,0,AV$8+1)-INDEX($E94:$K94,0,AV$8))/(INDEX($D$5:$J$5,0,AV$8+1)-INDEX($D$5:$J$5,0,AV$8))+AU94)))</f>
        <v>35.224912564223793</v>
      </c>
      <c r="AW94" s="5" cm="1">
        <f t="array" ref="AW94">IF(AW$8=-1,AX94,IF(AW$8=99,AV94,IF(AW$8=0,INDEX($E94:$K94,0,AW$6),(INDEX($E94:$K94,0,AW$8+1)-INDEX($E94:$K94,0,AW$8))/(INDEX($D$5:$J$5,0,AW$8+1)-INDEX($D$5:$J$5,0,AW$8))+AV94)))</f>
        <v>35.224912564223793</v>
      </c>
      <c r="AX94" s="5" cm="1">
        <f t="array" ref="AX94">IF(AX$8=-1,AY94,IF(AX$8=99,AW94,IF(AX$8=0,INDEX($E94:$K94,0,AX$6),(INDEX($E94:$K94,0,AX$8+1)-INDEX($E94:$K94,0,AX$8))/(INDEX($D$5:$J$5,0,AX$8+1)-INDEX($D$5:$J$5,0,AX$8))+AW94)))</f>
        <v>35.224912564223793</v>
      </c>
      <c r="AY94" s="5" cm="1">
        <f t="array" ref="AY94">IF(AY$8=-1,AZ94,IF(AY$8=99,AX94,IF(AY$8=0,INDEX($E94:$K94,0,AY$6),(INDEX($E94:$K94,0,AY$8+1)-INDEX($E94:$K94,0,AY$8))/(INDEX($D$5:$J$5,0,AY$8+1)-INDEX($D$5:$J$5,0,AY$8))+AX94)))</f>
        <v>35.224912564223793</v>
      </c>
      <c r="AZ94" s="5" cm="1">
        <f t="array" ref="AZ94">IF(AZ$8=-1,BA94,IF(AZ$8=99,AY94,IF(AZ$8=0,INDEX($E94:$K94,0,AZ$6),(INDEX($E94:$K94,0,AZ$8+1)-INDEX($E94:$K94,0,AZ$8))/(INDEX($D$5:$J$5,0,AZ$8+1)-INDEX($D$5:$J$5,0,AZ$8))+AY94)))</f>
        <v>35.224912564223793</v>
      </c>
      <c r="BA94" s="5" cm="1">
        <f t="array" ref="BA94">IF(BA$8=-1,BB94,IF(BA$8=99,AZ94,IF(BA$8=0,INDEX($E94:$K94,0,BA$6),(INDEX($E94:$K94,0,BA$8+1)-INDEX($E94:$K94,0,BA$8))/(INDEX($D$5:$J$5,0,BA$8+1)-INDEX($D$5:$J$5,0,BA$8))+AZ94)))</f>
        <v>35.224912564223793</v>
      </c>
      <c r="BB94" s="5" cm="1">
        <f t="array" ref="BB94">IF(BB$8=-1,BC94,IF(BB$8=99,BA94,IF(BB$8=0,INDEX($E94:$K94,0,BB$6),(INDEX($E94:$K94,0,BB$8+1)-INDEX($E94:$K94,0,BB$8))/(INDEX($D$5:$J$5,0,BB$8+1)-INDEX($D$5:$J$5,0,BB$8))+BA94)))</f>
        <v>35.224912564223793</v>
      </c>
      <c r="BC94" s="5" cm="1">
        <f t="array" ref="BC94">IF(BC$8=-1,BD94,IF(BC$8=99,BB94,IF(BC$8=0,INDEX($E94:$K94,0,BC$6),(INDEX($E94:$K94,0,BC$8+1)-INDEX($E94:$K94,0,BC$8))/(INDEX($D$5:$J$5,0,BC$8+1)-INDEX($D$5:$J$5,0,BC$8))+BB94)))</f>
        <v>35.224912564223793</v>
      </c>
      <c r="BD94" s="5" cm="1">
        <f t="array" ref="BD94">IF(BD$8=-1,BE94,IF(BD$8=99,BC94,IF(BD$8=0,INDEX($E94:$K94,0,BD$6),(INDEX($E94:$K94,0,BD$8+1)-INDEX($E94:$K94,0,BD$8))/(INDEX($D$5:$J$5,0,BD$8+1)-INDEX($D$5:$J$5,0,BD$8))+BC94)))</f>
        <v>35.224912564223793</v>
      </c>
      <c r="BE94" s="5" cm="1">
        <f t="array" ref="BE94">IF(BE$8=-1,BF94,IF(BE$8=99,BD94,IF(BE$8=0,INDEX($E94:$K94,0,BE$6),(INDEX($E94:$K94,0,BE$8+1)-INDEX($E94:$K94,0,BE$8))/(INDEX($D$5:$J$5,0,BE$8+1)-INDEX($D$5:$J$5,0,BE$8))+BD94)))</f>
        <v>35.224912564223793</v>
      </c>
      <c r="BF94" s="5" cm="1">
        <f t="array" ref="BF94">IF(BF$8=-1,BG94,IF(BF$8=99,BE94,IF(BF$8=0,INDEX($E94:$K94,0,BF$6),(INDEX($E94:$K94,0,BF$8+1)-INDEX($E94:$K94,0,BF$8))/(INDEX($D$5:$J$5,0,BF$8+1)-INDEX($D$5:$J$5,0,BF$8))+BE94)))</f>
        <v>35.224912564223793</v>
      </c>
      <c r="BG94" s="5" cm="1">
        <f t="array" ref="BG94">IF(BG$8=-1,BH94,IF(BG$8=99,BF94,IF(BG$8=0,INDEX($E94:$K94,0,BG$6),(INDEX($E94:$K94,0,BG$8+1)-INDEX($E94:$K94,0,BG$8))/(INDEX($D$5:$J$5,0,BG$8+1)-INDEX($D$5:$J$5,0,BG$8))+BF94)))</f>
        <v>35.224912564223793</v>
      </c>
      <c r="BH94" s="5" cm="1">
        <f t="array" ref="BH94">IF(BH$8=-1,BI94,IF(BH$8=99,BG94,IF(BH$8=0,INDEX($E94:$K94,0,BH$6),(INDEX($E94:$K94,0,BH$8+1)-INDEX($E94:$K94,0,BH$8))/(INDEX($D$5:$J$5,0,BH$8+1)-INDEX($D$5:$J$5,0,BH$8))+BG94)))</f>
        <v>35.224912564223793</v>
      </c>
      <c r="BI94" s="5" cm="1">
        <f t="array" ref="BI94">IF(BI$8=-1,BJ94,IF(BI$8=99,BH94,IF(BI$8=0,INDEX($E94:$K94,0,BI$6),(INDEX($E94:$K94,0,BI$8+1)-INDEX($E94:$K94,0,BI$8))/(INDEX($D$5:$J$5,0,BI$8+1)-INDEX($D$5:$J$5,0,BI$8))+BH94)))</f>
        <v>35.224912564223793</v>
      </c>
      <c r="BJ94" s="5" cm="1">
        <f t="array" ref="BJ94">IF(BJ$8=-1,BK94,IF(BJ$8=99,BI94,IF(BJ$8=0,INDEX($E94:$K94,0,BJ$6),(INDEX($E94:$K94,0,BJ$8+1)-INDEX($E94:$K94,0,BJ$8))/(INDEX($D$5:$J$5,0,BJ$8+1)-INDEX($D$5:$J$5,0,BJ$8))+BI94)))</f>
        <v>35.224912564223793</v>
      </c>
      <c r="BK94" s="5" cm="1">
        <f t="array" ref="BK94">IF(BK$8=-1,BL94,IF(BK$8=99,BJ94,IF(BK$8=0,INDEX($E94:$K94,0,BK$6),(INDEX($E94:$K94,0,BK$8+1)-INDEX($E94:$K94,0,BK$8))/(INDEX($D$5:$J$5,0,BK$8+1)-INDEX($D$5:$J$5,0,BK$8))+BJ94)))</f>
        <v>35.224912564223793</v>
      </c>
      <c r="BL94" s="5" cm="1">
        <f t="array" ref="BL94">IF(BL$8=-1,BM94,IF(BL$8=99,BK94,IF(BL$8=0,INDEX($E94:$K94,0,BL$6),(INDEX($E94:$K94,0,BL$8+1)-INDEX($E94:$K94,0,BL$8))/(INDEX($D$5:$J$5,0,BL$8+1)-INDEX($D$5:$J$5,0,BL$8))+BK94)))</f>
        <v>35.224912564223793</v>
      </c>
      <c r="BM94" s="5" cm="1">
        <f t="array" ref="BM94">IF(BM$8=-1,BN94,IF(BM$8=99,BL94,IF(BM$8=0,INDEX($E94:$K94,0,BM$6),(INDEX($E94:$K94,0,BM$8+1)-INDEX($E94:$K94,0,BM$8))/(INDEX($D$5:$J$5,0,BM$8+1)-INDEX($D$5:$J$5,0,BM$8))+BL94)))</f>
        <v>35.224912564223793</v>
      </c>
      <c r="BN94" s="5" cm="1">
        <f t="array" ref="BN94">IF(BN$8=-1,BO94,IF(BN$8=99,BM94,IF(BN$8=0,INDEX($E94:$K94,0,BN$6),(INDEX($E94:$K94,0,BN$8+1)-INDEX($E94:$K94,0,BN$8))/(INDEX($D$5:$J$5,0,BN$8+1)-INDEX($D$5:$J$5,0,BN$8))+BM94)))</f>
        <v>35.224912564223793</v>
      </c>
      <c r="BO94" s="5" cm="1">
        <f t="array" ref="BO94">IF(BO$8=-1,BP94,IF(BO$8=99,BN94,IF(BO$8=0,INDEX($E94:$K94,0,BO$6),(INDEX($E94:$K94,0,BO$8+1)-INDEX($E94:$K94,0,BO$8))/(INDEX($D$5:$J$5,0,BO$8+1)-INDEX($D$5:$J$5,0,BO$8))+BN94)))</f>
        <v>35.224912564223793</v>
      </c>
      <c r="BP94" s="5" cm="1">
        <f t="array" ref="BP94">IF(BP$8=-1,BQ94,IF(BP$8=99,BO94,IF(BP$8=0,INDEX($E94:$K94,0,BP$6),(INDEX($E94:$K94,0,BP$8+1)-INDEX($E94:$K94,0,BP$8))/(INDEX($D$5:$J$5,0,BP$8+1)-INDEX($D$5:$J$5,0,BP$8))+BO94)))</f>
        <v>35.224912564223793</v>
      </c>
      <c r="BQ94" s="5" cm="1">
        <f t="array" ref="BQ94">IF(BQ$8=-1,BR94,IF(BQ$8=99,BP94,IF(BQ$8=0,INDEX($E94:$K94,0,BQ$6),(INDEX($E94:$K94,0,BQ$8+1)-INDEX($E94:$K94,0,BQ$8))/(INDEX($D$5:$J$5,0,BQ$8+1)-INDEX($D$5:$J$5,0,BQ$8))+BP94)))</f>
        <v>35.224912564223793</v>
      </c>
      <c r="BR94" s="5" cm="1">
        <f t="array" ref="BR94">IF(BR$8=-1,BS94,IF(BR$8=99,BQ94,IF(BR$8=0,INDEX($E94:$K94,0,BR$6),(INDEX($E94:$K94,0,BR$8+1)-INDEX($E94:$K94,0,BR$8))/(INDEX($D$5:$J$5,0,BR$8+1)-INDEX($D$5:$J$5,0,BR$8))+BQ94)))</f>
        <v>35.224912564223793</v>
      </c>
    </row>
    <row r="95" spans="1:70">
      <c r="A95" t="s">
        <v>16</v>
      </c>
      <c r="B95" s="223" t="str">
        <f t="shared" si="154"/>
        <v>CEL</v>
      </c>
      <c r="C95" s="70" t="str">
        <f t="shared" si="151"/>
        <v>Commercial - Lighting</v>
      </c>
      <c r="D95" s="70" t="s">
        <v>66</v>
      </c>
      <c r="E95" s="79">
        <f t="shared" si="155"/>
        <v>915.10615144128838</v>
      </c>
      <c r="F95" s="87">
        <f t="shared" si="155"/>
        <v>802.64469417063674</v>
      </c>
      <c r="G95" s="87">
        <f t="shared" si="152"/>
        <v>802.64469417063674</v>
      </c>
      <c r="H95" s="87">
        <f t="shared" si="156"/>
        <v>435.06078426651385</v>
      </c>
      <c r="I95" s="131">
        <f t="shared" si="157"/>
        <v>435.06078426651385</v>
      </c>
      <c r="J95" s="131">
        <f t="shared" si="153"/>
        <v>435.06078426651385</v>
      </c>
      <c r="K95" s="131">
        <f t="shared" si="153"/>
        <v>435.06078426651385</v>
      </c>
      <c r="L95" s="5" cm="1">
        <f t="array" ref="L95">IF(L$8=-1,M95,IF(L$8=99,I95,IF(L$8=0,INDEX($E95:$I95,0,L$6),(INDEX($E95:$I95,0,L$8+1)-INDEX($E95:$I95,0,L$8))/(INDEX($D$5:$H$5,0,L$8+1)-INDEX($D$5:$H$5,0,L$8))+I95)))</f>
        <v>915.10615144128838</v>
      </c>
      <c r="M95" s="5" cm="1">
        <f t="array" ref="M95">IF(M$8=-1,N95,IF(M$8=99,L95,IF(M$8=0,INDEX($E95:$I95,0,M$6),(INDEX($E95:$I95,0,M$8+1)-INDEX($E95:$I95,0,M$8))/(INDEX($D$5:$H$5,0,M$8+1)-INDEX($D$5:$H$5,0,M$8))+L95)))</f>
        <v>892.61385998715809</v>
      </c>
      <c r="N95" s="5" cm="1">
        <f t="array" ref="N95">IF(N$8=-1,O95,IF(N$8=99,M95,IF(N$8=0,INDEX($E95:$I95,0,N$6),(INDEX($E95:$I95,0,N$8+1)-INDEX($E95:$I95,0,N$8))/(INDEX($D$5:$H$5,0,N$8+1)-INDEX($D$5:$H$5,0,N$8))+M95)))</f>
        <v>870.12156853302781</v>
      </c>
      <c r="O95" s="5" cm="1">
        <f t="array" ref="O95">IF(O$8=-1,P95,IF(O$8=99,N95,IF(O$8=0,INDEX($E95:$I95,0,O$6),(INDEX($E95:$I95,0,O$8+1)-INDEX($E95:$I95,0,O$8))/(INDEX($D$5:$H$5,0,O$8+1)-INDEX($D$5:$H$5,0,O$8))+N95)))</f>
        <v>847.62927707889753</v>
      </c>
      <c r="P95" s="5" cm="1">
        <f t="array" ref="P95">IF(P$8=-1,Q95,IF(P$8=99,O95,IF(P$8=0,INDEX($E95:$I95,0,P$6),(INDEX($E95:$I95,0,P$8+1)-INDEX($E95:$I95,0,P$8))/(INDEX($D$5:$H$5,0,P$8+1)-INDEX($D$5:$H$5,0,P$8))+O95)))</f>
        <v>825.13698562476725</v>
      </c>
      <c r="Q95" s="5" cm="1">
        <f t="array" ref="Q95">IF(Q$8=-1,R95,IF(Q$8=99,P95,IF(Q$8=0,INDEX($E95:$I95,0,Q$6),(INDEX($E95:$I95,0,Q$8+1)-INDEX($E95:$I95,0,Q$8))/(INDEX($D$5:$H$5,0,Q$8+1)-INDEX($D$5:$H$5,0,Q$8))+P95)))</f>
        <v>802.64469417063674</v>
      </c>
      <c r="R95" s="5" cm="1">
        <f t="array" ref="R95">IF(R$8=-1,S95,IF(R$8=99,Q95,IF(R$8=0,INDEX($E95:$I95,0,R$6),(INDEX($E95:$I95,0,R$8+1)-INDEX($E95:$I95,0,R$8))/(INDEX($D$5:$H$5,0,R$8+1)-INDEX($D$5:$H$5,0,R$8))+Q95)))</f>
        <v>802.64469417063674</v>
      </c>
      <c r="S95" s="5" cm="1">
        <f t="array" ref="S95">IF(S$8=-1,T95,IF(S$8=99,R95,IF(S$8=0,INDEX($E95:$I95,0,S$6),(INDEX($E95:$I95,0,S$8+1)-INDEX($E95:$I95,0,S$8))/(INDEX($D$5:$H$5,0,S$8+1)-INDEX($D$5:$H$5,0,S$8))+R95)))</f>
        <v>802.64469417063674</v>
      </c>
      <c r="T95" s="5" cm="1">
        <f t="array" ref="T95">IF(T$8=-1,U95,IF(T$8=99,S95,IF(T$8=0,INDEX($E95:$I95,0,T$6),(INDEX($E95:$I95,0,T$8+1)-INDEX($E95:$I95,0,T$8))/(INDEX($D$5:$H$5,0,T$8+1)-INDEX($D$5:$H$5,0,T$8))+S95)))</f>
        <v>802.64469417063674</v>
      </c>
      <c r="U95" s="5" cm="1">
        <f t="array" ref="U95">IF(U$8=-1,V95,IF(U$8=99,T95,IF(U$8=0,INDEX($E95:$I95,0,U$6),(INDEX($E95:$I95,0,U$8+1)-INDEX($E95:$I95,0,U$8))/(INDEX($D$5:$H$5,0,U$8+1)-INDEX($D$5:$H$5,0,U$8))+T95)))</f>
        <v>765.88630318022444</v>
      </c>
      <c r="V95" s="5" cm="1">
        <f t="array" ref="V95">IF(V$8=-1,W95,IF(V$8=99,U95,IF(V$8=0,INDEX($E95:$I95,0,V$6),(INDEX($E95:$I95,0,V$8+1)-INDEX($E95:$I95,0,V$8))/(INDEX($D$5:$H$5,0,V$8+1)-INDEX($D$5:$H$5,0,V$8))+U95)))</f>
        <v>729.12791218981215</v>
      </c>
      <c r="W95" s="5" cm="1">
        <f t="array" ref="W95">IF(W$8=-1,X95,IF(W$8=99,V95,IF(W$8=0,INDEX($E95:$I95,0,W$6),(INDEX($E95:$I95,0,W$8+1)-INDEX($E95:$I95,0,W$8))/(INDEX($D$5:$H$5,0,W$8+1)-INDEX($D$5:$H$5,0,W$8))+V95)))</f>
        <v>692.36952119939986</v>
      </c>
      <c r="X95" s="5" cm="1">
        <f t="array" ref="X95">IF(X$8=-1,Y95,IF(X$8=99,W95,IF(X$8=0,INDEX($E95:$I95,0,X$6),(INDEX($E95:$I95,0,X$8+1)-INDEX($E95:$I95,0,X$8))/(INDEX($D$5:$H$5,0,X$8+1)-INDEX($D$5:$H$5,0,X$8))+W95)))</f>
        <v>655.61113020898756</v>
      </c>
      <c r="Y95" s="5" cm="1">
        <f t="array" ref="Y95">IF(Y$8=-1,Z95,IF(Y$8=99,X95,IF(Y$8=0,INDEX($E95:$I95,0,Y$6),(INDEX($E95:$I95,0,Y$8+1)-INDEX($E95:$I95,0,Y$8))/(INDEX($D$5:$H$5,0,Y$8+1)-INDEX($D$5:$H$5,0,Y$8))+X95)))</f>
        <v>618.85273921857527</v>
      </c>
      <c r="Z95" s="5" cm="1">
        <f t="array" ref="Z95">IF(Z$8=-1,AA95,IF(Z$8=99,Y95,IF(Z$8=0,INDEX($E95:$I95,0,Z$6),(INDEX($E95:$I95,0,Z$8+1)-INDEX($E95:$I95,0,Z$8))/(INDEX($D$5:$H$5,0,Z$8+1)-INDEX($D$5:$H$5,0,Z$8))+Y95)))</f>
        <v>582.09434822816297</v>
      </c>
      <c r="AA95" s="5" cm="1">
        <f t="array" ref="AA95">IF(AA$8=-1,AB95,IF(AA$8=99,Z95,IF(AA$8=0,INDEX($E95:$I95,0,AA$6),(INDEX($E95:$I95,0,AA$8+1)-INDEX($E95:$I95,0,AA$8))/(INDEX($D$5:$H$5,0,AA$8+1)-INDEX($D$5:$H$5,0,AA$8))+Z95)))</f>
        <v>545.33595723775068</v>
      </c>
      <c r="AB95" s="5" cm="1">
        <f t="array" ref="AB95">IF(AB$8=-1,AC95,IF(AB$8=99,AA95,IF(AB$8=0,INDEX($E95:$I95,0,AB$6),(INDEX($E95:$I95,0,AB$8+1)-INDEX($E95:$I95,0,AB$8))/(INDEX($D$5:$H$5,0,AB$8+1)-INDEX($D$5:$H$5,0,AB$8))+AA95)))</f>
        <v>508.57756624733838</v>
      </c>
      <c r="AC95" s="5" cm="1">
        <f t="array" ref="AC95">IF(AC$8=-1,AD95,IF(AC$8=99,AB95,IF(AC$8=0,INDEX($E95:$I95,0,AC$6),(INDEX($E95:$I95,0,AC$8+1)-INDEX($E95:$I95,0,AC$8))/(INDEX($D$5:$H$5,0,AC$8+1)-INDEX($D$5:$H$5,0,AC$8))+AB95)))</f>
        <v>471.81917525692609</v>
      </c>
      <c r="AD95" s="5" cm="1">
        <f t="array" ref="AD95">IF(AD$8=-1,AE95,IF(AD$8=99,AC95,IF(AD$8=0,INDEX($E95:$I95,0,AD$6),(INDEX($E95:$I95,0,AD$8+1)-INDEX($E95:$I95,0,AD$8))/(INDEX($D$5:$H$5,0,AD$8+1)-INDEX($D$5:$H$5,0,AD$8))+AC95)))</f>
        <v>435.06078426651385</v>
      </c>
      <c r="AE95" s="5" cm="1">
        <f t="array" ref="AE95">IF(AE$8=-1,AF95,IF(AE$8=99,AD95,IF(AE$8=0,INDEX($E95:$I95,0,AE$6),(INDEX($E95:$I95,0,AE$8+1)-INDEX($E95:$I95,0,AE$8))/(INDEX($D$5:$H$5,0,AE$8+1)-INDEX($D$5:$H$5,0,AE$8))+AD95)))</f>
        <v>435.06078426651385</v>
      </c>
      <c r="AF95" s="5" cm="1">
        <f t="array" ref="AF95">IF(AF$8=-1,AG95,IF(AF$8=99,AE95,IF(AF$8=0,INDEX($E95:$I95,0,AF$6),(INDEX($E95:$I95,0,AF$8+1)-INDEX($E95:$I95,0,AF$8))/(INDEX($D$5:$H$5,0,AF$8+1)-INDEX($D$5:$H$5,0,AF$8))+AE95)))</f>
        <v>435.06078426651385</v>
      </c>
      <c r="AG95" s="5" cm="1">
        <f t="array" ref="AG95">IF(AG$8=-1,AH95,IF(AG$8=99,AF95,IF(AG$8=0,INDEX($E95:$I95,0,AG$6),(INDEX($E95:$I95,0,AG$8+1)-INDEX($E95:$I95,0,AG$8))/(INDEX($D$5:$H$5,0,AG$8+1)-INDEX($D$5:$H$5,0,AG$8))+AF95)))</f>
        <v>435.06078426651385</v>
      </c>
      <c r="AH95" s="5" cm="1">
        <f t="array" ref="AH95">IF(AH$8=-1,AI95,IF(AH$8=99,AG95,IF(AH$8=0,INDEX($E95:$I95,0,AH$6),(INDEX($E95:$I95,0,AH$8+1)-INDEX($E95:$I95,0,AH$8))/(INDEX($D$5:$H$5,0,AH$8+1)-INDEX($D$5:$H$5,0,AH$8))+AG95)))</f>
        <v>435.06078426651385</v>
      </c>
      <c r="AI95" s="5" cm="1">
        <f t="array" ref="AI95">IF(AI$8=-1,AJ95,IF(AI$8=99,AH95,IF(AI$8=0,INDEX($E95:$I95,0,AI$6),(INDEX($E95:$I95,0,AI$8+1)-INDEX($E95:$I95,0,AI$8))/(INDEX($D$5:$H$5,0,AI$8+1)-INDEX($D$5:$H$5,0,AI$8))+AH95)))</f>
        <v>435.06078426651385</v>
      </c>
      <c r="AJ95" s="5" cm="1">
        <f t="array" ref="AJ95">IF(AJ$8=-1,AK95,IF(AJ$8=99,AI95,IF(AJ$8=0,INDEX($E95:$I95,0,AJ$6),(INDEX($E95:$I95,0,AJ$8+1)-INDEX($E95:$I95,0,AJ$8))/(INDEX($D$5:$H$5,0,AJ$8+1)-INDEX($D$5:$H$5,0,AJ$8))+AI95)))</f>
        <v>435.06078426651385</v>
      </c>
      <c r="AK95" s="5" cm="1">
        <f t="array" ref="AK95">IF(AK$8=-1,AL95,IF(AK$8=99,AJ95,IF(AK$8=0,INDEX($E95:$I95,0,AK$6),(INDEX($E95:$I95,0,AK$8+1)-INDEX($E95:$I95,0,AK$8))/(INDEX($D$5:$H$5,0,AK$8+1)-INDEX($D$5:$H$5,0,AK$8))+AJ95)))</f>
        <v>435.06078426651385</v>
      </c>
      <c r="AL95" s="5" cm="1">
        <f t="array" ref="AL95">IF(AL$8=-1,AM95,IF(AL$8=99,AK95,IF(AL$8=0,INDEX($E95:$I95,0,AL$6),(INDEX($E95:$I95,0,AL$8+1)-INDEX($E95:$I95,0,AL$8))/(INDEX($D$5:$H$5,0,AL$8+1)-INDEX($D$5:$H$5,0,AL$8))+AK95)))</f>
        <v>435.06078426651385</v>
      </c>
      <c r="AM95" s="5" cm="1">
        <f t="array" ref="AM95">IF(AM$8=-1,AN95,IF(AM$8=99,AL95,IF(AM$8=0,INDEX($E95:$I95,0,AM$6),(INDEX($E95:$I95,0,AM$8+1)-INDEX($E95:$I95,0,AM$8))/(INDEX($D$5:$H$5,0,AM$8+1)-INDEX($D$5:$H$5,0,AM$8))+AL95)))</f>
        <v>435.06078426651385</v>
      </c>
      <c r="AN95" s="5" cm="1">
        <f t="array" ref="AN95">IF(AN$8=-1,AO95,IF(AN$8=99,AM95,IF(AN$8=0,INDEX($E95:$I95,0,AN$6),(INDEX($E95:$I95,0,AN$8+1)-INDEX($E95:$I95,0,AN$8))/(INDEX($D$5:$H$5,0,AN$8+1)-INDEX($D$5:$H$5,0,AN$8))+AM95)))</f>
        <v>435.06078426651385</v>
      </c>
      <c r="AO95" s="5" cm="1">
        <f t="array" ref="AO95">IF(AO$8=-1,AP95,IF(AO$8=99,AN95,IF(AO$8=0,INDEX($E95:$K95,0,AO$6),(INDEX($E95:$K95,0,AO$8+1)-INDEX($E95:$K95,0,AO$8))/(INDEX($D$5:$J$5,0,AO$8+1)-INDEX($D$5:$J$5,0,AO$8))+AN95)))</f>
        <v>435.06078426651385</v>
      </c>
      <c r="AP95" s="5" cm="1">
        <f t="array" ref="AP95">IF(AP$8=-1,AQ95,IF(AP$8=99,AO95,IF(AP$8=0,INDEX($E95:$K95,0,AP$6),(INDEX($E95:$K95,0,AP$8+1)-INDEX($E95:$K95,0,AP$8))/(INDEX($D$5:$J$5,0,AP$8+1)-INDEX($D$5:$J$5,0,AP$8))+AO95)))</f>
        <v>435.06078426651385</v>
      </c>
      <c r="AQ95" s="5" cm="1">
        <f t="array" ref="AQ95">IF(AQ$8=-1,AR95,IF(AQ$8=99,AP95,IF(AQ$8=0,INDEX($E95:$K95,0,AQ$6),(INDEX($E95:$K95,0,AQ$8+1)-INDEX($E95:$K95,0,AQ$8))/(INDEX($D$5:$J$5,0,AQ$8+1)-INDEX($D$5:$J$5,0,AQ$8))+AP95)))</f>
        <v>435.06078426651385</v>
      </c>
      <c r="AR95" s="5" cm="1">
        <f t="array" ref="AR95">IF(AR$8=-1,AS95,IF(AR$8=99,AQ95,IF(AR$8=0,INDEX($E95:$K95,0,AR$6),(INDEX($E95:$K95,0,AR$8+1)-INDEX($E95:$K95,0,AR$8))/(INDEX($D$5:$J$5,0,AR$8+1)-INDEX($D$5:$J$5,0,AR$8))+AQ95)))</f>
        <v>435.06078426651385</v>
      </c>
      <c r="AS95" s="5" cm="1">
        <f t="array" ref="AS95">IF(AS$8=-1,AT95,IF(AS$8=99,AR95,IF(AS$8=0,INDEX($E95:$K95,0,AS$6),(INDEX($E95:$K95,0,AS$8+1)-INDEX($E95:$K95,0,AS$8))/(INDEX($D$5:$J$5,0,AS$8+1)-INDEX($D$5:$J$5,0,AS$8))+AR95)))</f>
        <v>435.06078426651385</v>
      </c>
      <c r="AT95" s="5" cm="1">
        <f t="array" ref="AT95">IF(AT$8=-1,AU95,IF(AT$8=99,AS95,IF(AT$8=0,INDEX($E95:$K95,0,AT$6),(INDEX($E95:$K95,0,AT$8+1)-INDEX($E95:$K95,0,AT$8))/(INDEX($D$5:$J$5,0,AT$8+1)-INDEX($D$5:$J$5,0,AT$8))+AS95)))</f>
        <v>435.06078426651385</v>
      </c>
      <c r="AU95" s="5" cm="1">
        <f t="array" ref="AU95">IF(AU$8=-1,AV95,IF(AU$8=99,AT95,IF(AU$8=0,INDEX($E95:$K95,0,AU$6),(INDEX($E95:$K95,0,AU$8+1)-INDEX($E95:$K95,0,AU$8))/(INDEX($D$5:$J$5,0,AU$8+1)-INDEX($D$5:$J$5,0,AU$8))+AT95)))</f>
        <v>435.06078426651385</v>
      </c>
      <c r="AV95" s="5" cm="1">
        <f t="array" ref="AV95">IF(AV$8=-1,AW95,IF(AV$8=99,AU95,IF(AV$8=0,INDEX($E95:$K95,0,AV$6),(INDEX($E95:$K95,0,AV$8+1)-INDEX($E95:$K95,0,AV$8))/(INDEX($D$5:$J$5,0,AV$8+1)-INDEX($D$5:$J$5,0,AV$8))+AU95)))</f>
        <v>435.06078426651385</v>
      </c>
      <c r="AW95" s="5" cm="1">
        <f t="array" ref="AW95">IF(AW$8=-1,AX95,IF(AW$8=99,AV95,IF(AW$8=0,INDEX($E95:$K95,0,AW$6),(INDEX($E95:$K95,0,AW$8+1)-INDEX($E95:$K95,0,AW$8))/(INDEX($D$5:$J$5,0,AW$8+1)-INDEX($D$5:$J$5,0,AW$8))+AV95)))</f>
        <v>435.06078426651385</v>
      </c>
      <c r="AX95" s="5" cm="1">
        <f t="array" ref="AX95">IF(AX$8=-1,AY95,IF(AX$8=99,AW95,IF(AX$8=0,INDEX($E95:$K95,0,AX$6),(INDEX($E95:$K95,0,AX$8+1)-INDEX($E95:$K95,0,AX$8))/(INDEX($D$5:$J$5,0,AX$8+1)-INDEX($D$5:$J$5,0,AX$8))+AW95)))</f>
        <v>435.06078426651385</v>
      </c>
      <c r="AY95" s="5" cm="1">
        <f t="array" ref="AY95">IF(AY$8=-1,AZ95,IF(AY$8=99,AX95,IF(AY$8=0,INDEX($E95:$K95,0,AY$6),(INDEX($E95:$K95,0,AY$8+1)-INDEX($E95:$K95,0,AY$8))/(INDEX($D$5:$J$5,0,AY$8+1)-INDEX($D$5:$J$5,0,AY$8))+AX95)))</f>
        <v>435.06078426651385</v>
      </c>
      <c r="AZ95" s="5" cm="1">
        <f t="array" ref="AZ95">IF(AZ$8=-1,BA95,IF(AZ$8=99,AY95,IF(AZ$8=0,INDEX($E95:$K95,0,AZ$6),(INDEX($E95:$K95,0,AZ$8+1)-INDEX($E95:$K95,0,AZ$8))/(INDEX($D$5:$J$5,0,AZ$8+1)-INDEX($D$5:$J$5,0,AZ$8))+AY95)))</f>
        <v>435.06078426651385</v>
      </c>
      <c r="BA95" s="5" cm="1">
        <f t="array" ref="BA95">IF(BA$8=-1,BB95,IF(BA$8=99,AZ95,IF(BA$8=0,INDEX($E95:$K95,0,BA$6),(INDEX($E95:$K95,0,BA$8+1)-INDEX($E95:$K95,0,BA$8))/(INDEX($D$5:$J$5,0,BA$8+1)-INDEX($D$5:$J$5,0,BA$8))+AZ95)))</f>
        <v>435.06078426651385</v>
      </c>
      <c r="BB95" s="5" cm="1">
        <f t="array" ref="BB95">IF(BB$8=-1,BC95,IF(BB$8=99,BA95,IF(BB$8=0,INDEX($E95:$K95,0,BB$6),(INDEX($E95:$K95,0,BB$8+1)-INDEX($E95:$K95,0,BB$8))/(INDEX($D$5:$J$5,0,BB$8+1)-INDEX($D$5:$J$5,0,BB$8))+BA95)))</f>
        <v>435.06078426651385</v>
      </c>
      <c r="BC95" s="5" cm="1">
        <f t="array" ref="BC95">IF(BC$8=-1,BD95,IF(BC$8=99,BB95,IF(BC$8=0,INDEX($E95:$K95,0,BC$6),(INDEX($E95:$K95,0,BC$8+1)-INDEX($E95:$K95,0,BC$8))/(INDEX($D$5:$J$5,0,BC$8+1)-INDEX($D$5:$J$5,0,BC$8))+BB95)))</f>
        <v>435.06078426651385</v>
      </c>
      <c r="BD95" s="5" cm="1">
        <f t="array" ref="BD95">IF(BD$8=-1,BE95,IF(BD$8=99,BC95,IF(BD$8=0,INDEX($E95:$K95,0,BD$6),(INDEX($E95:$K95,0,BD$8+1)-INDEX($E95:$K95,0,BD$8))/(INDEX($D$5:$J$5,0,BD$8+1)-INDEX($D$5:$J$5,0,BD$8))+BC95)))</f>
        <v>435.06078426651385</v>
      </c>
      <c r="BE95" s="5" cm="1">
        <f t="array" ref="BE95">IF(BE$8=-1,BF95,IF(BE$8=99,BD95,IF(BE$8=0,INDEX($E95:$K95,0,BE$6),(INDEX($E95:$K95,0,BE$8+1)-INDEX($E95:$K95,0,BE$8))/(INDEX($D$5:$J$5,0,BE$8+1)-INDEX($D$5:$J$5,0,BE$8))+BD95)))</f>
        <v>435.06078426651385</v>
      </c>
      <c r="BF95" s="5" cm="1">
        <f t="array" ref="BF95">IF(BF$8=-1,BG95,IF(BF$8=99,BE95,IF(BF$8=0,INDEX($E95:$K95,0,BF$6),(INDEX($E95:$K95,0,BF$8+1)-INDEX($E95:$K95,0,BF$8))/(INDEX($D$5:$J$5,0,BF$8+1)-INDEX($D$5:$J$5,0,BF$8))+BE95)))</f>
        <v>435.06078426651385</v>
      </c>
      <c r="BG95" s="5" cm="1">
        <f t="array" ref="BG95">IF(BG$8=-1,BH95,IF(BG$8=99,BF95,IF(BG$8=0,INDEX($E95:$K95,0,BG$6),(INDEX($E95:$K95,0,BG$8+1)-INDEX($E95:$K95,0,BG$8))/(INDEX($D$5:$J$5,0,BG$8+1)-INDEX($D$5:$J$5,0,BG$8))+BF95)))</f>
        <v>435.06078426651385</v>
      </c>
      <c r="BH95" s="5" cm="1">
        <f t="array" ref="BH95">IF(BH$8=-1,BI95,IF(BH$8=99,BG95,IF(BH$8=0,INDEX($E95:$K95,0,BH$6),(INDEX($E95:$K95,0,BH$8+1)-INDEX($E95:$K95,0,BH$8))/(INDEX($D$5:$J$5,0,BH$8+1)-INDEX($D$5:$J$5,0,BH$8))+BG95)))</f>
        <v>435.06078426651385</v>
      </c>
      <c r="BI95" s="5" cm="1">
        <f t="array" ref="BI95">IF(BI$8=-1,BJ95,IF(BI$8=99,BH95,IF(BI$8=0,INDEX($E95:$K95,0,BI$6),(INDEX($E95:$K95,0,BI$8+1)-INDEX($E95:$K95,0,BI$8))/(INDEX($D$5:$J$5,0,BI$8+1)-INDEX($D$5:$J$5,0,BI$8))+BH95)))</f>
        <v>435.06078426651385</v>
      </c>
      <c r="BJ95" s="5" cm="1">
        <f t="array" ref="BJ95">IF(BJ$8=-1,BK95,IF(BJ$8=99,BI95,IF(BJ$8=0,INDEX($E95:$K95,0,BJ$6),(INDEX($E95:$K95,0,BJ$8+1)-INDEX($E95:$K95,0,BJ$8))/(INDEX($D$5:$J$5,0,BJ$8+1)-INDEX($D$5:$J$5,0,BJ$8))+BI95)))</f>
        <v>435.06078426651385</v>
      </c>
      <c r="BK95" s="5" cm="1">
        <f t="array" ref="BK95">IF(BK$8=-1,BL95,IF(BK$8=99,BJ95,IF(BK$8=0,INDEX($E95:$K95,0,BK$6),(INDEX($E95:$K95,0,BK$8+1)-INDEX($E95:$K95,0,BK$8))/(INDEX($D$5:$J$5,0,BK$8+1)-INDEX($D$5:$J$5,0,BK$8))+BJ95)))</f>
        <v>435.06078426651385</v>
      </c>
      <c r="BL95" s="5" cm="1">
        <f t="array" ref="BL95">IF(BL$8=-1,BM95,IF(BL$8=99,BK95,IF(BL$8=0,INDEX($E95:$K95,0,BL$6),(INDEX($E95:$K95,0,BL$8+1)-INDEX($E95:$K95,0,BL$8))/(INDEX($D$5:$J$5,0,BL$8+1)-INDEX($D$5:$J$5,0,BL$8))+BK95)))</f>
        <v>435.06078426651385</v>
      </c>
      <c r="BM95" s="5" cm="1">
        <f t="array" ref="BM95">IF(BM$8=-1,BN95,IF(BM$8=99,BL95,IF(BM$8=0,INDEX($E95:$K95,0,BM$6),(INDEX($E95:$K95,0,BM$8+1)-INDEX($E95:$K95,0,BM$8))/(INDEX($D$5:$J$5,0,BM$8+1)-INDEX($D$5:$J$5,0,BM$8))+BL95)))</f>
        <v>435.06078426651385</v>
      </c>
      <c r="BN95" s="5" cm="1">
        <f t="array" ref="BN95">IF(BN$8=-1,BO95,IF(BN$8=99,BM95,IF(BN$8=0,INDEX($E95:$K95,0,BN$6),(INDEX($E95:$K95,0,BN$8+1)-INDEX($E95:$K95,0,BN$8))/(INDEX($D$5:$J$5,0,BN$8+1)-INDEX($D$5:$J$5,0,BN$8))+BM95)))</f>
        <v>435.06078426651385</v>
      </c>
      <c r="BO95" s="5" cm="1">
        <f t="array" ref="BO95">IF(BO$8=-1,BP95,IF(BO$8=99,BN95,IF(BO$8=0,INDEX($E95:$K95,0,BO$6),(INDEX($E95:$K95,0,BO$8+1)-INDEX($E95:$K95,0,BO$8))/(INDEX($D$5:$J$5,0,BO$8+1)-INDEX($D$5:$J$5,0,BO$8))+BN95)))</f>
        <v>435.06078426651385</v>
      </c>
      <c r="BP95" s="5" cm="1">
        <f t="array" ref="BP95">IF(BP$8=-1,BQ95,IF(BP$8=99,BO95,IF(BP$8=0,INDEX($E95:$K95,0,BP$6),(INDEX($E95:$K95,0,BP$8+1)-INDEX($E95:$K95,0,BP$8))/(INDEX($D$5:$J$5,0,BP$8+1)-INDEX($D$5:$J$5,0,BP$8))+BO95)))</f>
        <v>435.06078426651385</v>
      </c>
      <c r="BQ95" s="5" cm="1">
        <f t="array" ref="BQ95">IF(BQ$8=-1,BR95,IF(BQ$8=99,BP95,IF(BQ$8=0,INDEX($E95:$K95,0,BQ$6),(INDEX($E95:$K95,0,BQ$8+1)-INDEX($E95:$K95,0,BQ$8))/(INDEX($D$5:$J$5,0,BQ$8+1)-INDEX($D$5:$J$5,0,BQ$8))+BP95)))</f>
        <v>435.06078426651385</v>
      </c>
      <c r="BR95" s="5" cm="1">
        <f t="array" ref="BR95">IF(BR$8=-1,BS95,IF(BR$8=99,BQ95,IF(BR$8=0,INDEX($E95:$K95,0,BR$6),(INDEX($E95:$K95,0,BR$8+1)-INDEX($E95:$K95,0,BR$8))/(INDEX($D$5:$J$5,0,BR$8+1)-INDEX($D$5:$J$5,0,BR$8))+BQ95)))</f>
        <v>435.06078426651385</v>
      </c>
    </row>
    <row r="96" spans="1:70">
      <c r="A96" t="s">
        <v>16</v>
      </c>
      <c r="B96" s="223" t="str">
        <f t="shared" si="154"/>
        <v>CER</v>
      </c>
      <c r="C96" s="70" t="str">
        <f t="shared" si="151"/>
        <v>Commercial - Refrigeration</v>
      </c>
      <c r="D96" s="70" t="s">
        <v>66</v>
      </c>
      <c r="E96" s="79">
        <f t="shared" si="155"/>
        <v>222.61251585750318</v>
      </c>
      <c r="F96" s="87">
        <f t="shared" si="155"/>
        <v>195.25467556696461</v>
      </c>
      <c r="G96" s="87">
        <f t="shared" si="152"/>
        <v>195.25467556696461</v>
      </c>
      <c r="H96" s="87">
        <f t="shared" si="156"/>
        <v>105.83468987064387</v>
      </c>
      <c r="I96" s="131">
        <f t="shared" si="157"/>
        <v>105.83468987064387</v>
      </c>
      <c r="J96" s="131">
        <f t="shared" si="153"/>
        <v>105.83468987064387</v>
      </c>
      <c r="K96" s="131">
        <f t="shared" si="153"/>
        <v>105.83468987064387</v>
      </c>
      <c r="L96" s="5" cm="1">
        <f t="array" ref="L96">IF(L$8=-1,M96,IF(L$8=99,I96,IF(L$8=0,INDEX($E96:$I96,0,L$6),(INDEX($E96:$I96,0,L$8+1)-INDEX($E96:$I96,0,L$8))/(INDEX($D$5:$H$5,0,L$8+1)-INDEX($D$5:$H$5,0,L$8))+I96)))</f>
        <v>222.61251585750318</v>
      </c>
      <c r="M96" s="5" cm="1">
        <f t="array" ref="M96">IF(M$8=-1,N96,IF(M$8=99,L96,IF(M$8=0,INDEX($E96:$I96,0,M$6),(INDEX($E96:$I96,0,M$8+1)-INDEX($E96:$I96,0,M$8))/(INDEX($D$5:$H$5,0,M$8+1)-INDEX($D$5:$H$5,0,M$8))+L96)))</f>
        <v>217.14094779939546</v>
      </c>
      <c r="N96" s="5" cm="1">
        <f t="array" ref="N96">IF(N$8=-1,O96,IF(N$8=99,M96,IF(N$8=0,INDEX($E96:$I96,0,N$6),(INDEX($E96:$I96,0,N$8+1)-INDEX($E96:$I96,0,N$8))/(INDEX($D$5:$H$5,0,N$8+1)-INDEX($D$5:$H$5,0,N$8))+M96)))</f>
        <v>211.66937974128774</v>
      </c>
      <c r="O96" s="5" cm="1">
        <f t="array" ref="O96">IF(O$8=-1,P96,IF(O$8=99,N96,IF(O$8=0,INDEX($E96:$I96,0,O$6),(INDEX($E96:$I96,0,O$8+1)-INDEX($E96:$I96,0,O$8))/(INDEX($D$5:$H$5,0,O$8+1)-INDEX($D$5:$H$5,0,O$8))+N96)))</f>
        <v>206.19781168318002</v>
      </c>
      <c r="P96" s="5" cm="1">
        <f t="array" ref="P96">IF(P$8=-1,Q96,IF(P$8=99,O96,IF(P$8=0,INDEX($E96:$I96,0,P$6),(INDEX($E96:$I96,0,P$8+1)-INDEX($E96:$I96,0,P$8))/(INDEX($D$5:$H$5,0,P$8+1)-INDEX($D$5:$H$5,0,P$8))+O96)))</f>
        <v>200.7262436250723</v>
      </c>
      <c r="Q96" s="5" cm="1">
        <f t="array" ref="Q96">IF(Q$8=-1,R96,IF(Q$8=99,P96,IF(Q$8=0,INDEX($E96:$I96,0,Q$6),(INDEX($E96:$I96,0,Q$8+1)-INDEX($E96:$I96,0,Q$8))/(INDEX($D$5:$H$5,0,Q$8+1)-INDEX($D$5:$H$5,0,Q$8))+P96)))</f>
        <v>195.25467556696461</v>
      </c>
      <c r="R96" s="5" cm="1">
        <f t="array" ref="R96">IF(R$8=-1,S96,IF(R$8=99,Q96,IF(R$8=0,INDEX($E96:$I96,0,R$6),(INDEX($E96:$I96,0,R$8+1)-INDEX($E96:$I96,0,R$8))/(INDEX($D$5:$H$5,0,R$8+1)-INDEX($D$5:$H$5,0,R$8))+Q96)))</f>
        <v>195.25467556696461</v>
      </c>
      <c r="S96" s="5" cm="1">
        <f t="array" ref="S96">IF(S$8=-1,T96,IF(S$8=99,R96,IF(S$8=0,INDEX($E96:$I96,0,S$6),(INDEX($E96:$I96,0,S$8+1)-INDEX($E96:$I96,0,S$8))/(INDEX($D$5:$H$5,0,S$8+1)-INDEX($D$5:$H$5,0,S$8))+R96)))</f>
        <v>195.25467556696461</v>
      </c>
      <c r="T96" s="5" cm="1">
        <f t="array" ref="T96">IF(T$8=-1,U96,IF(T$8=99,S96,IF(T$8=0,INDEX($E96:$I96,0,T$6),(INDEX($E96:$I96,0,T$8+1)-INDEX($E96:$I96,0,T$8))/(INDEX($D$5:$H$5,0,T$8+1)-INDEX($D$5:$H$5,0,T$8))+S96)))</f>
        <v>195.25467556696461</v>
      </c>
      <c r="U96" s="5" cm="1">
        <f t="array" ref="U96">IF(U$8=-1,V96,IF(U$8=99,T96,IF(U$8=0,INDEX($E96:$I96,0,U$6),(INDEX($E96:$I96,0,U$8+1)-INDEX($E96:$I96,0,U$8))/(INDEX($D$5:$H$5,0,U$8+1)-INDEX($D$5:$H$5,0,U$8))+T96)))</f>
        <v>186.31267699733255</v>
      </c>
      <c r="V96" s="5" cm="1">
        <f t="array" ref="V96">IF(V$8=-1,W96,IF(V$8=99,U96,IF(V$8=0,INDEX($E96:$I96,0,V$6),(INDEX($E96:$I96,0,V$8+1)-INDEX($E96:$I96,0,V$8))/(INDEX($D$5:$H$5,0,V$8+1)-INDEX($D$5:$H$5,0,V$8))+U96)))</f>
        <v>177.37067842770048</v>
      </c>
      <c r="W96" s="5" cm="1">
        <f t="array" ref="W96">IF(W$8=-1,X96,IF(W$8=99,V96,IF(W$8=0,INDEX($E96:$I96,0,W$6),(INDEX($E96:$I96,0,W$8+1)-INDEX($E96:$I96,0,W$8))/(INDEX($D$5:$H$5,0,W$8+1)-INDEX($D$5:$H$5,0,W$8))+V96)))</f>
        <v>168.42867985806842</v>
      </c>
      <c r="X96" s="5" cm="1">
        <f t="array" ref="X96">IF(X$8=-1,Y96,IF(X$8=99,W96,IF(X$8=0,INDEX($E96:$I96,0,X$6),(INDEX($E96:$I96,0,X$8+1)-INDEX($E96:$I96,0,X$8))/(INDEX($D$5:$H$5,0,X$8+1)-INDEX($D$5:$H$5,0,X$8))+W96)))</f>
        <v>159.48668128843636</v>
      </c>
      <c r="Y96" s="5" cm="1">
        <f t="array" ref="Y96">IF(Y$8=-1,Z96,IF(Y$8=99,X96,IF(Y$8=0,INDEX($E96:$I96,0,Y$6),(INDEX($E96:$I96,0,Y$8+1)-INDEX($E96:$I96,0,Y$8))/(INDEX($D$5:$H$5,0,Y$8+1)-INDEX($D$5:$H$5,0,Y$8))+X96)))</f>
        <v>150.5446827188043</v>
      </c>
      <c r="Z96" s="5" cm="1">
        <f t="array" ref="Z96">IF(Z$8=-1,AA96,IF(Z$8=99,Y96,IF(Z$8=0,INDEX($E96:$I96,0,Z$6),(INDEX($E96:$I96,0,Z$8+1)-INDEX($E96:$I96,0,Z$8))/(INDEX($D$5:$H$5,0,Z$8+1)-INDEX($D$5:$H$5,0,Z$8))+Y96)))</f>
        <v>141.60268414917223</v>
      </c>
      <c r="AA96" s="5" cm="1">
        <f t="array" ref="AA96">IF(AA$8=-1,AB96,IF(AA$8=99,Z96,IF(AA$8=0,INDEX($E96:$I96,0,AA$6),(INDEX($E96:$I96,0,AA$8+1)-INDEX($E96:$I96,0,AA$8))/(INDEX($D$5:$H$5,0,AA$8+1)-INDEX($D$5:$H$5,0,AA$8))+Z96)))</f>
        <v>132.66068557954017</v>
      </c>
      <c r="AB96" s="5" cm="1">
        <f t="array" ref="AB96">IF(AB$8=-1,AC96,IF(AB$8=99,AA96,IF(AB$8=0,INDEX($E96:$I96,0,AB$6),(INDEX($E96:$I96,0,AB$8+1)-INDEX($E96:$I96,0,AB$8))/(INDEX($D$5:$H$5,0,AB$8+1)-INDEX($D$5:$H$5,0,AB$8))+AA96)))</f>
        <v>123.71868700990809</v>
      </c>
      <c r="AC96" s="5" cm="1">
        <f t="array" ref="AC96">IF(AC$8=-1,AD96,IF(AC$8=99,AB96,IF(AC$8=0,INDEX($E96:$I96,0,AC$6),(INDEX($E96:$I96,0,AC$8+1)-INDEX($E96:$I96,0,AC$8))/(INDEX($D$5:$H$5,0,AC$8+1)-INDEX($D$5:$H$5,0,AC$8))+AB96)))</f>
        <v>114.77668844027602</v>
      </c>
      <c r="AD96" s="5" cm="1">
        <f t="array" ref="AD96">IF(AD$8=-1,AE96,IF(AD$8=99,AC96,IF(AD$8=0,INDEX($E96:$I96,0,AD$6),(INDEX($E96:$I96,0,AD$8+1)-INDEX($E96:$I96,0,AD$8))/(INDEX($D$5:$H$5,0,AD$8+1)-INDEX($D$5:$H$5,0,AD$8))+AC96)))</f>
        <v>105.83468987064387</v>
      </c>
      <c r="AE96" s="5" cm="1">
        <f t="array" ref="AE96">IF(AE$8=-1,AF96,IF(AE$8=99,AD96,IF(AE$8=0,INDEX($E96:$I96,0,AE$6),(INDEX($E96:$I96,0,AE$8+1)-INDEX($E96:$I96,0,AE$8))/(INDEX($D$5:$H$5,0,AE$8+1)-INDEX($D$5:$H$5,0,AE$8))+AD96)))</f>
        <v>105.83468987064387</v>
      </c>
      <c r="AF96" s="5" cm="1">
        <f t="array" ref="AF96">IF(AF$8=-1,AG96,IF(AF$8=99,AE96,IF(AF$8=0,INDEX($E96:$I96,0,AF$6),(INDEX($E96:$I96,0,AF$8+1)-INDEX($E96:$I96,0,AF$8))/(INDEX($D$5:$H$5,0,AF$8+1)-INDEX($D$5:$H$5,0,AF$8))+AE96)))</f>
        <v>105.83468987064387</v>
      </c>
      <c r="AG96" s="5" cm="1">
        <f t="array" ref="AG96">IF(AG$8=-1,AH96,IF(AG$8=99,AF96,IF(AG$8=0,INDEX($E96:$I96,0,AG$6),(INDEX($E96:$I96,0,AG$8+1)-INDEX($E96:$I96,0,AG$8))/(INDEX($D$5:$H$5,0,AG$8+1)-INDEX($D$5:$H$5,0,AG$8))+AF96)))</f>
        <v>105.83468987064387</v>
      </c>
      <c r="AH96" s="5" cm="1">
        <f t="array" ref="AH96">IF(AH$8=-1,AI96,IF(AH$8=99,AG96,IF(AH$8=0,INDEX($E96:$I96,0,AH$6),(INDEX($E96:$I96,0,AH$8+1)-INDEX($E96:$I96,0,AH$8))/(INDEX($D$5:$H$5,0,AH$8+1)-INDEX($D$5:$H$5,0,AH$8))+AG96)))</f>
        <v>105.83468987064387</v>
      </c>
      <c r="AI96" s="5" cm="1">
        <f t="array" ref="AI96">IF(AI$8=-1,AJ96,IF(AI$8=99,AH96,IF(AI$8=0,INDEX($E96:$I96,0,AI$6),(INDEX($E96:$I96,0,AI$8+1)-INDEX($E96:$I96,0,AI$8))/(INDEX($D$5:$H$5,0,AI$8+1)-INDEX($D$5:$H$5,0,AI$8))+AH96)))</f>
        <v>105.83468987064387</v>
      </c>
      <c r="AJ96" s="5" cm="1">
        <f t="array" ref="AJ96">IF(AJ$8=-1,AK96,IF(AJ$8=99,AI96,IF(AJ$8=0,INDEX($E96:$I96,0,AJ$6),(INDEX($E96:$I96,0,AJ$8+1)-INDEX($E96:$I96,0,AJ$8))/(INDEX($D$5:$H$5,0,AJ$8+1)-INDEX($D$5:$H$5,0,AJ$8))+AI96)))</f>
        <v>105.83468987064387</v>
      </c>
      <c r="AK96" s="5" cm="1">
        <f t="array" ref="AK96">IF(AK$8=-1,AL96,IF(AK$8=99,AJ96,IF(AK$8=0,INDEX($E96:$I96,0,AK$6),(INDEX($E96:$I96,0,AK$8+1)-INDEX($E96:$I96,0,AK$8))/(INDEX($D$5:$H$5,0,AK$8+1)-INDEX($D$5:$H$5,0,AK$8))+AJ96)))</f>
        <v>105.83468987064387</v>
      </c>
      <c r="AL96" s="5" cm="1">
        <f t="array" ref="AL96">IF(AL$8=-1,AM96,IF(AL$8=99,AK96,IF(AL$8=0,INDEX($E96:$I96,0,AL$6),(INDEX($E96:$I96,0,AL$8+1)-INDEX($E96:$I96,0,AL$8))/(INDEX($D$5:$H$5,0,AL$8+1)-INDEX($D$5:$H$5,0,AL$8))+AK96)))</f>
        <v>105.83468987064387</v>
      </c>
      <c r="AM96" s="5" cm="1">
        <f t="array" ref="AM96">IF(AM$8=-1,AN96,IF(AM$8=99,AL96,IF(AM$8=0,INDEX($E96:$I96,0,AM$6),(INDEX($E96:$I96,0,AM$8+1)-INDEX($E96:$I96,0,AM$8))/(INDEX($D$5:$H$5,0,AM$8+1)-INDEX($D$5:$H$5,0,AM$8))+AL96)))</f>
        <v>105.83468987064387</v>
      </c>
      <c r="AN96" s="5" cm="1">
        <f t="array" ref="AN96">IF(AN$8=-1,AO96,IF(AN$8=99,AM96,IF(AN$8=0,INDEX($E96:$I96,0,AN$6),(INDEX($E96:$I96,0,AN$8+1)-INDEX($E96:$I96,0,AN$8))/(INDEX($D$5:$H$5,0,AN$8+1)-INDEX($D$5:$H$5,0,AN$8))+AM96)))</f>
        <v>105.83468987064387</v>
      </c>
      <c r="AO96" s="5" cm="1">
        <f t="array" ref="AO96">IF(AO$8=-1,AP96,IF(AO$8=99,AN96,IF(AO$8=0,INDEX($E96:$K96,0,AO$6),(INDEX($E96:$K96,0,AO$8+1)-INDEX($E96:$K96,0,AO$8))/(INDEX($D$5:$J$5,0,AO$8+1)-INDEX($D$5:$J$5,0,AO$8))+AN96)))</f>
        <v>105.83468987064387</v>
      </c>
      <c r="AP96" s="5" cm="1">
        <f t="array" ref="AP96">IF(AP$8=-1,AQ96,IF(AP$8=99,AO96,IF(AP$8=0,INDEX($E96:$K96,0,AP$6),(INDEX($E96:$K96,0,AP$8+1)-INDEX($E96:$K96,0,AP$8))/(INDEX($D$5:$J$5,0,AP$8+1)-INDEX($D$5:$J$5,0,AP$8))+AO96)))</f>
        <v>105.83468987064387</v>
      </c>
      <c r="AQ96" s="5" cm="1">
        <f t="array" ref="AQ96">IF(AQ$8=-1,AR96,IF(AQ$8=99,AP96,IF(AQ$8=0,INDEX($E96:$K96,0,AQ$6),(INDEX($E96:$K96,0,AQ$8+1)-INDEX($E96:$K96,0,AQ$8))/(INDEX($D$5:$J$5,0,AQ$8+1)-INDEX($D$5:$J$5,0,AQ$8))+AP96)))</f>
        <v>105.83468987064387</v>
      </c>
      <c r="AR96" s="5" cm="1">
        <f t="array" ref="AR96">IF(AR$8=-1,AS96,IF(AR$8=99,AQ96,IF(AR$8=0,INDEX($E96:$K96,0,AR$6),(INDEX($E96:$K96,0,AR$8+1)-INDEX($E96:$K96,0,AR$8))/(INDEX($D$5:$J$5,0,AR$8+1)-INDEX($D$5:$J$5,0,AR$8))+AQ96)))</f>
        <v>105.83468987064387</v>
      </c>
      <c r="AS96" s="5" cm="1">
        <f t="array" ref="AS96">IF(AS$8=-1,AT96,IF(AS$8=99,AR96,IF(AS$8=0,INDEX($E96:$K96,0,AS$6),(INDEX($E96:$K96,0,AS$8+1)-INDEX($E96:$K96,0,AS$8))/(INDEX($D$5:$J$5,0,AS$8+1)-INDEX($D$5:$J$5,0,AS$8))+AR96)))</f>
        <v>105.83468987064387</v>
      </c>
      <c r="AT96" s="5" cm="1">
        <f t="array" ref="AT96">IF(AT$8=-1,AU96,IF(AT$8=99,AS96,IF(AT$8=0,INDEX($E96:$K96,0,AT$6),(INDEX($E96:$K96,0,AT$8+1)-INDEX($E96:$K96,0,AT$8))/(INDEX($D$5:$J$5,0,AT$8+1)-INDEX($D$5:$J$5,0,AT$8))+AS96)))</f>
        <v>105.83468987064387</v>
      </c>
      <c r="AU96" s="5" cm="1">
        <f t="array" ref="AU96">IF(AU$8=-1,AV96,IF(AU$8=99,AT96,IF(AU$8=0,INDEX($E96:$K96,0,AU$6),(INDEX($E96:$K96,0,AU$8+1)-INDEX($E96:$K96,0,AU$8))/(INDEX($D$5:$J$5,0,AU$8+1)-INDEX($D$5:$J$5,0,AU$8))+AT96)))</f>
        <v>105.83468987064387</v>
      </c>
      <c r="AV96" s="5" cm="1">
        <f t="array" ref="AV96">IF(AV$8=-1,AW96,IF(AV$8=99,AU96,IF(AV$8=0,INDEX($E96:$K96,0,AV$6),(INDEX($E96:$K96,0,AV$8+1)-INDEX($E96:$K96,0,AV$8))/(INDEX($D$5:$J$5,0,AV$8+1)-INDEX($D$5:$J$5,0,AV$8))+AU96)))</f>
        <v>105.83468987064387</v>
      </c>
      <c r="AW96" s="5" cm="1">
        <f t="array" ref="AW96">IF(AW$8=-1,AX96,IF(AW$8=99,AV96,IF(AW$8=0,INDEX($E96:$K96,0,AW$6),(INDEX($E96:$K96,0,AW$8+1)-INDEX($E96:$K96,0,AW$8))/(INDEX($D$5:$J$5,0,AW$8+1)-INDEX($D$5:$J$5,0,AW$8))+AV96)))</f>
        <v>105.83468987064387</v>
      </c>
      <c r="AX96" s="5" cm="1">
        <f t="array" ref="AX96">IF(AX$8=-1,AY96,IF(AX$8=99,AW96,IF(AX$8=0,INDEX($E96:$K96,0,AX$6),(INDEX($E96:$K96,0,AX$8+1)-INDEX($E96:$K96,0,AX$8))/(INDEX($D$5:$J$5,0,AX$8+1)-INDEX($D$5:$J$5,0,AX$8))+AW96)))</f>
        <v>105.83468987064387</v>
      </c>
      <c r="AY96" s="5" cm="1">
        <f t="array" ref="AY96">IF(AY$8=-1,AZ96,IF(AY$8=99,AX96,IF(AY$8=0,INDEX($E96:$K96,0,AY$6),(INDEX($E96:$K96,0,AY$8+1)-INDEX($E96:$K96,0,AY$8))/(INDEX($D$5:$J$5,0,AY$8+1)-INDEX($D$5:$J$5,0,AY$8))+AX96)))</f>
        <v>105.83468987064387</v>
      </c>
      <c r="AZ96" s="5" cm="1">
        <f t="array" ref="AZ96">IF(AZ$8=-1,BA96,IF(AZ$8=99,AY96,IF(AZ$8=0,INDEX($E96:$K96,0,AZ$6),(INDEX($E96:$K96,0,AZ$8+1)-INDEX($E96:$K96,0,AZ$8))/(INDEX($D$5:$J$5,0,AZ$8+1)-INDEX($D$5:$J$5,0,AZ$8))+AY96)))</f>
        <v>105.83468987064387</v>
      </c>
      <c r="BA96" s="5" cm="1">
        <f t="array" ref="BA96">IF(BA$8=-1,BB96,IF(BA$8=99,AZ96,IF(BA$8=0,INDEX($E96:$K96,0,BA$6),(INDEX($E96:$K96,0,BA$8+1)-INDEX($E96:$K96,0,BA$8))/(INDEX($D$5:$J$5,0,BA$8+1)-INDEX($D$5:$J$5,0,BA$8))+AZ96)))</f>
        <v>105.83468987064387</v>
      </c>
      <c r="BB96" s="5" cm="1">
        <f t="array" ref="BB96">IF(BB$8=-1,BC96,IF(BB$8=99,BA96,IF(BB$8=0,INDEX($E96:$K96,0,BB$6),(INDEX($E96:$K96,0,BB$8+1)-INDEX($E96:$K96,0,BB$8))/(INDEX($D$5:$J$5,0,BB$8+1)-INDEX($D$5:$J$5,0,BB$8))+BA96)))</f>
        <v>105.83468987064387</v>
      </c>
      <c r="BC96" s="5" cm="1">
        <f t="array" ref="BC96">IF(BC$8=-1,BD96,IF(BC$8=99,BB96,IF(BC$8=0,INDEX($E96:$K96,0,BC$6),(INDEX($E96:$K96,0,BC$8+1)-INDEX($E96:$K96,0,BC$8))/(INDEX($D$5:$J$5,0,BC$8+1)-INDEX($D$5:$J$5,0,BC$8))+BB96)))</f>
        <v>105.83468987064387</v>
      </c>
      <c r="BD96" s="5" cm="1">
        <f t="array" ref="BD96">IF(BD$8=-1,BE96,IF(BD$8=99,BC96,IF(BD$8=0,INDEX($E96:$K96,0,BD$6),(INDEX($E96:$K96,0,BD$8+1)-INDEX($E96:$K96,0,BD$8))/(INDEX($D$5:$J$5,0,BD$8+1)-INDEX($D$5:$J$5,0,BD$8))+BC96)))</f>
        <v>105.83468987064387</v>
      </c>
      <c r="BE96" s="5" cm="1">
        <f t="array" ref="BE96">IF(BE$8=-1,BF96,IF(BE$8=99,BD96,IF(BE$8=0,INDEX($E96:$K96,0,BE$6),(INDEX($E96:$K96,0,BE$8+1)-INDEX($E96:$K96,0,BE$8))/(INDEX($D$5:$J$5,0,BE$8+1)-INDEX($D$5:$J$5,0,BE$8))+BD96)))</f>
        <v>105.83468987064387</v>
      </c>
      <c r="BF96" s="5" cm="1">
        <f t="array" ref="BF96">IF(BF$8=-1,BG96,IF(BF$8=99,BE96,IF(BF$8=0,INDEX($E96:$K96,0,BF$6),(INDEX($E96:$K96,0,BF$8+1)-INDEX($E96:$K96,0,BF$8))/(INDEX($D$5:$J$5,0,BF$8+1)-INDEX($D$5:$J$5,0,BF$8))+BE96)))</f>
        <v>105.83468987064387</v>
      </c>
      <c r="BG96" s="5" cm="1">
        <f t="array" ref="BG96">IF(BG$8=-1,BH96,IF(BG$8=99,BF96,IF(BG$8=0,INDEX($E96:$K96,0,BG$6),(INDEX($E96:$K96,0,BG$8+1)-INDEX($E96:$K96,0,BG$8))/(INDEX($D$5:$J$5,0,BG$8+1)-INDEX($D$5:$J$5,0,BG$8))+BF96)))</f>
        <v>105.83468987064387</v>
      </c>
      <c r="BH96" s="5" cm="1">
        <f t="array" ref="BH96">IF(BH$8=-1,BI96,IF(BH$8=99,BG96,IF(BH$8=0,INDEX($E96:$K96,0,BH$6),(INDEX($E96:$K96,0,BH$8+1)-INDEX($E96:$K96,0,BH$8))/(INDEX($D$5:$J$5,0,BH$8+1)-INDEX($D$5:$J$5,0,BH$8))+BG96)))</f>
        <v>105.83468987064387</v>
      </c>
      <c r="BI96" s="5" cm="1">
        <f t="array" ref="BI96">IF(BI$8=-1,BJ96,IF(BI$8=99,BH96,IF(BI$8=0,INDEX($E96:$K96,0,BI$6),(INDEX($E96:$K96,0,BI$8+1)-INDEX($E96:$K96,0,BI$8))/(INDEX($D$5:$J$5,0,BI$8+1)-INDEX($D$5:$J$5,0,BI$8))+BH96)))</f>
        <v>105.83468987064387</v>
      </c>
      <c r="BJ96" s="5" cm="1">
        <f t="array" ref="BJ96">IF(BJ$8=-1,BK96,IF(BJ$8=99,BI96,IF(BJ$8=0,INDEX($E96:$K96,0,BJ$6),(INDEX($E96:$K96,0,BJ$8+1)-INDEX($E96:$K96,0,BJ$8))/(INDEX($D$5:$J$5,0,BJ$8+1)-INDEX($D$5:$J$5,0,BJ$8))+BI96)))</f>
        <v>105.83468987064387</v>
      </c>
      <c r="BK96" s="5" cm="1">
        <f t="array" ref="BK96">IF(BK$8=-1,BL96,IF(BK$8=99,BJ96,IF(BK$8=0,INDEX($E96:$K96,0,BK$6),(INDEX($E96:$K96,0,BK$8+1)-INDEX($E96:$K96,0,BK$8))/(INDEX($D$5:$J$5,0,BK$8+1)-INDEX($D$5:$J$5,0,BK$8))+BJ96)))</f>
        <v>105.83468987064387</v>
      </c>
      <c r="BL96" s="5" cm="1">
        <f t="array" ref="BL96">IF(BL$8=-1,BM96,IF(BL$8=99,BK96,IF(BL$8=0,INDEX($E96:$K96,0,BL$6),(INDEX($E96:$K96,0,BL$8+1)-INDEX($E96:$K96,0,BL$8))/(INDEX($D$5:$J$5,0,BL$8+1)-INDEX($D$5:$J$5,0,BL$8))+BK96)))</f>
        <v>105.83468987064387</v>
      </c>
      <c r="BM96" s="5" cm="1">
        <f t="array" ref="BM96">IF(BM$8=-1,BN96,IF(BM$8=99,BL96,IF(BM$8=0,INDEX($E96:$K96,0,BM$6),(INDEX($E96:$K96,0,BM$8+1)-INDEX($E96:$K96,0,BM$8))/(INDEX($D$5:$J$5,0,BM$8+1)-INDEX($D$5:$J$5,0,BM$8))+BL96)))</f>
        <v>105.83468987064387</v>
      </c>
      <c r="BN96" s="5" cm="1">
        <f t="array" ref="BN96">IF(BN$8=-1,BO96,IF(BN$8=99,BM96,IF(BN$8=0,INDEX($E96:$K96,0,BN$6),(INDEX($E96:$K96,0,BN$8+1)-INDEX($E96:$K96,0,BN$8))/(INDEX($D$5:$J$5,0,BN$8+1)-INDEX($D$5:$J$5,0,BN$8))+BM96)))</f>
        <v>105.83468987064387</v>
      </c>
      <c r="BO96" s="5" cm="1">
        <f t="array" ref="BO96">IF(BO$8=-1,BP96,IF(BO$8=99,BN96,IF(BO$8=0,INDEX($E96:$K96,0,BO$6),(INDEX($E96:$K96,0,BO$8+1)-INDEX($E96:$K96,0,BO$8))/(INDEX($D$5:$J$5,0,BO$8+1)-INDEX($D$5:$J$5,0,BO$8))+BN96)))</f>
        <v>105.83468987064387</v>
      </c>
      <c r="BP96" s="5" cm="1">
        <f t="array" ref="BP96">IF(BP$8=-1,BQ96,IF(BP$8=99,BO96,IF(BP$8=0,INDEX($E96:$K96,0,BP$6),(INDEX($E96:$K96,0,BP$8+1)-INDEX($E96:$K96,0,BP$8))/(INDEX($D$5:$J$5,0,BP$8+1)-INDEX($D$5:$J$5,0,BP$8))+BO96)))</f>
        <v>105.83468987064387</v>
      </c>
      <c r="BQ96" s="5" cm="1">
        <f t="array" ref="BQ96">IF(BQ$8=-1,BR96,IF(BQ$8=99,BP96,IF(BQ$8=0,INDEX($E96:$K96,0,BQ$6),(INDEX($E96:$K96,0,BQ$8+1)-INDEX($E96:$K96,0,BQ$8))/(INDEX($D$5:$J$5,0,BQ$8+1)-INDEX($D$5:$J$5,0,BQ$8))+BP96)))</f>
        <v>105.83468987064387</v>
      </c>
      <c r="BR96" s="5" cm="1">
        <f t="array" ref="BR96">IF(BR$8=-1,BS96,IF(BR$8=99,BQ96,IF(BR$8=0,INDEX($E96:$K96,0,BR$6),(INDEX($E96:$K96,0,BR$8+1)-INDEX($E96:$K96,0,BR$8))/(INDEX($D$5:$J$5,0,BR$8+1)-INDEX($D$5:$J$5,0,BR$8))+BQ96)))</f>
        <v>105.83468987064387</v>
      </c>
    </row>
    <row r="97" spans="1:74">
      <c r="A97" t="s">
        <v>16</v>
      </c>
      <c r="B97" s="223" t="str">
        <f t="shared" si="154"/>
        <v>CEW</v>
      </c>
      <c r="C97" s="70" t="str">
        <f t="shared" si="151"/>
        <v>Commercial - Water Heating</v>
      </c>
      <c r="D97" s="70" t="s">
        <v>66</v>
      </c>
      <c r="E97" s="79">
        <f t="shared" si="155"/>
        <v>72.906473658117989</v>
      </c>
      <c r="F97" s="87">
        <f t="shared" si="155"/>
        <v>103.37272938194623</v>
      </c>
      <c r="G97" s="87">
        <f t="shared" si="152"/>
        <v>103.37272938194623</v>
      </c>
      <c r="H97" s="87">
        <f t="shared" si="156"/>
        <v>42.54648797382464</v>
      </c>
      <c r="I97" s="131">
        <f t="shared" si="157"/>
        <v>42.54648797382464</v>
      </c>
      <c r="J97" s="131">
        <f t="shared" si="153"/>
        <v>42.54648797382464</v>
      </c>
      <c r="K97" s="131">
        <f t="shared" si="153"/>
        <v>42.54648797382464</v>
      </c>
      <c r="L97" s="5" cm="1">
        <f t="array" ref="L97">IF(L$8=-1,M97,IF(L$8=99,I97,IF(L$8=0,INDEX($E97:$I97,0,L$6),(INDEX($E97:$I97,0,L$8+1)-INDEX($E97:$I97,0,L$8))/(INDEX($D$5:$H$5,0,L$8+1)-INDEX($D$5:$H$5,0,L$8))+I97)))</f>
        <v>72.906473658117989</v>
      </c>
      <c r="M97" s="5" cm="1">
        <f t="array" ref="M97">IF(M$8=-1,N97,IF(M$8=99,L97,IF(M$8=0,INDEX($E97:$I97,0,M$6),(INDEX($E97:$I97,0,M$8+1)-INDEX($E97:$I97,0,M$8))/(INDEX($D$5:$H$5,0,M$8+1)-INDEX($D$5:$H$5,0,M$8))+L97)))</f>
        <v>78.999724802883634</v>
      </c>
      <c r="N97" s="5" cm="1">
        <f t="array" ref="N97">IF(N$8=-1,O97,IF(N$8=99,M97,IF(N$8=0,INDEX($E97:$I97,0,N$6),(INDEX($E97:$I97,0,N$8+1)-INDEX($E97:$I97,0,N$8))/(INDEX($D$5:$H$5,0,N$8+1)-INDEX($D$5:$H$5,0,N$8))+M97)))</f>
        <v>85.092975947649279</v>
      </c>
      <c r="O97" s="5" cm="1">
        <f t="array" ref="O97">IF(O$8=-1,P97,IF(O$8=99,N97,IF(O$8=0,INDEX($E97:$I97,0,O$6),(INDEX($E97:$I97,0,O$8+1)-INDEX($E97:$I97,0,O$8))/(INDEX($D$5:$H$5,0,O$8+1)-INDEX($D$5:$H$5,0,O$8))+N97)))</f>
        <v>91.186227092414924</v>
      </c>
      <c r="P97" s="5" cm="1">
        <f t="array" ref="P97">IF(P$8=-1,Q97,IF(P$8=99,O97,IF(P$8=0,INDEX($E97:$I97,0,P$6),(INDEX($E97:$I97,0,P$8+1)-INDEX($E97:$I97,0,P$8))/(INDEX($D$5:$H$5,0,P$8+1)-INDEX($D$5:$H$5,0,P$8))+O97)))</f>
        <v>97.27947823718057</v>
      </c>
      <c r="Q97" s="5" cm="1">
        <f t="array" ref="Q97">IF(Q$8=-1,R97,IF(Q$8=99,P97,IF(Q$8=0,INDEX($E97:$I97,0,Q$6),(INDEX($E97:$I97,0,Q$8+1)-INDEX($E97:$I97,0,Q$8))/(INDEX($D$5:$H$5,0,Q$8+1)-INDEX($D$5:$H$5,0,Q$8))+P97)))</f>
        <v>103.37272938194623</v>
      </c>
      <c r="R97" s="5" cm="1">
        <f t="array" ref="R97">IF(R$8=-1,S97,IF(R$8=99,Q97,IF(R$8=0,INDEX($E97:$I97,0,R$6),(INDEX($E97:$I97,0,R$8+1)-INDEX($E97:$I97,0,R$8))/(INDEX($D$5:$H$5,0,R$8+1)-INDEX($D$5:$H$5,0,R$8))+Q97)))</f>
        <v>103.37272938194623</v>
      </c>
      <c r="S97" s="5" cm="1">
        <f t="array" ref="S97">IF(S$8=-1,T97,IF(S$8=99,R97,IF(S$8=0,INDEX($E97:$I97,0,S$6),(INDEX($E97:$I97,0,S$8+1)-INDEX($E97:$I97,0,S$8))/(INDEX($D$5:$H$5,0,S$8+1)-INDEX($D$5:$H$5,0,S$8))+R97)))</f>
        <v>103.37272938194623</v>
      </c>
      <c r="T97" s="5" cm="1">
        <f t="array" ref="T97">IF(T$8=-1,U97,IF(T$8=99,S97,IF(T$8=0,INDEX($E97:$I97,0,T$6),(INDEX($E97:$I97,0,T$8+1)-INDEX($E97:$I97,0,T$8))/(INDEX($D$5:$H$5,0,T$8+1)-INDEX($D$5:$H$5,0,T$8))+S97)))</f>
        <v>103.37272938194623</v>
      </c>
      <c r="U97" s="5" cm="1">
        <f t="array" ref="U97">IF(U$8=-1,V97,IF(U$8=99,T97,IF(U$8=0,INDEX($E97:$I97,0,U$6),(INDEX($E97:$I97,0,U$8+1)-INDEX($E97:$I97,0,U$8))/(INDEX($D$5:$H$5,0,U$8+1)-INDEX($D$5:$H$5,0,U$8))+T97)))</f>
        <v>97.290105241134071</v>
      </c>
      <c r="V97" s="5" cm="1">
        <f t="array" ref="V97">IF(V$8=-1,W97,IF(V$8=99,U97,IF(V$8=0,INDEX($E97:$I97,0,V$6),(INDEX($E97:$I97,0,V$8+1)-INDEX($E97:$I97,0,V$8))/(INDEX($D$5:$H$5,0,V$8+1)-INDEX($D$5:$H$5,0,V$8))+U97)))</f>
        <v>91.207481100321914</v>
      </c>
      <c r="W97" s="5" cm="1">
        <f t="array" ref="W97">IF(W$8=-1,X97,IF(W$8=99,V97,IF(W$8=0,INDEX($E97:$I97,0,W$6),(INDEX($E97:$I97,0,W$8+1)-INDEX($E97:$I97,0,W$8))/(INDEX($D$5:$H$5,0,W$8+1)-INDEX($D$5:$H$5,0,W$8))+V97)))</f>
        <v>85.124856959509756</v>
      </c>
      <c r="X97" s="5" cm="1">
        <f t="array" ref="X97">IF(X$8=-1,Y97,IF(X$8=99,W97,IF(X$8=0,INDEX($E97:$I97,0,X$6),(INDEX($E97:$I97,0,X$8+1)-INDEX($E97:$I97,0,X$8))/(INDEX($D$5:$H$5,0,X$8+1)-INDEX($D$5:$H$5,0,X$8))+W97)))</f>
        <v>79.042232818697599</v>
      </c>
      <c r="Y97" s="5" cm="1">
        <f t="array" ref="Y97">IF(Y$8=-1,Z97,IF(Y$8=99,X97,IF(Y$8=0,INDEX($E97:$I97,0,Y$6),(INDEX($E97:$I97,0,Y$8+1)-INDEX($E97:$I97,0,Y$8))/(INDEX($D$5:$H$5,0,Y$8+1)-INDEX($D$5:$H$5,0,Y$8))+X97)))</f>
        <v>72.959608677885441</v>
      </c>
      <c r="Z97" s="5" cm="1">
        <f t="array" ref="Z97">IF(Z$8=-1,AA97,IF(Z$8=99,Y97,IF(Z$8=0,INDEX($E97:$I97,0,Z$6),(INDEX($E97:$I97,0,Z$8+1)-INDEX($E97:$I97,0,Z$8))/(INDEX($D$5:$H$5,0,Z$8+1)-INDEX($D$5:$H$5,0,Z$8))+Y97)))</f>
        <v>66.876984537073284</v>
      </c>
      <c r="AA97" s="5" cm="1">
        <f t="array" ref="AA97">IF(AA$8=-1,AB97,IF(AA$8=99,Z97,IF(AA$8=0,INDEX($E97:$I97,0,AA$6),(INDEX($E97:$I97,0,AA$8+1)-INDEX($E97:$I97,0,AA$8))/(INDEX($D$5:$H$5,0,AA$8+1)-INDEX($D$5:$H$5,0,AA$8))+Z97)))</f>
        <v>60.794360396261126</v>
      </c>
      <c r="AB97" s="5" cm="1">
        <f t="array" ref="AB97">IF(AB$8=-1,AC97,IF(AB$8=99,AA97,IF(AB$8=0,INDEX($E97:$I97,0,AB$6),(INDEX($E97:$I97,0,AB$8+1)-INDEX($E97:$I97,0,AB$8))/(INDEX($D$5:$H$5,0,AB$8+1)-INDEX($D$5:$H$5,0,AB$8))+AA97)))</f>
        <v>54.711736255448969</v>
      </c>
      <c r="AC97" s="5" cm="1">
        <f t="array" ref="AC97">IF(AC$8=-1,AD97,IF(AC$8=99,AB97,IF(AC$8=0,INDEX($E97:$I97,0,AC$6),(INDEX($E97:$I97,0,AC$8+1)-INDEX($E97:$I97,0,AC$8))/(INDEX($D$5:$H$5,0,AC$8+1)-INDEX($D$5:$H$5,0,AC$8))+AB97)))</f>
        <v>48.629112114636811</v>
      </c>
      <c r="AD97" s="5" cm="1">
        <f t="array" ref="AD97">IF(AD$8=-1,AE97,IF(AD$8=99,AC97,IF(AD$8=0,INDEX($E97:$I97,0,AD$6),(INDEX($E97:$I97,0,AD$8+1)-INDEX($E97:$I97,0,AD$8))/(INDEX($D$5:$H$5,0,AD$8+1)-INDEX($D$5:$H$5,0,AD$8))+AC97)))</f>
        <v>42.54648797382464</v>
      </c>
      <c r="AE97" s="5" cm="1">
        <f t="array" ref="AE97">IF(AE$8=-1,AF97,IF(AE$8=99,AD97,IF(AE$8=0,INDEX($E97:$I97,0,AE$6),(INDEX($E97:$I97,0,AE$8+1)-INDEX($E97:$I97,0,AE$8))/(INDEX($D$5:$H$5,0,AE$8+1)-INDEX($D$5:$H$5,0,AE$8))+AD97)))</f>
        <v>42.54648797382464</v>
      </c>
      <c r="AF97" s="5" cm="1">
        <f t="array" ref="AF97">IF(AF$8=-1,AG97,IF(AF$8=99,AE97,IF(AF$8=0,INDEX($E97:$I97,0,AF$6),(INDEX($E97:$I97,0,AF$8+1)-INDEX($E97:$I97,0,AF$8))/(INDEX($D$5:$H$5,0,AF$8+1)-INDEX($D$5:$H$5,0,AF$8))+AE97)))</f>
        <v>42.54648797382464</v>
      </c>
      <c r="AG97" s="5" cm="1">
        <f t="array" ref="AG97">IF(AG$8=-1,AH97,IF(AG$8=99,AF97,IF(AG$8=0,INDEX($E97:$I97,0,AG$6),(INDEX($E97:$I97,0,AG$8+1)-INDEX($E97:$I97,0,AG$8))/(INDEX($D$5:$H$5,0,AG$8+1)-INDEX($D$5:$H$5,0,AG$8))+AF97)))</f>
        <v>42.54648797382464</v>
      </c>
      <c r="AH97" s="5" cm="1">
        <f t="array" ref="AH97">IF(AH$8=-1,AI97,IF(AH$8=99,AG97,IF(AH$8=0,INDEX($E97:$I97,0,AH$6),(INDEX($E97:$I97,0,AH$8+1)-INDEX($E97:$I97,0,AH$8))/(INDEX($D$5:$H$5,0,AH$8+1)-INDEX($D$5:$H$5,0,AH$8))+AG97)))</f>
        <v>42.54648797382464</v>
      </c>
      <c r="AI97" s="5" cm="1">
        <f t="array" ref="AI97">IF(AI$8=-1,AJ97,IF(AI$8=99,AH97,IF(AI$8=0,INDEX($E97:$I97,0,AI$6),(INDEX($E97:$I97,0,AI$8+1)-INDEX($E97:$I97,0,AI$8))/(INDEX($D$5:$H$5,0,AI$8+1)-INDEX($D$5:$H$5,0,AI$8))+AH97)))</f>
        <v>42.54648797382464</v>
      </c>
      <c r="AJ97" s="5" cm="1">
        <f t="array" ref="AJ97">IF(AJ$8=-1,AK97,IF(AJ$8=99,AI97,IF(AJ$8=0,INDEX($E97:$I97,0,AJ$6),(INDEX($E97:$I97,0,AJ$8+1)-INDEX($E97:$I97,0,AJ$8))/(INDEX($D$5:$H$5,0,AJ$8+1)-INDEX($D$5:$H$5,0,AJ$8))+AI97)))</f>
        <v>42.54648797382464</v>
      </c>
      <c r="AK97" s="5" cm="1">
        <f t="array" ref="AK97">IF(AK$8=-1,AL97,IF(AK$8=99,AJ97,IF(AK$8=0,INDEX($E97:$I97,0,AK$6),(INDEX($E97:$I97,0,AK$8+1)-INDEX($E97:$I97,0,AK$8))/(INDEX($D$5:$H$5,0,AK$8+1)-INDEX($D$5:$H$5,0,AK$8))+AJ97)))</f>
        <v>42.54648797382464</v>
      </c>
      <c r="AL97" s="5" cm="1">
        <f t="array" ref="AL97">IF(AL$8=-1,AM97,IF(AL$8=99,AK97,IF(AL$8=0,INDEX($E97:$I97,0,AL$6),(INDEX($E97:$I97,0,AL$8+1)-INDEX($E97:$I97,0,AL$8))/(INDEX($D$5:$H$5,0,AL$8+1)-INDEX($D$5:$H$5,0,AL$8))+AK97)))</f>
        <v>42.54648797382464</v>
      </c>
      <c r="AM97" s="5" cm="1">
        <f t="array" ref="AM97">IF(AM$8=-1,AN97,IF(AM$8=99,AL97,IF(AM$8=0,INDEX($E97:$I97,0,AM$6),(INDEX($E97:$I97,0,AM$8+1)-INDEX($E97:$I97,0,AM$8))/(INDEX($D$5:$H$5,0,AM$8+1)-INDEX($D$5:$H$5,0,AM$8))+AL97)))</f>
        <v>42.54648797382464</v>
      </c>
      <c r="AN97" s="5" cm="1">
        <f t="array" ref="AN97">IF(AN$8=-1,AO97,IF(AN$8=99,AM97,IF(AN$8=0,INDEX($E97:$I97,0,AN$6),(INDEX($E97:$I97,0,AN$8+1)-INDEX($E97:$I97,0,AN$8))/(INDEX($D$5:$H$5,0,AN$8+1)-INDEX($D$5:$H$5,0,AN$8))+AM97)))</f>
        <v>42.54648797382464</v>
      </c>
      <c r="AO97" s="5" cm="1">
        <f t="array" ref="AO97">IF(AO$8=-1,AP97,IF(AO$8=99,AN97,IF(AO$8=0,INDEX($E97:$K97,0,AO$6),(INDEX($E97:$K97,0,AO$8+1)-INDEX($E97:$K97,0,AO$8))/(INDEX($D$5:$J$5,0,AO$8+1)-INDEX($D$5:$J$5,0,AO$8))+AN97)))</f>
        <v>42.54648797382464</v>
      </c>
      <c r="AP97" s="5" cm="1">
        <f t="array" ref="AP97">IF(AP$8=-1,AQ97,IF(AP$8=99,AO97,IF(AP$8=0,INDEX($E97:$K97,0,AP$6),(INDEX($E97:$K97,0,AP$8+1)-INDEX($E97:$K97,0,AP$8))/(INDEX($D$5:$J$5,0,AP$8+1)-INDEX($D$5:$J$5,0,AP$8))+AO97)))</f>
        <v>42.54648797382464</v>
      </c>
      <c r="AQ97" s="5" cm="1">
        <f t="array" ref="AQ97">IF(AQ$8=-1,AR97,IF(AQ$8=99,AP97,IF(AQ$8=0,INDEX($E97:$K97,0,AQ$6),(INDEX($E97:$K97,0,AQ$8+1)-INDEX($E97:$K97,0,AQ$8))/(INDEX($D$5:$J$5,0,AQ$8+1)-INDEX($D$5:$J$5,0,AQ$8))+AP97)))</f>
        <v>42.54648797382464</v>
      </c>
      <c r="AR97" s="5" cm="1">
        <f t="array" ref="AR97">IF(AR$8=-1,AS97,IF(AR$8=99,AQ97,IF(AR$8=0,INDEX($E97:$K97,0,AR$6),(INDEX($E97:$K97,0,AR$8+1)-INDEX($E97:$K97,0,AR$8))/(INDEX($D$5:$J$5,0,AR$8+1)-INDEX($D$5:$J$5,0,AR$8))+AQ97)))</f>
        <v>42.54648797382464</v>
      </c>
      <c r="AS97" s="5" cm="1">
        <f t="array" ref="AS97">IF(AS$8=-1,AT97,IF(AS$8=99,AR97,IF(AS$8=0,INDEX($E97:$K97,0,AS$6),(INDEX($E97:$K97,0,AS$8+1)-INDEX($E97:$K97,0,AS$8))/(INDEX($D$5:$J$5,0,AS$8+1)-INDEX($D$5:$J$5,0,AS$8))+AR97)))</f>
        <v>42.54648797382464</v>
      </c>
      <c r="AT97" s="5" cm="1">
        <f t="array" ref="AT97">IF(AT$8=-1,AU97,IF(AT$8=99,AS97,IF(AT$8=0,INDEX($E97:$K97,0,AT$6),(INDEX($E97:$K97,0,AT$8+1)-INDEX($E97:$K97,0,AT$8))/(INDEX($D$5:$J$5,0,AT$8+1)-INDEX($D$5:$J$5,0,AT$8))+AS97)))</f>
        <v>42.54648797382464</v>
      </c>
      <c r="AU97" s="5" cm="1">
        <f t="array" ref="AU97">IF(AU$8=-1,AV97,IF(AU$8=99,AT97,IF(AU$8=0,INDEX($E97:$K97,0,AU$6),(INDEX($E97:$K97,0,AU$8+1)-INDEX($E97:$K97,0,AU$8))/(INDEX($D$5:$J$5,0,AU$8+1)-INDEX($D$5:$J$5,0,AU$8))+AT97)))</f>
        <v>42.54648797382464</v>
      </c>
      <c r="AV97" s="5" cm="1">
        <f t="array" ref="AV97">IF(AV$8=-1,AW97,IF(AV$8=99,AU97,IF(AV$8=0,INDEX($E97:$K97,0,AV$6),(INDEX($E97:$K97,0,AV$8+1)-INDEX($E97:$K97,0,AV$8))/(INDEX($D$5:$J$5,0,AV$8+1)-INDEX($D$5:$J$5,0,AV$8))+AU97)))</f>
        <v>42.54648797382464</v>
      </c>
      <c r="AW97" s="5" cm="1">
        <f t="array" ref="AW97">IF(AW$8=-1,AX97,IF(AW$8=99,AV97,IF(AW$8=0,INDEX($E97:$K97,0,AW$6),(INDEX($E97:$K97,0,AW$8+1)-INDEX($E97:$K97,0,AW$8))/(INDEX($D$5:$J$5,0,AW$8+1)-INDEX($D$5:$J$5,0,AW$8))+AV97)))</f>
        <v>42.54648797382464</v>
      </c>
      <c r="AX97" s="5" cm="1">
        <f t="array" ref="AX97">IF(AX$8=-1,AY97,IF(AX$8=99,AW97,IF(AX$8=0,INDEX($E97:$K97,0,AX$6),(INDEX($E97:$K97,0,AX$8+1)-INDEX($E97:$K97,0,AX$8))/(INDEX($D$5:$J$5,0,AX$8+1)-INDEX($D$5:$J$5,0,AX$8))+AW97)))</f>
        <v>42.54648797382464</v>
      </c>
      <c r="AY97" s="5" cm="1">
        <f t="array" ref="AY97">IF(AY$8=-1,AZ97,IF(AY$8=99,AX97,IF(AY$8=0,INDEX($E97:$K97,0,AY$6),(INDEX($E97:$K97,0,AY$8+1)-INDEX($E97:$K97,0,AY$8))/(INDEX($D$5:$J$5,0,AY$8+1)-INDEX($D$5:$J$5,0,AY$8))+AX97)))</f>
        <v>42.54648797382464</v>
      </c>
      <c r="AZ97" s="5" cm="1">
        <f t="array" ref="AZ97">IF(AZ$8=-1,BA97,IF(AZ$8=99,AY97,IF(AZ$8=0,INDEX($E97:$K97,0,AZ$6),(INDEX($E97:$K97,0,AZ$8+1)-INDEX($E97:$K97,0,AZ$8))/(INDEX($D$5:$J$5,0,AZ$8+1)-INDEX($D$5:$J$5,0,AZ$8))+AY97)))</f>
        <v>42.54648797382464</v>
      </c>
      <c r="BA97" s="5" cm="1">
        <f t="array" ref="BA97">IF(BA$8=-1,BB97,IF(BA$8=99,AZ97,IF(BA$8=0,INDEX($E97:$K97,0,BA$6),(INDEX($E97:$K97,0,BA$8+1)-INDEX($E97:$K97,0,BA$8))/(INDEX($D$5:$J$5,0,BA$8+1)-INDEX($D$5:$J$5,0,BA$8))+AZ97)))</f>
        <v>42.54648797382464</v>
      </c>
      <c r="BB97" s="5" cm="1">
        <f t="array" ref="BB97">IF(BB$8=-1,BC97,IF(BB$8=99,BA97,IF(BB$8=0,INDEX($E97:$K97,0,BB$6),(INDEX($E97:$K97,0,BB$8+1)-INDEX($E97:$K97,0,BB$8))/(INDEX($D$5:$J$5,0,BB$8+1)-INDEX($D$5:$J$5,0,BB$8))+BA97)))</f>
        <v>42.54648797382464</v>
      </c>
      <c r="BC97" s="5" cm="1">
        <f t="array" ref="BC97">IF(BC$8=-1,BD97,IF(BC$8=99,BB97,IF(BC$8=0,INDEX($E97:$K97,0,BC$6),(INDEX($E97:$K97,0,BC$8+1)-INDEX($E97:$K97,0,BC$8))/(INDEX($D$5:$J$5,0,BC$8+1)-INDEX($D$5:$J$5,0,BC$8))+BB97)))</f>
        <v>42.54648797382464</v>
      </c>
      <c r="BD97" s="5" cm="1">
        <f t="array" ref="BD97">IF(BD$8=-1,BE97,IF(BD$8=99,BC97,IF(BD$8=0,INDEX($E97:$K97,0,BD$6),(INDEX($E97:$K97,0,BD$8+1)-INDEX($E97:$K97,0,BD$8))/(INDEX($D$5:$J$5,0,BD$8+1)-INDEX($D$5:$J$5,0,BD$8))+BC97)))</f>
        <v>42.54648797382464</v>
      </c>
      <c r="BE97" s="5" cm="1">
        <f t="array" ref="BE97">IF(BE$8=-1,BF97,IF(BE$8=99,BD97,IF(BE$8=0,INDEX($E97:$K97,0,BE$6),(INDEX($E97:$K97,0,BE$8+1)-INDEX($E97:$K97,0,BE$8))/(INDEX($D$5:$J$5,0,BE$8+1)-INDEX($D$5:$J$5,0,BE$8))+BD97)))</f>
        <v>42.54648797382464</v>
      </c>
      <c r="BF97" s="5" cm="1">
        <f t="array" ref="BF97">IF(BF$8=-1,BG97,IF(BF$8=99,BE97,IF(BF$8=0,INDEX($E97:$K97,0,BF$6),(INDEX($E97:$K97,0,BF$8+1)-INDEX($E97:$K97,0,BF$8))/(INDEX($D$5:$J$5,0,BF$8+1)-INDEX($D$5:$J$5,0,BF$8))+BE97)))</f>
        <v>42.54648797382464</v>
      </c>
      <c r="BG97" s="5" cm="1">
        <f t="array" ref="BG97">IF(BG$8=-1,BH97,IF(BG$8=99,BF97,IF(BG$8=0,INDEX($E97:$K97,0,BG$6),(INDEX($E97:$K97,0,BG$8+1)-INDEX($E97:$K97,0,BG$8))/(INDEX($D$5:$J$5,0,BG$8+1)-INDEX($D$5:$J$5,0,BG$8))+BF97)))</f>
        <v>42.54648797382464</v>
      </c>
      <c r="BH97" s="5" cm="1">
        <f t="array" ref="BH97">IF(BH$8=-1,BI97,IF(BH$8=99,BG97,IF(BH$8=0,INDEX($E97:$K97,0,BH$6),(INDEX($E97:$K97,0,BH$8+1)-INDEX($E97:$K97,0,BH$8))/(INDEX($D$5:$J$5,0,BH$8+1)-INDEX($D$5:$J$5,0,BH$8))+BG97)))</f>
        <v>42.54648797382464</v>
      </c>
      <c r="BI97" s="5" cm="1">
        <f t="array" ref="BI97">IF(BI$8=-1,BJ97,IF(BI$8=99,BH97,IF(BI$8=0,INDEX($E97:$K97,0,BI$6),(INDEX($E97:$K97,0,BI$8+1)-INDEX($E97:$K97,0,BI$8))/(INDEX($D$5:$J$5,0,BI$8+1)-INDEX($D$5:$J$5,0,BI$8))+BH97)))</f>
        <v>42.54648797382464</v>
      </c>
      <c r="BJ97" s="5" cm="1">
        <f t="array" ref="BJ97">IF(BJ$8=-1,BK97,IF(BJ$8=99,BI97,IF(BJ$8=0,INDEX($E97:$K97,0,BJ$6),(INDEX($E97:$K97,0,BJ$8+1)-INDEX($E97:$K97,0,BJ$8))/(INDEX($D$5:$J$5,0,BJ$8+1)-INDEX($D$5:$J$5,0,BJ$8))+BI97)))</f>
        <v>42.54648797382464</v>
      </c>
      <c r="BK97" s="5" cm="1">
        <f t="array" ref="BK97">IF(BK$8=-1,BL97,IF(BK$8=99,BJ97,IF(BK$8=0,INDEX($E97:$K97,0,BK$6),(INDEX($E97:$K97,0,BK$8+1)-INDEX($E97:$K97,0,BK$8))/(INDEX($D$5:$J$5,0,BK$8+1)-INDEX($D$5:$J$5,0,BK$8))+BJ97)))</f>
        <v>42.54648797382464</v>
      </c>
      <c r="BL97" s="5" cm="1">
        <f t="array" ref="BL97">IF(BL$8=-1,BM97,IF(BL$8=99,BK97,IF(BL$8=0,INDEX($E97:$K97,0,BL$6),(INDEX($E97:$K97,0,BL$8+1)-INDEX($E97:$K97,0,BL$8))/(INDEX($D$5:$J$5,0,BL$8+1)-INDEX($D$5:$J$5,0,BL$8))+BK97)))</f>
        <v>42.54648797382464</v>
      </c>
      <c r="BM97" s="5" cm="1">
        <f t="array" ref="BM97">IF(BM$8=-1,BN97,IF(BM$8=99,BL97,IF(BM$8=0,INDEX($E97:$K97,0,BM$6),(INDEX($E97:$K97,0,BM$8+1)-INDEX($E97:$K97,0,BM$8))/(INDEX($D$5:$J$5,0,BM$8+1)-INDEX($D$5:$J$5,0,BM$8))+BL97)))</f>
        <v>42.54648797382464</v>
      </c>
      <c r="BN97" s="5" cm="1">
        <f t="array" ref="BN97">IF(BN$8=-1,BO97,IF(BN$8=99,BM97,IF(BN$8=0,INDEX($E97:$K97,0,BN$6),(INDEX($E97:$K97,0,BN$8+1)-INDEX($E97:$K97,0,BN$8))/(INDEX($D$5:$J$5,0,BN$8+1)-INDEX($D$5:$J$5,0,BN$8))+BM97)))</f>
        <v>42.54648797382464</v>
      </c>
      <c r="BO97" s="5" cm="1">
        <f t="array" ref="BO97">IF(BO$8=-1,BP97,IF(BO$8=99,BN97,IF(BO$8=0,INDEX($E97:$K97,0,BO$6),(INDEX($E97:$K97,0,BO$8+1)-INDEX($E97:$K97,0,BO$8))/(INDEX($D$5:$J$5,0,BO$8+1)-INDEX($D$5:$J$5,0,BO$8))+BN97)))</f>
        <v>42.54648797382464</v>
      </c>
      <c r="BP97" s="5" cm="1">
        <f t="array" ref="BP97">IF(BP$8=-1,BQ97,IF(BP$8=99,BO97,IF(BP$8=0,INDEX($E97:$K97,0,BP$6),(INDEX($E97:$K97,0,BP$8+1)-INDEX($E97:$K97,0,BP$8))/(INDEX($D$5:$J$5,0,BP$8+1)-INDEX($D$5:$J$5,0,BP$8))+BO97)))</f>
        <v>42.54648797382464</v>
      </c>
      <c r="BQ97" s="5" cm="1">
        <f t="array" ref="BQ97">IF(BQ$8=-1,BR97,IF(BQ$8=99,BP97,IF(BQ$8=0,INDEX($E97:$K97,0,BQ$6),(INDEX($E97:$K97,0,BQ$8+1)-INDEX($E97:$K97,0,BQ$8))/(INDEX($D$5:$J$5,0,BQ$8+1)-INDEX($D$5:$J$5,0,BQ$8))+BP97)))</f>
        <v>42.54648797382464</v>
      </c>
      <c r="BR97" s="5" cm="1">
        <f t="array" ref="BR97">IF(BR$8=-1,BS97,IF(BR$8=99,BQ97,IF(BR$8=0,INDEX($E97:$K97,0,BR$6),(INDEX($E97:$K97,0,BR$8+1)-INDEX($E97:$K97,0,BR$8))/(INDEX($D$5:$J$5,0,BR$8+1)-INDEX($D$5:$J$5,0,BR$8))+BQ97)))</f>
        <v>42.54648797382464</v>
      </c>
    </row>
    <row r="98" spans="1:74">
      <c r="A98" t="s">
        <v>16</v>
      </c>
      <c r="B98" s="223" t="str">
        <f t="shared" si="154"/>
        <v>CEG</v>
      </c>
      <c r="C98" s="90" t="str">
        <f t="shared" si="151"/>
        <v>Commercial - Public lights</v>
      </c>
      <c r="D98" s="90" t="s">
        <v>66</v>
      </c>
      <c r="E98" s="153">
        <f>D62/$L$34</f>
        <v>387.77678995775307</v>
      </c>
      <c r="F98" s="153">
        <f>E62/$Q$34</f>
        <v>340.12117882925378</v>
      </c>
      <c r="G98" s="148">
        <f t="shared" si="152"/>
        <v>340.12117882925378</v>
      </c>
      <c r="H98" s="87">
        <f>IF($N$57=-1,G98,((F98-E98)*2/5+E98)*(1+$I$91))</f>
        <v>294.97163640508273</v>
      </c>
      <c r="I98" s="149">
        <f t="shared" si="157"/>
        <v>294.97163640508273</v>
      </c>
      <c r="J98" s="149">
        <f t="shared" si="153"/>
        <v>294.97163640508273</v>
      </c>
      <c r="K98" s="149">
        <f t="shared" si="153"/>
        <v>294.97163640508273</v>
      </c>
      <c r="L98" s="5" cm="1">
        <f t="array" ref="L98">IF(L$8=-1,M98,IF(L$8=99,I98,IF(L$8=0,INDEX($E98:$I98,0,L$6),(INDEX($E98:$I98,0,L$8+1)-INDEX($E98:$I98,0,L$8))/(INDEX($D$5:$H$5,0,L$8+1)-INDEX($D$5:$H$5,0,L$8))+I98)))</f>
        <v>387.77678995775307</v>
      </c>
      <c r="M98" s="5" cm="1">
        <f t="array" ref="M98">IF(M$8=-1,N98,IF(M$8=99,L98,IF(M$8=0,INDEX($E98:$I98,0,M$6),(INDEX($E98:$I98,0,M$8+1)-INDEX($E98:$I98,0,M$8))/(INDEX($D$5:$H$5,0,M$8+1)-INDEX($D$5:$H$5,0,M$8))+L98)))</f>
        <v>378.24566773205322</v>
      </c>
      <c r="N98" s="5" cm="1">
        <f t="array" ref="N98">IF(N$8=-1,O98,IF(N$8=99,M98,IF(N$8=0,INDEX($E98:$I98,0,N$6),(INDEX($E98:$I98,0,N$8+1)-INDEX($E98:$I98,0,N$8))/(INDEX($D$5:$H$5,0,N$8+1)-INDEX($D$5:$H$5,0,N$8))+M98)))</f>
        <v>368.71454550635337</v>
      </c>
      <c r="O98" s="5" cm="1">
        <f t="array" ref="O98">IF(O$8=-1,P98,IF(O$8=99,N98,IF(O$8=0,INDEX($E98:$I98,0,O$6),(INDEX($E98:$I98,0,O$8+1)-INDEX($E98:$I98,0,O$8))/(INDEX($D$5:$H$5,0,O$8+1)-INDEX($D$5:$H$5,0,O$8))+N98)))</f>
        <v>359.18342328065353</v>
      </c>
      <c r="P98" s="5" cm="1">
        <f t="array" ref="P98">IF(P$8=-1,Q98,IF(P$8=99,O98,IF(P$8=0,INDEX($E98:$I98,0,P$6),(INDEX($E98:$I98,0,P$8+1)-INDEX($E98:$I98,0,P$8))/(INDEX($D$5:$H$5,0,P$8+1)-INDEX($D$5:$H$5,0,P$8))+O98)))</f>
        <v>349.65230105495368</v>
      </c>
      <c r="Q98" s="5" cm="1">
        <f t="array" ref="Q98">IF(Q$8=-1,R98,IF(Q$8=99,P98,IF(Q$8=0,INDEX($E98:$I98,0,Q$6),(INDEX($E98:$I98,0,Q$8+1)-INDEX($E98:$I98,0,Q$8))/(INDEX($D$5:$H$5,0,Q$8+1)-INDEX($D$5:$H$5,0,Q$8))+P98)))</f>
        <v>340.12117882925378</v>
      </c>
      <c r="R98" s="5" cm="1">
        <f t="array" ref="R98">IF(R$8=-1,S98,IF(R$8=99,Q98,IF(R$8=0,INDEX($E98:$I98,0,R$6),(INDEX($E98:$I98,0,R$8+1)-INDEX($E98:$I98,0,R$8))/(INDEX($D$5:$H$5,0,R$8+1)-INDEX($D$5:$H$5,0,R$8))+Q98)))</f>
        <v>340.12117882925378</v>
      </c>
      <c r="S98" s="5" cm="1">
        <f t="array" ref="S98">IF(S$8=-1,T98,IF(S$8=99,R98,IF(S$8=0,INDEX($E98:$I98,0,S$6),(INDEX($E98:$I98,0,S$8+1)-INDEX($E98:$I98,0,S$8))/(INDEX($D$5:$H$5,0,S$8+1)-INDEX($D$5:$H$5,0,S$8))+R98)))</f>
        <v>340.12117882925378</v>
      </c>
      <c r="T98" s="5" cm="1">
        <f t="array" ref="T98">IF(T$8=-1,U98,IF(T$8=99,S98,IF(T$8=0,INDEX($E98:$I98,0,T$6),(INDEX($E98:$I98,0,T$8+1)-INDEX($E98:$I98,0,T$8))/(INDEX($D$5:$H$5,0,T$8+1)-INDEX($D$5:$H$5,0,T$8))+S98)))</f>
        <v>340.12117882925378</v>
      </c>
      <c r="U98" s="5" cm="1">
        <f t="array" ref="U98">IF(U$8=-1,V98,IF(U$8=99,T98,IF(U$8=0,INDEX($E98:$I98,0,U$6),(INDEX($E98:$I98,0,U$8+1)-INDEX($E98:$I98,0,U$8))/(INDEX($D$5:$H$5,0,U$8+1)-INDEX($D$5:$H$5,0,U$8))+T98)))</f>
        <v>335.60622458683667</v>
      </c>
      <c r="V98" s="5" cm="1">
        <f t="array" ref="V98">IF(V$8=-1,W98,IF(V$8=99,U98,IF(V$8=0,INDEX($E98:$I98,0,V$6),(INDEX($E98:$I98,0,V$8+1)-INDEX($E98:$I98,0,V$8))/(INDEX($D$5:$H$5,0,V$8+1)-INDEX($D$5:$H$5,0,V$8))+U98)))</f>
        <v>331.09127034441957</v>
      </c>
      <c r="W98" s="5" cm="1">
        <f t="array" ref="W98">IF(W$8=-1,X98,IF(W$8=99,V98,IF(W$8=0,INDEX($E98:$I98,0,W$6),(INDEX($E98:$I98,0,W$8+1)-INDEX($E98:$I98,0,W$8))/(INDEX($D$5:$H$5,0,W$8+1)-INDEX($D$5:$H$5,0,W$8))+V98)))</f>
        <v>326.57631610200247</v>
      </c>
      <c r="X98" s="5" cm="1">
        <f t="array" ref="X98">IF(X$8=-1,Y98,IF(X$8=99,W98,IF(X$8=0,INDEX($E98:$I98,0,X$6),(INDEX($E98:$I98,0,X$8+1)-INDEX($E98:$I98,0,X$8))/(INDEX($D$5:$H$5,0,X$8+1)-INDEX($D$5:$H$5,0,X$8))+W98)))</f>
        <v>322.06136185958536</v>
      </c>
      <c r="Y98" s="5" cm="1">
        <f t="array" ref="Y98">IF(Y$8=-1,Z98,IF(Y$8=99,X98,IF(Y$8=0,INDEX($E98:$I98,0,Y$6),(INDEX($E98:$I98,0,Y$8+1)-INDEX($E98:$I98,0,Y$8))/(INDEX($D$5:$H$5,0,Y$8+1)-INDEX($D$5:$H$5,0,Y$8))+X98)))</f>
        <v>317.54640761716826</v>
      </c>
      <c r="Z98" s="5" cm="1">
        <f t="array" ref="Z98">IF(Z$8=-1,AA98,IF(Z$8=99,Y98,IF(Z$8=0,INDEX($E98:$I98,0,Z$6),(INDEX($E98:$I98,0,Z$8+1)-INDEX($E98:$I98,0,Z$8))/(INDEX($D$5:$H$5,0,Z$8+1)-INDEX($D$5:$H$5,0,Z$8))+Y98)))</f>
        <v>313.03145337475115</v>
      </c>
      <c r="AA98" s="5" cm="1">
        <f t="array" ref="AA98">IF(AA$8=-1,AB98,IF(AA$8=99,Z98,IF(AA$8=0,INDEX($E98:$I98,0,AA$6),(INDEX($E98:$I98,0,AA$8+1)-INDEX($E98:$I98,0,AA$8))/(INDEX($D$5:$H$5,0,AA$8+1)-INDEX($D$5:$H$5,0,AA$8))+Z98)))</f>
        <v>308.51649913233405</v>
      </c>
      <c r="AB98" s="5" cm="1">
        <f t="array" ref="AB98">IF(AB$8=-1,AC98,IF(AB$8=99,AA98,IF(AB$8=0,INDEX($E98:$I98,0,AB$6),(INDEX($E98:$I98,0,AB$8+1)-INDEX($E98:$I98,0,AB$8))/(INDEX($D$5:$H$5,0,AB$8+1)-INDEX($D$5:$H$5,0,AB$8))+AA98)))</f>
        <v>304.00154488991694</v>
      </c>
      <c r="AC98" s="5" cm="1">
        <f t="array" ref="AC98">IF(AC$8=-1,AD98,IF(AC$8=99,AB98,IF(AC$8=0,INDEX($E98:$I98,0,AC$6),(INDEX($E98:$I98,0,AC$8+1)-INDEX($E98:$I98,0,AC$8))/(INDEX($D$5:$H$5,0,AC$8+1)-INDEX($D$5:$H$5,0,AC$8))+AB98)))</f>
        <v>299.48659064749984</v>
      </c>
      <c r="AD98" s="5" cm="1">
        <f t="array" ref="AD98">IF(AD$8=-1,AE98,IF(AD$8=99,AC98,IF(AD$8=0,INDEX($E98:$I98,0,AD$6),(INDEX($E98:$I98,0,AD$8+1)-INDEX($E98:$I98,0,AD$8))/(INDEX($D$5:$H$5,0,AD$8+1)-INDEX($D$5:$H$5,0,AD$8))+AC98)))</f>
        <v>294.97163640508273</v>
      </c>
      <c r="AE98" s="5" cm="1">
        <f t="array" ref="AE98">IF(AE$8=-1,AF98,IF(AE$8=99,AD98,IF(AE$8=0,INDEX($E98:$I98,0,AE$6),(INDEX($E98:$I98,0,AE$8+1)-INDEX($E98:$I98,0,AE$8))/(INDEX($D$5:$H$5,0,AE$8+1)-INDEX($D$5:$H$5,0,AE$8))+AD98)))</f>
        <v>294.97163640508273</v>
      </c>
      <c r="AF98" s="5" cm="1">
        <f t="array" ref="AF98">IF(AF$8=-1,AG98,IF(AF$8=99,AE98,IF(AF$8=0,INDEX($E98:$I98,0,AF$6),(INDEX($E98:$I98,0,AF$8+1)-INDEX($E98:$I98,0,AF$8))/(INDEX($D$5:$H$5,0,AF$8+1)-INDEX($D$5:$H$5,0,AF$8))+AE98)))</f>
        <v>294.97163640508273</v>
      </c>
      <c r="AG98" s="5" cm="1">
        <f t="array" ref="AG98">IF(AG$8=-1,AH98,IF(AG$8=99,AF98,IF(AG$8=0,INDEX($E98:$I98,0,AG$6),(INDEX($E98:$I98,0,AG$8+1)-INDEX($E98:$I98,0,AG$8))/(INDEX($D$5:$H$5,0,AG$8+1)-INDEX($D$5:$H$5,0,AG$8))+AF98)))</f>
        <v>294.97163640508273</v>
      </c>
      <c r="AH98" s="5" cm="1">
        <f t="array" ref="AH98">IF(AH$8=-1,AI98,IF(AH$8=99,AG98,IF(AH$8=0,INDEX($E98:$I98,0,AH$6),(INDEX($E98:$I98,0,AH$8+1)-INDEX($E98:$I98,0,AH$8))/(INDEX($D$5:$H$5,0,AH$8+1)-INDEX($D$5:$H$5,0,AH$8))+AG98)))</f>
        <v>294.97163640508273</v>
      </c>
      <c r="AI98" s="5" cm="1">
        <f t="array" ref="AI98">IF(AI$8=-1,AJ98,IF(AI$8=99,AH98,IF(AI$8=0,INDEX($E98:$I98,0,AI$6),(INDEX($E98:$I98,0,AI$8+1)-INDEX($E98:$I98,0,AI$8))/(INDEX($D$5:$H$5,0,AI$8+1)-INDEX($D$5:$H$5,0,AI$8))+AH98)))</f>
        <v>294.97163640508273</v>
      </c>
      <c r="AJ98" s="5" cm="1">
        <f t="array" ref="AJ98">IF(AJ$8=-1,AK98,IF(AJ$8=99,AI98,IF(AJ$8=0,INDEX($E98:$I98,0,AJ$6),(INDEX($E98:$I98,0,AJ$8+1)-INDEX($E98:$I98,0,AJ$8))/(INDEX($D$5:$H$5,0,AJ$8+1)-INDEX($D$5:$H$5,0,AJ$8))+AI98)))</f>
        <v>294.97163640508273</v>
      </c>
      <c r="AK98" s="5" cm="1">
        <f t="array" ref="AK98">IF(AK$8=-1,AL98,IF(AK$8=99,AJ98,IF(AK$8=0,INDEX($E98:$I98,0,AK$6),(INDEX($E98:$I98,0,AK$8+1)-INDEX($E98:$I98,0,AK$8))/(INDEX($D$5:$H$5,0,AK$8+1)-INDEX($D$5:$H$5,0,AK$8))+AJ98)))</f>
        <v>294.97163640508273</v>
      </c>
      <c r="AL98" s="5" cm="1">
        <f t="array" ref="AL98">IF(AL$8=-1,AM98,IF(AL$8=99,AK98,IF(AL$8=0,INDEX($E98:$I98,0,AL$6),(INDEX($E98:$I98,0,AL$8+1)-INDEX($E98:$I98,0,AL$8))/(INDEX($D$5:$H$5,0,AL$8+1)-INDEX($D$5:$H$5,0,AL$8))+AK98)))</f>
        <v>294.97163640508273</v>
      </c>
      <c r="AM98" s="5" cm="1">
        <f t="array" ref="AM98">IF(AM$8=-1,AN98,IF(AM$8=99,AL98,IF(AM$8=0,INDEX($E98:$I98,0,AM$6),(INDEX($E98:$I98,0,AM$8+1)-INDEX($E98:$I98,0,AM$8))/(INDEX($D$5:$H$5,0,AM$8+1)-INDEX($D$5:$H$5,0,AM$8))+AL98)))</f>
        <v>294.97163640508273</v>
      </c>
      <c r="AN98" s="5" cm="1">
        <f t="array" ref="AN98">IF(AN$8=-1,AO98,IF(AN$8=99,AM98,IF(AN$8=0,INDEX($E98:$I98,0,AN$6),(INDEX($E98:$I98,0,AN$8+1)-INDEX($E98:$I98,0,AN$8))/(INDEX($D$5:$H$5,0,AN$8+1)-INDEX($D$5:$H$5,0,AN$8))+AM98)))</f>
        <v>294.97163640508273</v>
      </c>
      <c r="AO98" s="5" cm="1">
        <f t="array" ref="AO98">IF(AO$8=-1,AP98,IF(AO$8=99,AN98,IF(AO$8=0,INDEX($E98:$K98,0,AO$6),(INDEX($E98:$K98,0,AO$8+1)-INDEX($E98:$K98,0,AO$8))/(INDEX($D$5:$J$5,0,AO$8+1)-INDEX($D$5:$J$5,0,AO$8))+AN98)))</f>
        <v>294.97163640508273</v>
      </c>
      <c r="AP98" s="5" cm="1">
        <f t="array" ref="AP98">IF(AP$8=-1,AQ98,IF(AP$8=99,AO98,IF(AP$8=0,INDEX($E98:$K98,0,AP$6),(INDEX($E98:$K98,0,AP$8+1)-INDEX($E98:$K98,0,AP$8))/(INDEX($D$5:$J$5,0,AP$8+1)-INDEX($D$5:$J$5,0,AP$8))+AO98)))</f>
        <v>294.97163640508273</v>
      </c>
      <c r="AQ98" s="5" cm="1">
        <f t="array" ref="AQ98">IF(AQ$8=-1,AR98,IF(AQ$8=99,AP98,IF(AQ$8=0,INDEX($E98:$K98,0,AQ$6),(INDEX($E98:$K98,0,AQ$8+1)-INDEX($E98:$K98,0,AQ$8))/(INDEX($D$5:$J$5,0,AQ$8+1)-INDEX($D$5:$J$5,0,AQ$8))+AP98)))</f>
        <v>294.97163640508273</v>
      </c>
      <c r="AR98" s="5" cm="1">
        <f t="array" ref="AR98">IF(AR$8=-1,AS98,IF(AR$8=99,AQ98,IF(AR$8=0,INDEX($E98:$K98,0,AR$6),(INDEX($E98:$K98,0,AR$8+1)-INDEX($E98:$K98,0,AR$8))/(INDEX($D$5:$J$5,0,AR$8+1)-INDEX($D$5:$J$5,0,AR$8))+AQ98)))</f>
        <v>294.97163640508273</v>
      </c>
      <c r="AS98" s="5" cm="1">
        <f t="array" ref="AS98">IF(AS$8=-1,AT98,IF(AS$8=99,AR98,IF(AS$8=0,INDEX($E98:$K98,0,AS$6),(INDEX($E98:$K98,0,AS$8+1)-INDEX($E98:$K98,0,AS$8))/(INDEX($D$5:$J$5,0,AS$8+1)-INDEX($D$5:$J$5,0,AS$8))+AR98)))</f>
        <v>294.97163640508273</v>
      </c>
      <c r="AT98" s="5" cm="1">
        <f t="array" ref="AT98">IF(AT$8=-1,AU98,IF(AT$8=99,AS98,IF(AT$8=0,INDEX($E98:$K98,0,AT$6),(INDEX($E98:$K98,0,AT$8+1)-INDEX($E98:$K98,0,AT$8))/(INDEX($D$5:$J$5,0,AT$8+1)-INDEX($D$5:$J$5,0,AT$8))+AS98)))</f>
        <v>294.97163640508273</v>
      </c>
      <c r="AU98" s="5" cm="1">
        <f t="array" ref="AU98">IF(AU$8=-1,AV98,IF(AU$8=99,AT98,IF(AU$8=0,INDEX($E98:$K98,0,AU$6),(INDEX($E98:$K98,0,AU$8+1)-INDEX($E98:$K98,0,AU$8))/(INDEX($D$5:$J$5,0,AU$8+1)-INDEX($D$5:$J$5,0,AU$8))+AT98)))</f>
        <v>294.97163640508273</v>
      </c>
      <c r="AV98" s="5" cm="1">
        <f t="array" ref="AV98">IF(AV$8=-1,AW98,IF(AV$8=99,AU98,IF(AV$8=0,INDEX($E98:$K98,0,AV$6),(INDEX($E98:$K98,0,AV$8+1)-INDEX($E98:$K98,0,AV$8))/(INDEX($D$5:$J$5,0,AV$8+1)-INDEX($D$5:$J$5,0,AV$8))+AU98)))</f>
        <v>294.97163640508273</v>
      </c>
      <c r="AW98" s="5" cm="1">
        <f t="array" ref="AW98">IF(AW$8=-1,AX98,IF(AW$8=99,AV98,IF(AW$8=0,INDEX($E98:$K98,0,AW$6),(INDEX($E98:$K98,0,AW$8+1)-INDEX($E98:$K98,0,AW$8))/(INDEX($D$5:$J$5,0,AW$8+1)-INDEX($D$5:$J$5,0,AW$8))+AV98)))</f>
        <v>294.97163640508273</v>
      </c>
      <c r="AX98" s="5" cm="1">
        <f t="array" ref="AX98">IF(AX$8=-1,AY98,IF(AX$8=99,AW98,IF(AX$8=0,INDEX($E98:$K98,0,AX$6),(INDEX($E98:$K98,0,AX$8+1)-INDEX($E98:$K98,0,AX$8))/(INDEX($D$5:$J$5,0,AX$8+1)-INDEX($D$5:$J$5,0,AX$8))+AW98)))</f>
        <v>294.97163640508273</v>
      </c>
      <c r="AY98" s="5" cm="1">
        <f t="array" ref="AY98">IF(AY$8=-1,AZ98,IF(AY$8=99,AX98,IF(AY$8=0,INDEX($E98:$K98,0,AY$6),(INDEX($E98:$K98,0,AY$8+1)-INDEX($E98:$K98,0,AY$8))/(INDEX($D$5:$J$5,0,AY$8+1)-INDEX($D$5:$J$5,0,AY$8))+AX98)))</f>
        <v>294.97163640508273</v>
      </c>
      <c r="AZ98" s="5" cm="1">
        <f t="array" ref="AZ98">IF(AZ$8=-1,BA98,IF(AZ$8=99,AY98,IF(AZ$8=0,INDEX($E98:$K98,0,AZ$6),(INDEX($E98:$K98,0,AZ$8+1)-INDEX($E98:$K98,0,AZ$8))/(INDEX($D$5:$J$5,0,AZ$8+1)-INDEX($D$5:$J$5,0,AZ$8))+AY98)))</f>
        <v>294.97163640508273</v>
      </c>
      <c r="BA98" s="5" cm="1">
        <f t="array" ref="BA98">IF(BA$8=-1,BB98,IF(BA$8=99,AZ98,IF(BA$8=0,INDEX($E98:$K98,0,BA$6),(INDEX($E98:$K98,0,BA$8+1)-INDEX($E98:$K98,0,BA$8))/(INDEX($D$5:$J$5,0,BA$8+1)-INDEX($D$5:$J$5,0,BA$8))+AZ98)))</f>
        <v>294.97163640508273</v>
      </c>
      <c r="BB98" s="5" cm="1">
        <f t="array" ref="BB98">IF(BB$8=-1,BC98,IF(BB$8=99,BA98,IF(BB$8=0,INDEX($E98:$K98,0,BB$6),(INDEX($E98:$K98,0,BB$8+1)-INDEX($E98:$K98,0,BB$8))/(INDEX($D$5:$J$5,0,BB$8+1)-INDEX($D$5:$J$5,0,BB$8))+BA98)))</f>
        <v>294.97163640508273</v>
      </c>
      <c r="BC98" s="5" cm="1">
        <f t="array" ref="BC98">IF(BC$8=-1,BD98,IF(BC$8=99,BB98,IF(BC$8=0,INDEX($E98:$K98,0,BC$6),(INDEX($E98:$K98,0,BC$8+1)-INDEX($E98:$K98,0,BC$8))/(INDEX($D$5:$J$5,0,BC$8+1)-INDEX($D$5:$J$5,0,BC$8))+BB98)))</f>
        <v>294.97163640508273</v>
      </c>
      <c r="BD98" s="5" cm="1">
        <f t="array" ref="BD98">IF(BD$8=-1,BE98,IF(BD$8=99,BC98,IF(BD$8=0,INDEX($E98:$K98,0,BD$6),(INDEX($E98:$K98,0,BD$8+1)-INDEX($E98:$K98,0,BD$8))/(INDEX($D$5:$J$5,0,BD$8+1)-INDEX($D$5:$J$5,0,BD$8))+BC98)))</f>
        <v>294.97163640508273</v>
      </c>
      <c r="BE98" s="5" cm="1">
        <f t="array" ref="BE98">IF(BE$8=-1,BF98,IF(BE$8=99,BD98,IF(BE$8=0,INDEX($E98:$K98,0,BE$6),(INDEX($E98:$K98,0,BE$8+1)-INDEX($E98:$K98,0,BE$8))/(INDEX($D$5:$J$5,0,BE$8+1)-INDEX($D$5:$J$5,0,BE$8))+BD98)))</f>
        <v>294.97163640508273</v>
      </c>
      <c r="BF98" s="5" cm="1">
        <f t="array" ref="BF98">IF(BF$8=-1,BG98,IF(BF$8=99,BE98,IF(BF$8=0,INDEX($E98:$K98,0,BF$6),(INDEX($E98:$K98,0,BF$8+1)-INDEX($E98:$K98,0,BF$8))/(INDEX($D$5:$J$5,0,BF$8+1)-INDEX($D$5:$J$5,0,BF$8))+BE98)))</f>
        <v>294.97163640508273</v>
      </c>
      <c r="BG98" s="5" cm="1">
        <f t="array" ref="BG98">IF(BG$8=-1,BH98,IF(BG$8=99,BF98,IF(BG$8=0,INDEX($E98:$K98,0,BG$6),(INDEX($E98:$K98,0,BG$8+1)-INDEX($E98:$K98,0,BG$8))/(INDEX($D$5:$J$5,0,BG$8+1)-INDEX($D$5:$J$5,0,BG$8))+BF98)))</f>
        <v>294.97163640508273</v>
      </c>
      <c r="BH98" s="5" cm="1">
        <f t="array" ref="BH98">IF(BH$8=-1,BI98,IF(BH$8=99,BG98,IF(BH$8=0,INDEX($E98:$K98,0,BH$6),(INDEX($E98:$K98,0,BH$8+1)-INDEX($E98:$K98,0,BH$8))/(INDEX($D$5:$J$5,0,BH$8+1)-INDEX($D$5:$J$5,0,BH$8))+BG98)))</f>
        <v>294.97163640508273</v>
      </c>
      <c r="BI98" s="5" cm="1">
        <f t="array" ref="BI98">IF(BI$8=-1,BJ98,IF(BI$8=99,BH98,IF(BI$8=0,INDEX($E98:$K98,0,BI$6),(INDEX($E98:$K98,0,BI$8+1)-INDEX($E98:$K98,0,BI$8))/(INDEX($D$5:$J$5,0,BI$8+1)-INDEX($D$5:$J$5,0,BI$8))+BH98)))</f>
        <v>294.97163640508273</v>
      </c>
      <c r="BJ98" s="5" cm="1">
        <f t="array" ref="BJ98">IF(BJ$8=-1,BK98,IF(BJ$8=99,BI98,IF(BJ$8=0,INDEX($E98:$K98,0,BJ$6),(INDEX($E98:$K98,0,BJ$8+1)-INDEX($E98:$K98,0,BJ$8))/(INDEX($D$5:$J$5,0,BJ$8+1)-INDEX($D$5:$J$5,0,BJ$8))+BI98)))</f>
        <v>294.97163640508273</v>
      </c>
      <c r="BK98" s="5" cm="1">
        <f t="array" ref="BK98">IF(BK$8=-1,BL98,IF(BK$8=99,BJ98,IF(BK$8=0,INDEX($E98:$K98,0,BK$6),(INDEX($E98:$K98,0,BK$8+1)-INDEX($E98:$K98,0,BK$8))/(INDEX($D$5:$J$5,0,BK$8+1)-INDEX($D$5:$J$5,0,BK$8))+BJ98)))</f>
        <v>294.97163640508273</v>
      </c>
      <c r="BL98" s="5" cm="1">
        <f t="array" ref="BL98">IF(BL$8=-1,BM98,IF(BL$8=99,BK98,IF(BL$8=0,INDEX($E98:$K98,0,BL$6),(INDEX($E98:$K98,0,BL$8+1)-INDEX($E98:$K98,0,BL$8))/(INDEX($D$5:$J$5,0,BL$8+1)-INDEX($D$5:$J$5,0,BL$8))+BK98)))</f>
        <v>294.97163640508273</v>
      </c>
      <c r="BM98" s="5" cm="1">
        <f t="array" ref="BM98">IF(BM$8=-1,BN98,IF(BM$8=99,BL98,IF(BM$8=0,INDEX($E98:$K98,0,BM$6),(INDEX($E98:$K98,0,BM$8+1)-INDEX($E98:$K98,0,BM$8))/(INDEX($D$5:$J$5,0,BM$8+1)-INDEX($D$5:$J$5,0,BM$8))+BL98)))</f>
        <v>294.97163640508273</v>
      </c>
      <c r="BN98" s="5" cm="1">
        <f t="array" ref="BN98">IF(BN$8=-1,BO98,IF(BN$8=99,BM98,IF(BN$8=0,INDEX($E98:$K98,0,BN$6),(INDEX($E98:$K98,0,BN$8+1)-INDEX($E98:$K98,0,BN$8))/(INDEX($D$5:$J$5,0,BN$8+1)-INDEX($D$5:$J$5,0,BN$8))+BM98)))</f>
        <v>294.97163640508273</v>
      </c>
      <c r="BO98" s="5" cm="1">
        <f t="array" ref="BO98">IF(BO$8=-1,BP98,IF(BO$8=99,BN98,IF(BO$8=0,INDEX($E98:$K98,0,BO$6),(INDEX($E98:$K98,0,BO$8+1)-INDEX($E98:$K98,0,BO$8))/(INDEX($D$5:$J$5,0,BO$8+1)-INDEX($D$5:$J$5,0,BO$8))+BN98)))</f>
        <v>294.97163640508273</v>
      </c>
      <c r="BP98" s="5" cm="1">
        <f t="array" ref="BP98">IF(BP$8=-1,BQ98,IF(BP$8=99,BO98,IF(BP$8=0,INDEX($E98:$K98,0,BP$6),(INDEX($E98:$K98,0,BP$8+1)-INDEX($E98:$K98,0,BP$8))/(INDEX($D$5:$J$5,0,BP$8+1)-INDEX($D$5:$J$5,0,BP$8))+BO98)))</f>
        <v>294.97163640508273</v>
      </c>
      <c r="BQ98" s="5" cm="1">
        <f t="array" ref="BQ98">IF(BQ$8=-1,BR98,IF(BQ$8=99,BP98,IF(BQ$8=0,INDEX($E98:$K98,0,BQ$6),(INDEX($E98:$K98,0,BQ$8+1)-INDEX($E98:$K98,0,BQ$8))/(INDEX($D$5:$J$5,0,BQ$8+1)-INDEX($D$5:$J$5,0,BQ$8))+BP98)))</f>
        <v>294.97163640508273</v>
      </c>
      <c r="BR98" s="5" cm="1">
        <f t="array" ref="BR98">IF(BR$8=-1,BS98,IF(BR$8=99,BQ98,IF(BR$8=0,INDEX($E98:$K98,0,BR$6),(INDEX($E98:$K98,0,BR$8+1)-INDEX($E98:$K98,0,BR$8))/(INDEX($D$5:$J$5,0,BR$8+1)-INDEX($D$5:$J$5,0,BR$8))+BQ98)))</f>
        <v>294.97163640508273</v>
      </c>
    </row>
    <row r="99" spans="1:74">
      <c r="A99" t="s">
        <v>16</v>
      </c>
      <c r="B99" s="223" t="str">
        <f t="shared" si="154"/>
        <v>CET</v>
      </c>
      <c r="C99" s="90" t="str">
        <f t="shared" si="151"/>
        <v>Commercial - Public Water</v>
      </c>
      <c r="D99" s="90" t="s">
        <v>66</v>
      </c>
      <c r="E99" s="153">
        <f>D63/$L$34</f>
        <v>133.99608918927126</v>
      </c>
      <c r="F99" s="153">
        <f>E63/$Q$34</f>
        <v>117.52871495617349</v>
      </c>
      <c r="G99" s="148">
        <f t="shared" si="152"/>
        <v>117.52871495617349</v>
      </c>
      <c r="H99" s="87">
        <f>IF($N$57=-1,G99,((F99-E99)*2/5+E99)*(1+$I$91))</f>
        <v>101.92731159682573</v>
      </c>
      <c r="I99" s="149">
        <f t="shared" si="157"/>
        <v>101.92731159682573</v>
      </c>
      <c r="J99" s="149">
        <f t="shared" si="153"/>
        <v>101.92731159682573</v>
      </c>
      <c r="K99" s="149">
        <f t="shared" si="153"/>
        <v>101.92731159682573</v>
      </c>
      <c r="L99" s="5" cm="1">
        <f t="array" ref="L99">IF(L$8=-1,M99,IF(L$8=99,I99,IF(L$8=0,INDEX($E99:$I99,0,L$6),(INDEX($E99:$I99,0,L$8+1)-INDEX($E99:$I99,0,L$8))/(INDEX($D$5:$H$5,0,L$8+1)-INDEX($D$5:$H$5,0,L$8))+I99)))</f>
        <v>133.99608918927126</v>
      </c>
      <c r="M99" s="5" cm="1">
        <f t="array" ref="M99">IF(M$8=-1,N99,IF(M$8=99,L99,IF(M$8=0,INDEX($E99:$I99,0,M$6),(INDEX($E99:$I99,0,M$8+1)-INDEX($E99:$I99,0,M$8))/(INDEX($D$5:$H$5,0,M$8+1)-INDEX($D$5:$H$5,0,M$8))+L99)))</f>
        <v>130.70261434265171</v>
      </c>
      <c r="N99" s="5" cm="1">
        <f t="array" ref="N99">IF(N$8=-1,O99,IF(N$8=99,M99,IF(N$8=0,INDEX($E99:$I99,0,N$6),(INDEX($E99:$I99,0,N$8+1)-INDEX($E99:$I99,0,N$8))/(INDEX($D$5:$H$5,0,N$8+1)-INDEX($D$5:$H$5,0,N$8))+M99)))</f>
        <v>127.40913949603215</v>
      </c>
      <c r="O99" s="5" cm="1">
        <f t="array" ref="O99">IF(O$8=-1,P99,IF(O$8=99,N99,IF(O$8=0,INDEX($E99:$I99,0,O$6),(INDEX($E99:$I99,0,O$8+1)-INDEX($E99:$I99,0,O$8))/(INDEX($D$5:$H$5,0,O$8+1)-INDEX($D$5:$H$5,0,O$8))+N99)))</f>
        <v>124.11566464941259</v>
      </c>
      <c r="P99" s="5" cm="1">
        <f t="array" ref="P99">IF(P$8=-1,Q99,IF(P$8=99,O99,IF(P$8=0,INDEX($E99:$I99,0,P$6),(INDEX($E99:$I99,0,P$8+1)-INDEX($E99:$I99,0,P$8))/(INDEX($D$5:$H$5,0,P$8+1)-INDEX($D$5:$H$5,0,P$8))+O99)))</f>
        <v>120.82218980279303</v>
      </c>
      <c r="Q99" s="5" cm="1">
        <f t="array" ref="Q99">IF(Q$8=-1,R99,IF(Q$8=99,P99,IF(Q$8=0,INDEX($E99:$I99,0,Q$6),(INDEX($E99:$I99,0,Q$8+1)-INDEX($E99:$I99,0,Q$8))/(INDEX($D$5:$H$5,0,Q$8+1)-INDEX($D$5:$H$5,0,Q$8))+P99)))</f>
        <v>117.52871495617349</v>
      </c>
      <c r="R99" s="5" cm="1">
        <f t="array" ref="R99">IF(R$8=-1,S99,IF(R$8=99,Q99,IF(R$8=0,INDEX($E99:$I99,0,R$6),(INDEX($E99:$I99,0,R$8+1)-INDEX($E99:$I99,0,R$8))/(INDEX($D$5:$H$5,0,R$8+1)-INDEX($D$5:$H$5,0,R$8))+Q99)))</f>
        <v>117.52871495617349</v>
      </c>
      <c r="S99" s="5" cm="1">
        <f t="array" ref="S99">IF(S$8=-1,T99,IF(S$8=99,R99,IF(S$8=0,INDEX($E99:$I99,0,S$6),(INDEX($E99:$I99,0,S$8+1)-INDEX($E99:$I99,0,S$8))/(INDEX($D$5:$H$5,0,S$8+1)-INDEX($D$5:$H$5,0,S$8))+R99)))</f>
        <v>117.52871495617349</v>
      </c>
      <c r="T99" s="5" cm="1">
        <f t="array" ref="T99">IF(T$8=-1,U99,IF(T$8=99,S99,IF(T$8=0,INDEX($E99:$I99,0,T$6),(INDEX($E99:$I99,0,T$8+1)-INDEX($E99:$I99,0,T$8))/(INDEX($D$5:$H$5,0,T$8+1)-INDEX($D$5:$H$5,0,T$8))+S99)))</f>
        <v>117.52871495617349</v>
      </c>
      <c r="U99" s="5" cm="1">
        <f t="array" ref="U99">IF(U$8=-1,V99,IF(U$8=99,T99,IF(U$8=0,INDEX($E99:$I99,0,U$6),(INDEX($E99:$I99,0,U$8+1)-INDEX($E99:$I99,0,U$8))/(INDEX($D$5:$H$5,0,U$8+1)-INDEX($D$5:$H$5,0,U$8))+T99)))</f>
        <v>115.96857462023871</v>
      </c>
      <c r="V99" s="5" cm="1">
        <f t="array" ref="V99">IF(V$8=-1,W99,IF(V$8=99,U99,IF(V$8=0,INDEX($E99:$I99,0,V$6),(INDEX($E99:$I99,0,V$8+1)-INDEX($E99:$I99,0,V$8))/(INDEX($D$5:$H$5,0,V$8+1)-INDEX($D$5:$H$5,0,V$8))+U99)))</f>
        <v>114.40843428430394</v>
      </c>
      <c r="W99" s="5" cm="1">
        <f t="array" ref="W99">IF(W$8=-1,X99,IF(W$8=99,V99,IF(W$8=0,INDEX($E99:$I99,0,W$6),(INDEX($E99:$I99,0,W$8+1)-INDEX($E99:$I99,0,W$8))/(INDEX($D$5:$H$5,0,W$8+1)-INDEX($D$5:$H$5,0,W$8))+V99)))</f>
        <v>112.84829394836916</v>
      </c>
      <c r="X99" s="5" cm="1">
        <f t="array" ref="X99">IF(X$8=-1,Y99,IF(X$8=99,W99,IF(X$8=0,INDEX($E99:$I99,0,X$6),(INDEX($E99:$I99,0,X$8+1)-INDEX($E99:$I99,0,X$8))/(INDEX($D$5:$H$5,0,X$8+1)-INDEX($D$5:$H$5,0,X$8))+W99)))</f>
        <v>111.28815361243439</v>
      </c>
      <c r="Y99" s="5" cm="1">
        <f t="array" ref="Y99">IF(Y$8=-1,Z99,IF(Y$8=99,X99,IF(Y$8=0,INDEX($E99:$I99,0,Y$6),(INDEX($E99:$I99,0,Y$8+1)-INDEX($E99:$I99,0,Y$8))/(INDEX($D$5:$H$5,0,Y$8+1)-INDEX($D$5:$H$5,0,Y$8))+X99)))</f>
        <v>109.72801327649961</v>
      </c>
      <c r="Z99" s="5" cm="1">
        <f t="array" ref="Z99">IF(Z$8=-1,AA99,IF(Z$8=99,Y99,IF(Z$8=0,INDEX($E99:$I99,0,Z$6),(INDEX($E99:$I99,0,Z$8+1)-INDEX($E99:$I99,0,Z$8))/(INDEX($D$5:$H$5,0,Z$8+1)-INDEX($D$5:$H$5,0,Z$8))+Y99)))</f>
        <v>108.16787294056483</v>
      </c>
      <c r="AA99" s="5" cm="1">
        <f t="array" ref="AA99">IF(AA$8=-1,AB99,IF(AA$8=99,Z99,IF(AA$8=0,INDEX($E99:$I99,0,AA$6),(INDEX($E99:$I99,0,AA$8+1)-INDEX($E99:$I99,0,AA$8))/(INDEX($D$5:$H$5,0,AA$8+1)-INDEX($D$5:$H$5,0,AA$8))+Z99)))</f>
        <v>106.60773260463006</v>
      </c>
      <c r="AB99" s="5" cm="1">
        <f t="array" ref="AB99">IF(AB$8=-1,AC99,IF(AB$8=99,AA99,IF(AB$8=0,INDEX($E99:$I99,0,AB$6),(INDEX($E99:$I99,0,AB$8+1)-INDEX($E99:$I99,0,AB$8))/(INDEX($D$5:$H$5,0,AB$8+1)-INDEX($D$5:$H$5,0,AB$8))+AA99)))</f>
        <v>105.04759226869528</v>
      </c>
      <c r="AC99" s="5" cm="1">
        <f t="array" ref="AC99">IF(AC$8=-1,AD99,IF(AC$8=99,AB99,IF(AC$8=0,INDEX($E99:$I99,0,AC$6),(INDEX($E99:$I99,0,AC$8+1)-INDEX($E99:$I99,0,AC$8))/(INDEX($D$5:$H$5,0,AC$8+1)-INDEX($D$5:$H$5,0,AC$8))+AB99)))</f>
        <v>103.48745193276051</v>
      </c>
      <c r="AD99" s="5" cm="1">
        <f t="array" ref="AD99">IF(AD$8=-1,AE99,IF(AD$8=99,AC99,IF(AD$8=0,INDEX($E99:$I99,0,AD$6),(INDEX($E99:$I99,0,AD$8+1)-INDEX($E99:$I99,0,AD$8))/(INDEX($D$5:$H$5,0,AD$8+1)-INDEX($D$5:$H$5,0,AD$8))+AC99)))</f>
        <v>101.92731159682573</v>
      </c>
      <c r="AE99" s="5" cm="1">
        <f t="array" ref="AE99">IF(AE$8=-1,AF99,IF(AE$8=99,AD99,IF(AE$8=0,INDEX($E99:$I99,0,AE$6),(INDEX($E99:$I99,0,AE$8+1)-INDEX($E99:$I99,0,AE$8))/(INDEX($D$5:$H$5,0,AE$8+1)-INDEX($D$5:$H$5,0,AE$8))+AD99)))</f>
        <v>101.92731159682573</v>
      </c>
      <c r="AF99" s="5" cm="1">
        <f t="array" ref="AF99">IF(AF$8=-1,AG99,IF(AF$8=99,AE99,IF(AF$8=0,INDEX($E99:$I99,0,AF$6),(INDEX($E99:$I99,0,AF$8+1)-INDEX($E99:$I99,0,AF$8))/(INDEX($D$5:$H$5,0,AF$8+1)-INDEX($D$5:$H$5,0,AF$8))+AE99)))</f>
        <v>101.92731159682573</v>
      </c>
      <c r="AG99" s="5" cm="1">
        <f t="array" ref="AG99">IF(AG$8=-1,AH99,IF(AG$8=99,AF99,IF(AG$8=0,INDEX($E99:$I99,0,AG$6),(INDEX($E99:$I99,0,AG$8+1)-INDEX($E99:$I99,0,AG$8))/(INDEX($D$5:$H$5,0,AG$8+1)-INDEX($D$5:$H$5,0,AG$8))+AF99)))</f>
        <v>101.92731159682573</v>
      </c>
      <c r="AH99" s="5" cm="1">
        <f t="array" ref="AH99">IF(AH$8=-1,AI99,IF(AH$8=99,AG99,IF(AH$8=0,INDEX($E99:$I99,0,AH$6),(INDEX($E99:$I99,0,AH$8+1)-INDEX($E99:$I99,0,AH$8))/(INDEX($D$5:$H$5,0,AH$8+1)-INDEX($D$5:$H$5,0,AH$8))+AG99)))</f>
        <v>101.92731159682573</v>
      </c>
      <c r="AI99" s="5" cm="1">
        <f t="array" ref="AI99">IF(AI$8=-1,AJ99,IF(AI$8=99,AH99,IF(AI$8=0,INDEX($E99:$I99,0,AI$6),(INDEX($E99:$I99,0,AI$8+1)-INDEX($E99:$I99,0,AI$8))/(INDEX($D$5:$H$5,0,AI$8+1)-INDEX($D$5:$H$5,0,AI$8))+AH99)))</f>
        <v>101.92731159682573</v>
      </c>
      <c r="AJ99" s="5" cm="1">
        <f t="array" ref="AJ99">IF(AJ$8=-1,AK99,IF(AJ$8=99,AI99,IF(AJ$8=0,INDEX($E99:$I99,0,AJ$6),(INDEX($E99:$I99,0,AJ$8+1)-INDEX($E99:$I99,0,AJ$8))/(INDEX($D$5:$H$5,0,AJ$8+1)-INDEX($D$5:$H$5,0,AJ$8))+AI99)))</f>
        <v>101.92731159682573</v>
      </c>
      <c r="AK99" s="5" cm="1">
        <f t="array" ref="AK99">IF(AK$8=-1,AL99,IF(AK$8=99,AJ99,IF(AK$8=0,INDEX($E99:$I99,0,AK$6),(INDEX($E99:$I99,0,AK$8+1)-INDEX($E99:$I99,0,AK$8))/(INDEX($D$5:$H$5,0,AK$8+1)-INDEX($D$5:$H$5,0,AK$8))+AJ99)))</f>
        <v>101.92731159682573</v>
      </c>
      <c r="AL99" s="5" cm="1">
        <f t="array" ref="AL99">IF(AL$8=-1,AM99,IF(AL$8=99,AK99,IF(AL$8=0,INDEX($E99:$I99,0,AL$6),(INDEX($E99:$I99,0,AL$8+1)-INDEX($E99:$I99,0,AL$8))/(INDEX($D$5:$H$5,0,AL$8+1)-INDEX($D$5:$H$5,0,AL$8))+AK99)))</f>
        <v>101.92731159682573</v>
      </c>
      <c r="AM99" s="5" cm="1">
        <f t="array" ref="AM99">IF(AM$8=-1,AN99,IF(AM$8=99,AL99,IF(AM$8=0,INDEX($E99:$I99,0,AM$6),(INDEX($E99:$I99,0,AM$8+1)-INDEX($E99:$I99,0,AM$8))/(INDEX($D$5:$H$5,0,AM$8+1)-INDEX($D$5:$H$5,0,AM$8))+AL99)))</f>
        <v>101.92731159682573</v>
      </c>
      <c r="AN99" s="5" cm="1">
        <f t="array" ref="AN99">IF(AN$8=-1,AO99,IF(AN$8=99,AM99,IF(AN$8=0,INDEX($E99:$I99,0,AN$6),(INDEX($E99:$I99,0,AN$8+1)-INDEX($E99:$I99,0,AN$8))/(INDEX($D$5:$H$5,0,AN$8+1)-INDEX($D$5:$H$5,0,AN$8))+AM99)))</f>
        <v>101.92731159682573</v>
      </c>
      <c r="AO99" s="5" cm="1">
        <f t="array" ref="AO99">IF(AO$8=-1,AP99,IF(AO$8=99,AN99,IF(AO$8=0,INDEX($E99:$K99,0,AO$6),(INDEX($E99:$K99,0,AO$8+1)-INDEX($E99:$K99,0,AO$8))/(INDEX($D$5:$J$5,0,AO$8+1)-INDEX($D$5:$J$5,0,AO$8))+AN99)))</f>
        <v>101.92731159682573</v>
      </c>
      <c r="AP99" s="5" cm="1">
        <f t="array" ref="AP99">IF(AP$8=-1,AQ99,IF(AP$8=99,AO99,IF(AP$8=0,INDEX($E99:$K99,0,AP$6),(INDEX($E99:$K99,0,AP$8+1)-INDEX($E99:$K99,0,AP$8))/(INDEX($D$5:$J$5,0,AP$8+1)-INDEX($D$5:$J$5,0,AP$8))+AO99)))</f>
        <v>101.92731159682573</v>
      </c>
      <c r="AQ99" s="5" cm="1">
        <f t="array" ref="AQ99">IF(AQ$8=-1,AR99,IF(AQ$8=99,AP99,IF(AQ$8=0,INDEX($E99:$K99,0,AQ$6),(INDEX($E99:$K99,0,AQ$8+1)-INDEX($E99:$K99,0,AQ$8))/(INDEX($D$5:$J$5,0,AQ$8+1)-INDEX($D$5:$J$5,0,AQ$8))+AP99)))</f>
        <v>101.92731159682573</v>
      </c>
      <c r="AR99" s="5" cm="1">
        <f t="array" ref="AR99">IF(AR$8=-1,AS99,IF(AR$8=99,AQ99,IF(AR$8=0,INDEX($E99:$K99,0,AR$6),(INDEX($E99:$K99,0,AR$8+1)-INDEX($E99:$K99,0,AR$8))/(INDEX($D$5:$J$5,0,AR$8+1)-INDEX($D$5:$J$5,0,AR$8))+AQ99)))</f>
        <v>101.92731159682573</v>
      </c>
      <c r="AS99" s="5" cm="1">
        <f t="array" ref="AS99">IF(AS$8=-1,AT99,IF(AS$8=99,AR99,IF(AS$8=0,INDEX($E99:$K99,0,AS$6),(INDEX($E99:$K99,0,AS$8+1)-INDEX($E99:$K99,0,AS$8))/(INDEX($D$5:$J$5,0,AS$8+1)-INDEX($D$5:$J$5,0,AS$8))+AR99)))</f>
        <v>101.92731159682573</v>
      </c>
      <c r="AT99" s="5" cm="1">
        <f t="array" ref="AT99">IF(AT$8=-1,AU99,IF(AT$8=99,AS99,IF(AT$8=0,INDEX($E99:$K99,0,AT$6),(INDEX($E99:$K99,0,AT$8+1)-INDEX($E99:$K99,0,AT$8))/(INDEX($D$5:$J$5,0,AT$8+1)-INDEX($D$5:$J$5,0,AT$8))+AS99)))</f>
        <v>101.92731159682573</v>
      </c>
      <c r="AU99" s="5" cm="1">
        <f t="array" ref="AU99">IF(AU$8=-1,AV99,IF(AU$8=99,AT99,IF(AU$8=0,INDEX($E99:$K99,0,AU$6),(INDEX($E99:$K99,0,AU$8+1)-INDEX($E99:$K99,0,AU$8))/(INDEX($D$5:$J$5,0,AU$8+1)-INDEX($D$5:$J$5,0,AU$8))+AT99)))</f>
        <v>101.92731159682573</v>
      </c>
      <c r="AV99" s="5" cm="1">
        <f t="array" ref="AV99">IF(AV$8=-1,AW99,IF(AV$8=99,AU99,IF(AV$8=0,INDEX($E99:$K99,0,AV$6),(INDEX($E99:$K99,0,AV$8+1)-INDEX($E99:$K99,0,AV$8))/(INDEX($D$5:$J$5,0,AV$8+1)-INDEX($D$5:$J$5,0,AV$8))+AU99)))</f>
        <v>101.92731159682573</v>
      </c>
      <c r="AW99" s="5" cm="1">
        <f t="array" ref="AW99">IF(AW$8=-1,AX99,IF(AW$8=99,AV99,IF(AW$8=0,INDEX($E99:$K99,0,AW$6),(INDEX($E99:$K99,0,AW$8+1)-INDEX($E99:$K99,0,AW$8))/(INDEX($D$5:$J$5,0,AW$8+1)-INDEX($D$5:$J$5,0,AW$8))+AV99)))</f>
        <v>101.92731159682573</v>
      </c>
      <c r="AX99" s="5" cm="1">
        <f t="array" ref="AX99">IF(AX$8=-1,AY99,IF(AX$8=99,AW99,IF(AX$8=0,INDEX($E99:$K99,0,AX$6),(INDEX($E99:$K99,0,AX$8+1)-INDEX($E99:$K99,0,AX$8))/(INDEX($D$5:$J$5,0,AX$8+1)-INDEX($D$5:$J$5,0,AX$8))+AW99)))</f>
        <v>101.92731159682573</v>
      </c>
      <c r="AY99" s="5" cm="1">
        <f t="array" ref="AY99">IF(AY$8=-1,AZ99,IF(AY$8=99,AX99,IF(AY$8=0,INDEX($E99:$K99,0,AY$6),(INDEX($E99:$K99,0,AY$8+1)-INDEX($E99:$K99,0,AY$8))/(INDEX($D$5:$J$5,0,AY$8+1)-INDEX($D$5:$J$5,0,AY$8))+AX99)))</f>
        <v>101.92731159682573</v>
      </c>
      <c r="AZ99" s="5" cm="1">
        <f t="array" ref="AZ99">IF(AZ$8=-1,BA99,IF(AZ$8=99,AY99,IF(AZ$8=0,INDEX($E99:$K99,0,AZ$6),(INDEX($E99:$K99,0,AZ$8+1)-INDEX($E99:$K99,0,AZ$8))/(INDEX($D$5:$J$5,0,AZ$8+1)-INDEX($D$5:$J$5,0,AZ$8))+AY99)))</f>
        <v>101.92731159682573</v>
      </c>
      <c r="BA99" s="5" cm="1">
        <f t="array" ref="BA99">IF(BA$8=-1,BB99,IF(BA$8=99,AZ99,IF(BA$8=0,INDEX($E99:$K99,0,BA$6),(INDEX($E99:$K99,0,BA$8+1)-INDEX($E99:$K99,0,BA$8))/(INDEX($D$5:$J$5,0,BA$8+1)-INDEX($D$5:$J$5,0,BA$8))+AZ99)))</f>
        <v>101.92731159682573</v>
      </c>
      <c r="BB99" s="5" cm="1">
        <f t="array" ref="BB99">IF(BB$8=-1,BC99,IF(BB$8=99,BA99,IF(BB$8=0,INDEX($E99:$K99,0,BB$6),(INDEX($E99:$K99,0,BB$8+1)-INDEX($E99:$K99,0,BB$8))/(INDEX($D$5:$J$5,0,BB$8+1)-INDEX($D$5:$J$5,0,BB$8))+BA99)))</f>
        <v>101.92731159682573</v>
      </c>
      <c r="BC99" s="5" cm="1">
        <f t="array" ref="BC99">IF(BC$8=-1,BD99,IF(BC$8=99,BB99,IF(BC$8=0,INDEX($E99:$K99,0,BC$6),(INDEX($E99:$K99,0,BC$8+1)-INDEX($E99:$K99,0,BC$8))/(INDEX($D$5:$J$5,0,BC$8+1)-INDEX($D$5:$J$5,0,BC$8))+BB99)))</f>
        <v>101.92731159682573</v>
      </c>
      <c r="BD99" s="5" cm="1">
        <f t="array" ref="BD99">IF(BD$8=-1,BE99,IF(BD$8=99,BC99,IF(BD$8=0,INDEX($E99:$K99,0,BD$6),(INDEX($E99:$K99,0,BD$8+1)-INDEX($E99:$K99,0,BD$8))/(INDEX($D$5:$J$5,0,BD$8+1)-INDEX($D$5:$J$5,0,BD$8))+BC99)))</f>
        <v>101.92731159682573</v>
      </c>
      <c r="BE99" s="5" cm="1">
        <f t="array" ref="BE99">IF(BE$8=-1,BF99,IF(BE$8=99,BD99,IF(BE$8=0,INDEX($E99:$K99,0,BE$6),(INDEX($E99:$K99,0,BE$8+1)-INDEX($E99:$K99,0,BE$8))/(INDEX($D$5:$J$5,0,BE$8+1)-INDEX($D$5:$J$5,0,BE$8))+BD99)))</f>
        <v>101.92731159682573</v>
      </c>
      <c r="BF99" s="5" cm="1">
        <f t="array" ref="BF99">IF(BF$8=-1,BG99,IF(BF$8=99,BE99,IF(BF$8=0,INDEX($E99:$K99,0,BF$6),(INDEX($E99:$K99,0,BF$8+1)-INDEX($E99:$K99,0,BF$8))/(INDEX($D$5:$J$5,0,BF$8+1)-INDEX($D$5:$J$5,0,BF$8))+BE99)))</f>
        <v>101.92731159682573</v>
      </c>
      <c r="BG99" s="5" cm="1">
        <f t="array" ref="BG99">IF(BG$8=-1,BH99,IF(BG$8=99,BF99,IF(BG$8=0,INDEX($E99:$K99,0,BG$6),(INDEX($E99:$K99,0,BG$8+1)-INDEX($E99:$K99,0,BG$8))/(INDEX($D$5:$J$5,0,BG$8+1)-INDEX($D$5:$J$5,0,BG$8))+BF99)))</f>
        <v>101.92731159682573</v>
      </c>
      <c r="BH99" s="5" cm="1">
        <f t="array" ref="BH99">IF(BH$8=-1,BI99,IF(BH$8=99,BG99,IF(BH$8=0,INDEX($E99:$K99,0,BH$6),(INDEX($E99:$K99,0,BH$8+1)-INDEX($E99:$K99,0,BH$8))/(INDEX($D$5:$J$5,0,BH$8+1)-INDEX($D$5:$J$5,0,BH$8))+BG99)))</f>
        <v>101.92731159682573</v>
      </c>
      <c r="BI99" s="5" cm="1">
        <f t="array" ref="BI99">IF(BI$8=-1,BJ99,IF(BI$8=99,BH99,IF(BI$8=0,INDEX($E99:$K99,0,BI$6),(INDEX($E99:$K99,0,BI$8+1)-INDEX($E99:$K99,0,BI$8))/(INDEX($D$5:$J$5,0,BI$8+1)-INDEX($D$5:$J$5,0,BI$8))+BH99)))</f>
        <v>101.92731159682573</v>
      </c>
      <c r="BJ99" s="5" cm="1">
        <f t="array" ref="BJ99">IF(BJ$8=-1,BK99,IF(BJ$8=99,BI99,IF(BJ$8=0,INDEX($E99:$K99,0,BJ$6),(INDEX($E99:$K99,0,BJ$8+1)-INDEX($E99:$K99,0,BJ$8))/(INDEX($D$5:$J$5,0,BJ$8+1)-INDEX($D$5:$J$5,0,BJ$8))+BI99)))</f>
        <v>101.92731159682573</v>
      </c>
      <c r="BK99" s="5" cm="1">
        <f t="array" ref="BK99">IF(BK$8=-1,BL99,IF(BK$8=99,BJ99,IF(BK$8=0,INDEX($E99:$K99,0,BK$6),(INDEX($E99:$K99,0,BK$8+1)-INDEX($E99:$K99,0,BK$8))/(INDEX($D$5:$J$5,0,BK$8+1)-INDEX($D$5:$J$5,0,BK$8))+BJ99)))</f>
        <v>101.92731159682573</v>
      </c>
      <c r="BL99" s="5" cm="1">
        <f t="array" ref="BL99">IF(BL$8=-1,BM99,IF(BL$8=99,BK99,IF(BL$8=0,INDEX($E99:$K99,0,BL$6),(INDEX($E99:$K99,0,BL$8+1)-INDEX($E99:$K99,0,BL$8))/(INDEX($D$5:$J$5,0,BL$8+1)-INDEX($D$5:$J$5,0,BL$8))+BK99)))</f>
        <v>101.92731159682573</v>
      </c>
      <c r="BM99" s="5" cm="1">
        <f t="array" ref="BM99">IF(BM$8=-1,BN99,IF(BM$8=99,BL99,IF(BM$8=0,INDEX($E99:$K99,0,BM$6),(INDEX($E99:$K99,0,BM$8+1)-INDEX($E99:$K99,0,BM$8))/(INDEX($D$5:$J$5,0,BM$8+1)-INDEX($D$5:$J$5,0,BM$8))+BL99)))</f>
        <v>101.92731159682573</v>
      </c>
      <c r="BN99" s="5" cm="1">
        <f t="array" ref="BN99">IF(BN$8=-1,BO99,IF(BN$8=99,BM99,IF(BN$8=0,INDEX($E99:$K99,0,BN$6),(INDEX($E99:$K99,0,BN$8+1)-INDEX($E99:$K99,0,BN$8))/(INDEX($D$5:$J$5,0,BN$8+1)-INDEX($D$5:$J$5,0,BN$8))+BM99)))</f>
        <v>101.92731159682573</v>
      </c>
      <c r="BO99" s="5" cm="1">
        <f t="array" ref="BO99">IF(BO$8=-1,BP99,IF(BO$8=99,BN99,IF(BO$8=0,INDEX($E99:$K99,0,BO$6),(INDEX($E99:$K99,0,BO$8+1)-INDEX($E99:$K99,0,BO$8))/(INDEX($D$5:$J$5,0,BO$8+1)-INDEX($D$5:$J$5,0,BO$8))+BN99)))</f>
        <v>101.92731159682573</v>
      </c>
      <c r="BP99" s="5" cm="1">
        <f t="array" ref="BP99">IF(BP$8=-1,BQ99,IF(BP$8=99,BO99,IF(BP$8=0,INDEX($E99:$K99,0,BP$6),(INDEX($E99:$K99,0,BP$8+1)-INDEX($E99:$K99,0,BP$8))/(INDEX($D$5:$J$5,0,BP$8+1)-INDEX($D$5:$J$5,0,BP$8))+BO99)))</f>
        <v>101.92731159682573</v>
      </c>
      <c r="BQ99" s="5" cm="1">
        <f t="array" ref="BQ99">IF(BQ$8=-1,BR99,IF(BQ$8=99,BP99,IF(BQ$8=0,INDEX($E99:$K99,0,BQ$6),(INDEX($E99:$K99,0,BQ$8+1)-INDEX($E99:$K99,0,BQ$8))/(INDEX($D$5:$J$5,0,BQ$8+1)-INDEX($D$5:$J$5,0,BQ$8))+BP99)))</f>
        <v>101.92731159682573</v>
      </c>
      <c r="BR99" s="5" cm="1">
        <f t="array" ref="BR99">IF(BR$8=-1,BS99,IF(BR$8=99,BQ99,IF(BR$8=0,INDEX($E99:$K99,0,BR$6),(INDEX($E99:$K99,0,BR$8+1)-INDEX($E99:$K99,0,BR$8))/(INDEX($D$5:$J$5,0,BR$8+1)-INDEX($D$5:$J$5,0,BR$8))+BQ99)))</f>
        <v>101.92731159682573</v>
      </c>
    </row>
    <row r="100" spans="1:74">
      <c r="A100" t="s">
        <v>16</v>
      </c>
      <c r="B100" s="223" t="str">
        <f t="shared" si="154"/>
        <v>CEO</v>
      </c>
      <c r="C100" s="70" t="str">
        <f t="shared" si="151"/>
        <v>Commercial - Other</v>
      </c>
      <c r="D100" s="70" t="s">
        <v>66</v>
      </c>
      <c r="E100" s="79">
        <f t="shared" si="155"/>
        <v>141.24997285391134</v>
      </c>
      <c r="F100" s="87">
        <f t="shared" si="155"/>
        <v>145.08075848468391</v>
      </c>
      <c r="G100" s="87">
        <f t="shared" si="152"/>
        <v>145.08075848468391</v>
      </c>
      <c r="H100" s="87">
        <f t="shared" ref="H100" si="158">IF($N$57=-1,G100,((F100-E100)*2/5+E100)*(1+$H$91))</f>
        <v>71.391143553110183</v>
      </c>
      <c r="I100" s="131">
        <f t="shared" si="157"/>
        <v>71.391143553110183</v>
      </c>
      <c r="J100" s="131">
        <f t="shared" si="153"/>
        <v>71.391143553110183</v>
      </c>
      <c r="K100" s="131">
        <f t="shared" si="153"/>
        <v>71.391143553110183</v>
      </c>
      <c r="L100" s="5" cm="1">
        <f t="array" ref="L100">IF(L$8=-1,M100,IF(L$8=99,I100,IF(L$8=0,INDEX($E100:$I100,0,L$6),(INDEX($E100:$I100,0,L$8+1)-INDEX($E100:$I100,0,L$8))/(INDEX($D$5:$H$5,0,L$8+1)-INDEX($D$5:$H$5,0,L$8))+I100)))</f>
        <v>141.24997285391134</v>
      </c>
      <c r="M100" s="5" cm="1">
        <f t="array" ref="M100">IF(M$8=-1,N100,IF(M$8=99,L100,IF(M$8=0,INDEX($E100:$I100,0,M$6),(INDEX($E100:$I100,0,M$8+1)-INDEX($E100:$I100,0,M$8))/(INDEX($D$5:$H$5,0,M$8+1)-INDEX($D$5:$H$5,0,M$8))+L100)))</f>
        <v>142.01612998006587</v>
      </c>
      <c r="N100" s="5" cm="1">
        <f t="array" ref="N100">IF(N$8=-1,O100,IF(N$8=99,M100,IF(N$8=0,INDEX($E100:$I100,0,N$6),(INDEX($E100:$I100,0,N$8+1)-INDEX($E100:$I100,0,N$8))/(INDEX($D$5:$H$5,0,N$8+1)-INDEX($D$5:$H$5,0,N$8))+M100)))</f>
        <v>142.78228710622039</v>
      </c>
      <c r="O100" s="5" cm="1">
        <f t="array" ref="O100">IF(O$8=-1,P100,IF(O$8=99,N100,IF(O$8=0,INDEX($E100:$I100,0,O$6),(INDEX($E100:$I100,0,O$8+1)-INDEX($E100:$I100,0,O$8))/(INDEX($D$5:$H$5,0,O$8+1)-INDEX($D$5:$H$5,0,O$8))+N100)))</f>
        <v>143.54844423237492</v>
      </c>
      <c r="P100" s="5" cm="1">
        <f t="array" ref="P100">IF(P$8=-1,Q100,IF(P$8=99,O100,IF(P$8=0,INDEX($E100:$I100,0,P$6),(INDEX($E100:$I100,0,P$8+1)-INDEX($E100:$I100,0,P$8))/(INDEX($D$5:$H$5,0,P$8+1)-INDEX($D$5:$H$5,0,P$8))+O100)))</f>
        <v>144.31460135852944</v>
      </c>
      <c r="Q100" s="5" cm="1">
        <f t="array" ref="Q100">IF(Q$8=-1,R100,IF(Q$8=99,P100,IF(Q$8=0,INDEX($E100:$I100,0,Q$6),(INDEX($E100:$I100,0,Q$8+1)-INDEX($E100:$I100,0,Q$8))/(INDEX($D$5:$H$5,0,Q$8+1)-INDEX($D$5:$H$5,0,Q$8))+P100)))</f>
        <v>145.08075848468391</v>
      </c>
      <c r="R100" s="5" cm="1">
        <f t="array" ref="R100">IF(R$8=-1,S100,IF(R$8=99,Q100,IF(R$8=0,INDEX($E100:$I100,0,R$6),(INDEX($E100:$I100,0,R$8+1)-INDEX($E100:$I100,0,R$8))/(INDEX($D$5:$H$5,0,R$8+1)-INDEX($D$5:$H$5,0,R$8))+Q100)))</f>
        <v>145.08075848468391</v>
      </c>
      <c r="S100" s="5" cm="1">
        <f t="array" ref="S100">IF(S$8=-1,T100,IF(S$8=99,R100,IF(S$8=0,INDEX($E100:$I100,0,S$6),(INDEX($E100:$I100,0,S$8+1)-INDEX($E100:$I100,0,S$8))/(INDEX($D$5:$H$5,0,S$8+1)-INDEX($D$5:$H$5,0,S$8))+R100)))</f>
        <v>145.08075848468391</v>
      </c>
      <c r="T100" s="5" cm="1">
        <f t="array" ref="T100">IF(T$8=-1,U100,IF(T$8=99,S100,IF(T$8=0,INDEX($E100:$I100,0,T$6),(INDEX($E100:$I100,0,T$8+1)-INDEX($E100:$I100,0,T$8))/(INDEX($D$5:$H$5,0,T$8+1)-INDEX($D$5:$H$5,0,T$8))+S100)))</f>
        <v>145.08075848468391</v>
      </c>
      <c r="U100" s="5" cm="1">
        <f t="array" ref="U100">IF(U$8=-1,V100,IF(U$8=99,T100,IF(U$8=0,INDEX($E100:$I100,0,U$6),(INDEX($E100:$I100,0,U$8+1)-INDEX($E100:$I100,0,U$8))/(INDEX($D$5:$H$5,0,U$8+1)-INDEX($D$5:$H$5,0,U$8))+T100)))</f>
        <v>137.71179699152654</v>
      </c>
      <c r="V100" s="5" cm="1">
        <f t="array" ref="V100">IF(V$8=-1,W100,IF(V$8=99,U100,IF(V$8=0,INDEX($E100:$I100,0,V$6),(INDEX($E100:$I100,0,V$8+1)-INDEX($E100:$I100,0,V$8))/(INDEX($D$5:$H$5,0,V$8+1)-INDEX($D$5:$H$5,0,V$8))+U100)))</f>
        <v>130.34283549836917</v>
      </c>
      <c r="W100" s="5" cm="1">
        <f t="array" ref="W100">IF(W$8=-1,X100,IF(W$8=99,V100,IF(W$8=0,INDEX($E100:$I100,0,W$6),(INDEX($E100:$I100,0,W$8+1)-INDEX($E100:$I100,0,W$8))/(INDEX($D$5:$H$5,0,W$8+1)-INDEX($D$5:$H$5,0,W$8))+V100)))</f>
        <v>122.9738740052118</v>
      </c>
      <c r="X100" s="5" cm="1">
        <f t="array" ref="X100">IF(X$8=-1,Y100,IF(X$8=99,W100,IF(X$8=0,INDEX($E100:$I100,0,X$6),(INDEX($E100:$I100,0,X$8+1)-INDEX($E100:$I100,0,X$8))/(INDEX($D$5:$H$5,0,X$8+1)-INDEX($D$5:$H$5,0,X$8))+W100)))</f>
        <v>115.60491251205443</v>
      </c>
      <c r="Y100" s="5" cm="1">
        <f t="array" ref="Y100">IF(Y$8=-1,Z100,IF(Y$8=99,X100,IF(Y$8=0,INDEX($E100:$I100,0,Y$6),(INDEX($E100:$I100,0,Y$8+1)-INDEX($E100:$I100,0,Y$8))/(INDEX($D$5:$H$5,0,Y$8+1)-INDEX($D$5:$H$5,0,Y$8))+X100)))</f>
        <v>108.23595101889705</v>
      </c>
      <c r="Z100" s="5" cm="1">
        <f t="array" ref="Z100">IF(Z$8=-1,AA100,IF(Z$8=99,Y100,IF(Z$8=0,INDEX($E100:$I100,0,Z$6),(INDEX($E100:$I100,0,Z$8+1)-INDEX($E100:$I100,0,Z$8))/(INDEX($D$5:$H$5,0,Z$8+1)-INDEX($D$5:$H$5,0,Z$8))+Y100)))</f>
        <v>100.86698952573968</v>
      </c>
      <c r="AA100" s="5" cm="1">
        <f t="array" ref="AA100">IF(AA$8=-1,AB100,IF(AA$8=99,Z100,IF(AA$8=0,INDEX($E100:$I100,0,AA$6),(INDEX($E100:$I100,0,AA$8+1)-INDEX($E100:$I100,0,AA$8))/(INDEX($D$5:$H$5,0,AA$8+1)-INDEX($D$5:$H$5,0,AA$8))+Z100)))</f>
        <v>93.498028032582312</v>
      </c>
      <c r="AB100" s="5" cm="1">
        <f t="array" ref="AB100">IF(AB$8=-1,AC100,IF(AB$8=99,AA100,IF(AB$8=0,INDEX($E100:$I100,0,AB$6),(INDEX($E100:$I100,0,AB$8+1)-INDEX($E100:$I100,0,AB$8))/(INDEX($D$5:$H$5,0,AB$8+1)-INDEX($D$5:$H$5,0,AB$8))+AA100)))</f>
        <v>86.12906653942494</v>
      </c>
      <c r="AC100" s="5" cm="1">
        <f t="array" ref="AC100">IF(AC$8=-1,AD100,IF(AC$8=99,AB100,IF(AC$8=0,INDEX($E100:$I100,0,AC$6),(INDEX($E100:$I100,0,AC$8+1)-INDEX($E100:$I100,0,AC$8))/(INDEX($D$5:$H$5,0,AC$8+1)-INDEX($D$5:$H$5,0,AC$8))+AB100)))</f>
        <v>78.760105046267569</v>
      </c>
      <c r="AD100" s="5" cm="1">
        <f t="array" ref="AD100">IF(AD$8=-1,AE100,IF(AD$8=99,AC100,IF(AD$8=0,INDEX($E100:$I100,0,AD$6),(INDEX($E100:$I100,0,AD$8+1)-INDEX($E100:$I100,0,AD$8))/(INDEX($D$5:$H$5,0,AD$8+1)-INDEX($D$5:$H$5,0,AD$8))+AC100)))</f>
        <v>71.391143553110183</v>
      </c>
      <c r="AE100" s="5" cm="1">
        <f t="array" ref="AE100">IF(AE$8=-1,AF100,IF(AE$8=99,AD100,IF(AE$8=0,INDEX($E100:$I100,0,AE$6),(INDEX($E100:$I100,0,AE$8+1)-INDEX($E100:$I100,0,AE$8))/(INDEX($D$5:$H$5,0,AE$8+1)-INDEX($D$5:$H$5,0,AE$8))+AD100)))</f>
        <v>71.391143553110183</v>
      </c>
      <c r="AF100" s="5" cm="1">
        <f t="array" ref="AF100">IF(AF$8=-1,AG100,IF(AF$8=99,AE100,IF(AF$8=0,INDEX($E100:$I100,0,AF$6),(INDEX($E100:$I100,0,AF$8+1)-INDEX($E100:$I100,0,AF$8))/(INDEX($D$5:$H$5,0,AF$8+1)-INDEX($D$5:$H$5,0,AF$8))+AE100)))</f>
        <v>71.391143553110183</v>
      </c>
      <c r="AG100" s="5" cm="1">
        <f t="array" ref="AG100">IF(AG$8=-1,AH100,IF(AG$8=99,AF100,IF(AG$8=0,INDEX($E100:$I100,0,AG$6),(INDEX($E100:$I100,0,AG$8+1)-INDEX($E100:$I100,0,AG$8))/(INDEX($D$5:$H$5,0,AG$8+1)-INDEX($D$5:$H$5,0,AG$8))+AF100)))</f>
        <v>71.391143553110183</v>
      </c>
      <c r="AH100" s="5" cm="1">
        <f t="array" ref="AH100">IF(AH$8=-1,AI100,IF(AH$8=99,AG100,IF(AH$8=0,INDEX($E100:$I100,0,AH$6),(INDEX($E100:$I100,0,AH$8+1)-INDEX($E100:$I100,0,AH$8))/(INDEX($D$5:$H$5,0,AH$8+1)-INDEX($D$5:$H$5,0,AH$8))+AG100)))</f>
        <v>71.391143553110183</v>
      </c>
      <c r="AI100" s="5" cm="1">
        <f t="array" ref="AI100">IF(AI$8=-1,AJ100,IF(AI$8=99,AH100,IF(AI$8=0,INDEX($E100:$I100,0,AI$6),(INDEX($E100:$I100,0,AI$8+1)-INDEX($E100:$I100,0,AI$8))/(INDEX($D$5:$H$5,0,AI$8+1)-INDEX($D$5:$H$5,0,AI$8))+AH100)))</f>
        <v>71.391143553110183</v>
      </c>
      <c r="AJ100" s="5" cm="1">
        <f t="array" ref="AJ100">IF(AJ$8=-1,AK100,IF(AJ$8=99,AI100,IF(AJ$8=0,INDEX($E100:$I100,0,AJ$6),(INDEX($E100:$I100,0,AJ$8+1)-INDEX($E100:$I100,0,AJ$8))/(INDEX($D$5:$H$5,0,AJ$8+1)-INDEX($D$5:$H$5,0,AJ$8))+AI100)))</f>
        <v>71.391143553110183</v>
      </c>
      <c r="AK100" s="5" cm="1">
        <f t="array" ref="AK100">IF(AK$8=-1,AL100,IF(AK$8=99,AJ100,IF(AK$8=0,INDEX($E100:$I100,0,AK$6),(INDEX($E100:$I100,0,AK$8+1)-INDEX($E100:$I100,0,AK$8))/(INDEX($D$5:$H$5,0,AK$8+1)-INDEX($D$5:$H$5,0,AK$8))+AJ100)))</f>
        <v>71.391143553110183</v>
      </c>
      <c r="AL100" s="5" cm="1">
        <f t="array" ref="AL100">IF(AL$8=-1,AM100,IF(AL$8=99,AK100,IF(AL$8=0,INDEX($E100:$I100,0,AL$6),(INDEX($E100:$I100,0,AL$8+1)-INDEX($E100:$I100,0,AL$8))/(INDEX($D$5:$H$5,0,AL$8+1)-INDEX($D$5:$H$5,0,AL$8))+AK100)))</f>
        <v>71.391143553110183</v>
      </c>
      <c r="AM100" s="5" cm="1">
        <f t="array" ref="AM100">IF(AM$8=-1,AN100,IF(AM$8=99,AL100,IF(AM$8=0,INDEX($E100:$I100,0,AM$6),(INDEX($E100:$I100,0,AM$8+1)-INDEX($E100:$I100,0,AM$8))/(INDEX($D$5:$H$5,0,AM$8+1)-INDEX($D$5:$H$5,0,AM$8))+AL100)))</f>
        <v>71.391143553110183</v>
      </c>
      <c r="AN100" s="5" cm="1">
        <f t="array" ref="AN100">IF(AN$8=-1,AO100,IF(AN$8=99,AM100,IF(AN$8=0,INDEX($E100:$I100,0,AN$6),(INDEX($E100:$I100,0,AN$8+1)-INDEX($E100:$I100,0,AN$8))/(INDEX($D$5:$H$5,0,AN$8+1)-INDEX($D$5:$H$5,0,AN$8))+AM100)))</f>
        <v>71.391143553110183</v>
      </c>
      <c r="AO100" s="5" cm="1">
        <f t="array" ref="AO100">IF(AO$8=-1,AP100,IF(AO$8=99,AN100,IF(AO$8=0,INDEX($E100:$K100,0,AO$6),(INDEX($E100:$K100,0,AO$8+1)-INDEX($E100:$K100,0,AO$8))/(INDEX($D$5:$J$5,0,AO$8+1)-INDEX($D$5:$J$5,0,AO$8))+AN100)))</f>
        <v>71.391143553110183</v>
      </c>
      <c r="AP100" s="5" cm="1">
        <f t="array" ref="AP100">IF(AP$8=-1,AQ100,IF(AP$8=99,AO100,IF(AP$8=0,INDEX($E100:$K100,0,AP$6),(INDEX($E100:$K100,0,AP$8+1)-INDEX($E100:$K100,0,AP$8))/(INDEX($D$5:$J$5,0,AP$8+1)-INDEX($D$5:$J$5,0,AP$8))+AO100)))</f>
        <v>71.391143553110183</v>
      </c>
      <c r="AQ100" s="5" cm="1">
        <f t="array" ref="AQ100">IF(AQ$8=-1,AR100,IF(AQ$8=99,AP100,IF(AQ$8=0,INDEX($E100:$K100,0,AQ$6),(INDEX($E100:$K100,0,AQ$8+1)-INDEX($E100:$K100,0,AQ$8))/(INDEX($D$5:$J$5,0,AQ$8+1)-INDEX($D$5:$J$5,0,AQ$8))+AP100)))</f>
        <v>71.391143553110183</v>
      </c>
      <c r="AR100" s="5" cm="1">
        <f t="array" ref="AR100">IF(AR$8=-1,AS100,IF(AR$8=99,AQ100,IF(AR$8=0,INDEX($E100:$K100,0,AR$6),(INDEX($E100:$K100,0,AR$8+1)-INDEX($E100:$K100,0,AR$8))/(INDEX($D$5:$J$5,0,AR$8+1)-INDEX($D$5:$J$5,0,AR$8))+AQ100)))</f>
        <v>71.391143553110183</v>
      </c>
      <c r="AS100" s="5" cm="1">
        <f t="array" ref="AS100">IF(AS$8=-1,AT100,IF(AS$8=99,AR100,IF(AS$8=0,INDEX($E100:$K100,0,AS$6),(INDEX($E100:$K100,0,AS$8+1)-INDEX($E100:$K100,0,AS$8))/(INDEX($D$5:$J$5,0,AS$8+1)-INDEX($D$5:$J$5,0,AS$8))+AR100)))</f>
        <v>71.391143553110183</v>
      </c>
      <c r="AT100" s="5" cm="1">
        <f t="array" ref="AT100">IF(AT$8=-1,AU100,IF(AT$8=99,AS100,IF(AT$8=0,INDEX($E100:$K100,0,AT$6),(INDEX($E100:$K100,0,AT$8+1)-INDEX($E100:$K100,0,AT$8))/(INDEX($D$5:$J$5,0,AT$8+1)-INDEX($D$5:$J$5,0,AT$8))+AS100)))</f>
        <v>71.391143553110183</v>
      </c>
      <c r="AU100" s="5" cm="1">
        <f t="array" ref="AU100">IF(AU$8=-1,AV100,IF(AU$8=99,AT100,IF(AU$8=0,INDEX($E100:$K100,0,AU$6),(INDEX($E100:$K100,0,AU$8+1)-INDEX($E100:$K100,0,AU$8))/(INDEX($D$5:$J$5,0,AU$8+1)-INDEX($D$5:$J$5,0,AU$8))+AT100)))</f>
        <v>71.391143553110183</v>
      </c>
      <c r="AV100" s="5" cm="1">
        <f t="array" ref="AV100">IF(AV$8=-1,AW100,IF(AV$8=99,AU100,IF(AV$8=0,INDEX($E100:$K100,0,AV$6),(INDEX($E100:$K100,0,AV$8+1)-INDEX($E100:$K100,0,AV$8))/(INDEX($D$5:$J$5,0,AV$8+1)-INDEX($D$5:$J$5,0,AV$8))+AU100)))</f>
        <v>71.391143553110183</v>
      </c>
      <c r="AW100" s="5" cm="1">
        <f t="array" ref="AW100">IF(AW$8=-1,AX100,IF(AW$8=99,AV100,IF(AW$8=0,INDEX($E100:$K100,0,AW$6),(INDEX($E100:$K100,0,AW$8+1)-INDEX($E100:$K100,0,AW$8))/(INDEX($D$5:$J$5,0,AW$8+1)-INDEX($D$5:$J$5,0,AW$8))+AV100)))</f>
        <v>71.391143553110183</v>
      </c>
      <c r="AX100" s="5" cm="1">
        <f t="array" ref="AX100">IF(AX$8=-1,AY100,IF(AX$8=99,AW100,IF(AX$8=0,INDEX($E100:$K100,0,AX$6),(INDEX($E100:$K100,0,AX$8+1)-INDEX($E100:$K100,0,AX$8))/(INDEX($D$5:$J$5,0,AX$8+1)-INDEX($D$5:$J$5,0,AX$8))+AW100)))</f>
        <v>71.391143553110183</v>
      </c>
      <c r="AY100" s="5" cm="1">
        <f t="array" ref="AY100">IF(AY$8=-1,AZ100,IF(AY$8=99,AX100,IF(AY$8=0,INDEX($E100:$K100,0,AY$6),(INDEX($E100:$K100,0,AY$8+1)-INDEX($E100:$K100,0,AY$8))/(INDEX($D$5:$J$5,0,AY$8+1)-INDEX($D$5:$J$5,0,AY$8))+AX100)))</f>
        <v>71.391143553110183</v>
      </c>
      <c r="AZ100" s="5" cm="1">
        <f t="array" ref="AZ100">IF(AZ$8=-1,BA100,IF(AZ$8=99,AY100,IF(AZ$8=0,INDEX($E100:$K100,0,AZ$6),(INDEX($E100:$K100,0,AZ$8+1)-INDEX($E100:$K100,0,AZ$8))/(INDEX($D$5:$J$5,0,AZ$8+1)-INDEX($D$5:$J$5,0,AZ$8))+AY100)))</f>
        <v>71.391143553110183</v>
      </c>
      <c r="BA100" s="5" cm="1">
        <f t="array" ref="BA100">IF(BA$8=-1,BB100,IF(BA$8=99,AZ100,IF(BA$8=0,INDEX($E100:$K100,0,BA$6),(INDEX($E100:$K100,0,BA$8+1)-INDEX($E100:$K100,0,BA$8))/(INDEX($D$5:$J$5,0,BA$8+1)-INDEX($D$5:$J$5,0,BA$8))+AZ100)))</f>
        <v>71.391143553110183</v>
      </c>
      <c r="BB100" s="5" cm="1">
        <f t="array" ref="BB100">IF(BB$8=-1,BC100,IF(BB$8=99,BA100,IF(BB$8=0,INDEX($E100:$K100,0,BB$6),(INDEX($E100:$K100,0,BB$8+1)-INDEX($E100:$K100,0,BB$8))/(INDEX($D$5:$J$5,0,BB$8+1)-INDEX($D$5:$J$5,0,BB$8))+BA100)))</f>
        <v>71.391143553110183</v>
      </c>
      <c r="BC100" s="5" cm="1">
        <f t="array" ref="BC100">IF(BC$8=-1,BD100,IF(BC$8=99,BB100,IF(BC$8=0,INDEX($E100:$K100,0,BC$6),(INDEX($E100:$K100,0,BC$8+1)-INDEX($E100:$K100,0,BC$8))/(INDEX($D$5:$J$5,0,BC$8+1)-INDEX($D$5:$J$5,0,BC$8))+BB100)))</f>
        <v>71.391143553110183</v>
      </c>
      <c r="BD100" s="5" cm="1">
        <f t="array" ref="BD100">IF(BD$8=-1,BE100,IF(BD$8=99,BC100,IF(BD$8=0,INDEX($E100:$K100,0,BD$6),(INDEX($E100:$K100,0,BD$8+1)-INDEX($E100:$K100,0,BD$8))/(INDEX($D$5:$J$5,0,BD$8+1)-INDEX($D$5:$J$5,0,BD$8))+BC100)))</f>
        <v>71.391143553110183</v>
      </c>
      <c r="BE100" s="5" cm="1">
        <f t="array" ref="BE100">IF(BE$8=-1,BF100,IF(BE$8=99,BD100,IF(BE$8=0,INDEX($E100:$K100,0,BE$6),(INDEX($E100:$K100,0,BE$8+1)-INDEX($E100:$K100,0,BE$8))/(INDEX($D$5:$J$5,0,BE$8+1)-INDEX($D$5:$J$5,0,BE$8))+BD100)))</f>
        <v>71.391143553110183</v>
      </c>
      <c r="BF100" s="5" cm="1">
        <f t="array" ref="BF100">IF(BF$8=-1,BG100,IF(BF$8=99,BE100,IF(BF$8=0,INDEX($E100:$K100,0,BF$6),(INDEX($E100:$K100,0,BF$8+1)-INDEX($E100:$K100,0,BF$8))/(INDEX($D$5:$J$5,0,BF$8+1)-INDEX($D$5:$J$5,0,BF$8))+BE100)))</f>
        <v>71.391143553110183</v>
      </c>
      <c r="BG100" s="5" cm="1">
        <f t="array" ref="BG100">IF(BG$8=-1,BH100,IF(BG$8=99,BF100,IF(BG$8=0,INDEX($E100:$K100,0,BG$6),(INDEX($E100:$K100,0,BG$8+1)-INDEX($E100:$K100,0,BG$8))/(INDEX($D$5:$J$5,0,BG$8+1)-INDEX($D$5:$J$5,0,BG$8))+BF100)))</f>
        <v>71.391143553110183</v>
      </c>
      <c r="BH100" s="5" cm="1">
        <f t="array" ref="BH100">IF(BH$8=-1,BI100,IF(BH$8=99,BG100,IF(BH$8=0,INDEX($E100:$K100,0,BH$6),(INDEX($E100:$K100,0,BH$8+1)-INDEX($E100:$K100,0,BH$8))/(INDEX($D$5:$J$5,0,BH$8+1)-INDEX($D$5:$J$5,0,BH$8))+BG100)))</f>
        <v>71.391143553110183</v>
      </c>
      <c r="BI100" s="5" cm="1">
        <f t="array" ref="BI100">IF(BI$8=-1,BJ100,IF(BI$8=99,BH100,IF(BI$8=0,INDEX($E100:$K100,0,BI$6),(INDEX($E100:$K100,0,BI$8+1)-INDEX($E100:$K100,0,BI$8))/(INDEX($D$5:$J$5,0,BI$8+1)-INDEX($D$5:$J$5,0,BI$8))+BH100)))</f>
        <v>71.391143553110183</v>
      </c>
      <c r="BJ100" s="5" cm="1">
        <f t="array" ref="BJ100">IF(BJ$8=-1,BK100,IF(BJ$8=99,BI100,IF(BJ$8=0,INDEX($E100:$K100,0,BJ$6),(INDEX($E100:$K100,0,BJ$8+1)-INDEX($E100:$K100,0,BJ$8))/(INDEX($D$5:$J$5,0,BJ$8+1)-INDEX($D$5:$J$5,0,BJ$8))+BI100)))</f>
        <v>71.391143553110183</v>
      </c>
      <c r="BK100" s="5" cm="1">
        <f t="array" ref="BK100">IF(BK$8=-1,BL100,IF(BK$8=99,BJ100,IF(BK$8=0,INDEX($E100:$K100,0,BK$6),(INDEX($E100:$K100,0,BK$8+1)-INDEX($E100:$K100,0,BK$8))/(INDEX($D$5:$J$5,0,BK$8+1)-INDEX($D$5:$J$5,0,BK$8))+BJ100)))</f>
        <v>71.391143553110183</v>
      </c>
      <c r="BL100" s="5" cm="1">
        <f t="array" ref="BL100">IF(BL$8=-1,BM100,IF(BL$8=99,BK100,IF(BL$8=0,INDEX($E100:$K100,0,BL$6),(INDEX($E100:$K100,0,BL$8+1)-INDEX($E100:$K100,0,BL$8))/(INDEX($D$5:$J$5,0,BL$8+1)-INDEX($D$5:$J$5,0,BL$8))+BK100)))</f>
        <v>71.391143553110183</v>
      </c>
      <c r="BM100" s="5" cm="1">
        <f t="array" ref="BM100">IF(BM$8=-1,BN100,IF(BM$8=99,BL100,IF(BM$8=0,INDEX($E100:$K100,0,BM$6),(INDEX($E100:$K100,0,BM$8+1)-INDEX($E100:$K100,0,BM$8))/(INDEX($D$5:$J$5,0,BM$8+1)-INDEX($D$5:$J$5,0,BM$8))+BL100)))</f>
        <v>71.391143553110183</v>
      </c>
      <c r="BN100" s="5" cm="1">
        <f t="array" ref="BN100">IF(BN$8=-1,BO100,IF(BN$8=99,BM100,IF(BN$8=0,INDEX($E100:$K100,0,BN$6),(INDEX($E100:$K100,0,BN$8+1)-INDEX($E100:$K100,0,BN$8))/(INDEX($D$5:$J$5,0,BN$8+1)-INDEX($D$5:$J$5,0,BN$8))+BM100)))</f>
        <v>71.391143553110183</v>
      </c>
      <c r="BO100" s="5" cm="1">
        <f t="array" ref="BO100">IF(BO$8=-1,BP100,IF(BO$8=99,BN100,IF(BO$8=0,INDEX($E100:$K100,0,BO$6),(INDEX($E100:$K100,0,BO$8+1)-INDEX($E100:$K100,0,BO$8))/(INDEX($D$5:$J$5,0,BO$8+1)-INDEX($D$5:$J$5,0,BO$8))+BN100)))</f>
        <v>71.391143553110183</v>
      </c>
      <c r="BP100" s="5" cm="1">
        <f t="array" ref="BP100">IF(BP$8=-1,BQ100,IF(BP$8=99,BO100,IF(BP$8=0,INDEX($E100:$K100,0,BP$6),(INDEX($E100:$K100,0,BP$8+1)-INDEX($E100:$K100,0,BP$8))/(INDEX($D$5:$J$5,0,BP$8+1)-INDEX($D$5:$J$5,0,BP$8))+BO100)))</f>
        <v>71.391143553110183</v>
      </c>
      <c r="BQ100" s="5" cm="1">
        <f t="array" ref="BQ100">IF(BQ$8=-1,BR100,IF(BQ$8=99,BP100,IF(BQ$8=0,INDEX($E100:$K100,0,BQ$6),(INDEX($E100:$K100,0,BQ$8+1)-INDEX($E100:$K100,0,BQ$8))/(INDEX($D$5:$J$5,0,BQ$8+1)-INDEX($D$5:$J$5,0,BQ$8))+BP100)))</f>
        <v>71.391143553110183</v>
      </c>
      <c r="BR100" s="5" cm="1">
        <f t="array" ref="BR100">IF(BR$8=-1,BS100,IF(BR$8=99,BQ100,IF(BR$8=0,INDEX($E100:$K100,0,BR$6),(INDEX($E100:$K100,0,BR$8+1)-INDEX($E100:$K100,0,BR$8))/(INDEX($D$5:$J$5,0,BR$8+1)-INDEX($D$5:$J$5,0,BR$8))+BQ100)))</f>
        <v>71.391143553110183</v>
      </c>
    </row>
    <row r="101" spans="1:74">
      <c r="A101" t="s">
        <v>16</v>
      </c>
      <c r="B101" s="223"/>
      <c r="I101" s="132"/>
      <c r="M101" s="70"/>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124">
        <v>0.01</v>
      </c>
    </row>
    <row r="102" spans="1:74">
      <c r="A102" t="s">
        <v>16</v>
      </c>
      <c r="E102" s="79"/>
      <c r="F102" s="79"/>
      <c r="G102" s="79"/>
      <c r="H102" s="79"/>
      <c r="I102" s="151"/>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123" t="s">
        <v>461</v>
      </c>
    </row>
    <row r="103" spans="1:74" ht="18.75">
      <c r="A103" t="s">
        <v>16</v>
      </c>
      <c r="B103" s="141" t="s">
        <v>67</v>
      </c>
      <c r="I103" s="132"/>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123" t="s">
        <v>462</v>
      </c>
    </row>
    <row r="104" spans="1:74" ht="15.75" thickBot="1">
      <c r="A104" t="s">
        <v>16</v>
      </c>
      <c r="B104" s="67"/>
      <c r="C104" s="67" t="s">
        <v>243</v>
      </c>
      <c r="D104" s="67"/>
      <c r="E104" s="67"/>
      <c r="F104" s="80"/>
      <c r="G104" s="80"/>
      <c r="H104" s="80"/>
      <c r="I104" s="152"/>
      <c r="J104" s="80"/>
      <c r="K104" s="80"/>
      <c r="L104" s="80">
        <f t="shared" ref="L104:BR104" si="159">L67</f>
        <v>2012</v>
      </c>
      <c r="M104" s="80">
        <f t="shared" si="159"/>
        <v>2013</v>
      </c>
      <c r="N104" s="80">
        <f t="shared" si="159"/>
        <v>2014</v>
      </c>
      <c r="O104" s="80">
        <f t="shared" si="159"/>
        <v>2015</v>
      </c>
      <c r="P104" s="80">
        <f t="shared" si="159"/>
        <v>2016</v>
      </c>
      <c r="Q104" s="80">
        <f t="shared" si="159"/>
        <v>2017</v>
      </c>
      <c r="R104" s="80">
        <f t="shared" si="159"/>
        <v>2018</v>
      </c>
      <c r="S104" s="80">
        <f t="shared" si="159"/>
        <v>2019</v>
      </c>
      <c r="T104" s="80">
        <f t="shared" si="159"/>
        <v>2020</v>
      </c>
      <c r="U104" s="80">
        <f t="shared" si="159"/>
        <v>2021</v>
      </c>
      <c r="V104" s="80">
        <f t="shared" si="159"/>
        <v>2022</v>
      </c>
      <c r="W104" s="80">
        <f t="shared" si="159"/>
        <v>2023</v>
      </c>
      <c r="X104" s="80">
        <f t="shared" si="159"/>
        <v>2024</v>
      </c>
      <c r="Y104" s="80">
        <f t="shared" si="159"/>
        <v>2025</v>
      </c>
      <c r="Z104" s="80">
        <f t="shared" si="159"/>
        <v>2026</v>
      </c>
      <c r="AA104" s="80">
        <f t="shared" si="159"/>
        <v>2027</v>
      </c>
      <c r="AB104" s="80">
        <f t="shared" si="159"/>
        <v>2028</v>
      </c>
      <c r="AC104" s="80">
        <f t="shared" si="159"/>
        <v>2029</v>
      </c>
      <c r="AD104" s="80">
        <f t="shared" si="159"/>
        <v>2030</v>
      </c>
      <c r="AE104" s="80">
        <f t="shared" si="159"/>
        <v>2031</v>
      </c>
      <c r="AF104" s="80">
        <f t="shared" si="159"/>
        <v>2032</v>
      </c>
      <c r="AG104" s="80">
        <f t="shared" si="159"/>
        <v>2033</v>
      </c>
      <c r="AH104" s="80">
        <f t="shared" si="159"/>
        <v>2034</v>
      </c>
      <c r="AI104" s="80">
        <f t="shared" si="159"/>
        <v>2035</v>
      </c>
      <c r="AJ104" s="80">
        <f t="shared" si="159"/>
        <v>2036</v>
      </c>
      <c r="AK104" s="80">
        <f t="shared" si="159"/>
        <v>2037</v>
      </c>
      <c r="AL104" s="80">
        <f t="shared" si="159"/>
        <v>2038</v>
      </c>
      <c r="AM104" s="80">
        <f t="shared" si="159"/>
        <v>2039</v>
      </c>
      <c r="AN104" s="80">
        <f t="shared" si="159"/>
        <v>2040</v>
      </c>
      <c r="AO104" s="80">
        <f t="shared" si="159"/>
        <v>2041</v>
      </c>
      <c r="AP104" s="80">
        <f t="shared" si="159"/>
        <v>2042</v>
      </c>
      <c r="AQ104" s="80">
        <f t="shared" si="159"/>
        <v>2043</v>
      </c>
      <c r="AR104" s="80">
        <f t="shared" si="159"/>
        <v>2044</v>
      </c>
      <c r="AS104" s="80">
        <f t="shared" si="159"/>
        <v>2045</v>
      </c>
      <c r="AT104" s="80">
        <f t="shared" si="159"/>
        <v>2046</v>
      </c>
      <c r="AU104" s="80">
        <f t="shared" si="159"/>
        <v>2047</v>
      </c>
      <c r="AV104" s="80">
        <f t="shared" si="159"/>
        <v>2048</v>
      </c>
      <c r="AW104" s="80">
        <f t="shared" si="159"/>
        <v>2049</v>
      </c>
      <c r="AX104" s="80">
        <f t="shared" si="159"/>
        <v>2050</v>
      </c>
      <c r="AY104" s="80">
        <f t="shared" si="159"/>
        <v>2051</v>
      </c>
      <c r="AZ104" s="80">
        <f t="shared" si="159"/>
        <v>2052</v>
      </c>
      <c r="BA104" s="80">
        <f t="shared" si="159"/>
        <v>2053</v>
      </c>
      <c r="BB104" s="80">
        <f t="shared" si="159"/>
        <v>2054</v>
      </c>
      <c r="BC104" s="80">
        <f t="shared" si="159"/>
        <v>2055</v>
      </c>
      <c r="BD104" s="80">
        <f t="shared" si="159"/>
        <v>2056</v>
      </c>
      <c r="BE104" s="80">
        <f t="shared" si="159"/>
        <v>2057</v>
      </c>
      <c r="BF104" s="80">
        <f t="shared" si="159"/>
        <v>2058</v>
      </c>
      <c r="BG104" s="80">
        <f t="shared" si="159"/>
        <v>2059</v>
      </c>
      <c r="BH104" s="80">
        <f t="shared" si="159"/>
        <v>2060</v>
      </c>
      <c r="BI104" s="80">
        <f t="shared" si="159"/>
        <v>2061</v>
      </c>
      <c r="BJ104" s="80">
        <f t="shared" si="159"/>
        <v>2062</v>
      </c>
      <c r="BK104" s="80">
        <f t="shared" si="159"/>
        <v>2063</v>
      </c>
      <c r="BL104" s="80">
        <f t="shared" si="159"/>
        <v>2064</v>
      </c>
      <c r="BM104" s="80">
        <f t="shared" si="159"/>
        <v>2065</v>
      </c>
      <c r="BN104" s="80">
        <f t="shared" si="159"/>
        <v>2066</v>
      </c>
      <c r="BO104" s="80">
        <f t="shared" si="159"/>
        <v>2067</v>
      </c>
      <c r="BP104" s="80">
        <f t="shared" si="159"/>
        <v>2068</v>
      </c>
      <c r="BQ104" s="80">
        <f t="shared" si="159"/>
        <v>2069</v>
      </c>
      <c r="BR104" s="80">
        <f t="shared" si="159"/>
        <v>2070</v>
      </c>
    </row>
    <row r="105" spans="1:74">
      <c r="A105" t="s">
        <v>16</v>
      </c>
      <c r="B105" s="223" t="s">
        <v>234</v>
      </c>
      <c r="C105" s="70" t="str">
        <f t="shared" ref="C105:C113" si="160">C70</f>
        <v>Commercial - Cooling</v>
      </c>
      <c r="I105" s="132"/>
      <c r="L105" s="70">
        <v>1</v>
      </c>
      <c r="M105" s="70">
        <v>1</v>
      </c>
      <c r="N105" s="70">
        <v>1</v>
      </c>
      <c r="O105" s="70">
        <v>1</v>
      </c>
      <c r="P105" s="70">
        <v>1</v>
      </c>
      <c r="Q105" s="70">
        <v>1</v>
      </c>
      <c r="R105" s="70">
        <v>1</v>
      </c>
      <c r="S105" s="70">
        <v>1</v>
      </c>
      <c r="T105" s="70">
        <v>1</v>
      </c>
      <c r="U105" s="70">
        <v>1</v>
      </c>
      <c r="V105" s="70">
        <v>1</v>
      </c>
      <c r="W105" s="70">
        <v>1</v>
      </c>
      <c r="X105" s="70">
        <v>1</v>
      </c>
      <c r="Y105" s="70">
        <v>1</v>
      </c>
      <c r="Z105" s="70">
        <v>1</v>
      </c>
      <c r="AA105" s="70">
        <v>1</v>
      </c>
      <c r="AB105" s="70">
        <v>1</v>
      </c>
      <c r="AC105" s="70">
        <v>1</v>
      </c>
      <c r="AD105" s="70">
        <v>1</v>
      </c>
      <c r="AE105" s="70">
        <v>1</v>
      </c>
      <c r="AF105" s="70">
        <v>1</v>
      </c>
      <c r="AG105" s="70">
        <v>1</v>
      </c>
      <c r="AH105" s="70">
        <v>1</v>
      </c>
      <c r="AI105" s="70">
        <v>1</v>
      </c>
      <c r="AJ105" s="70">
        <v>1</v>
      </c>
      <c r="AK105" s="70">
        <v>1</v>
      </c>
      <c r="AL105" s="70">
        <v>1</v>
      </c>
      <c r="AM105" s="70">
        <v>1</v>
      </c>
      <c r="AN105" s="70">
        <v>1</v>
      </c>
      <c r="AO105" s="70">
        <v>1</v>
      </c>
      <c r="AP105" s="70">
        <v>1</v>
      </c>
      <c r="AQ105" s="70">
        <v>1</v>
      </c>
      <c r="AR105" s="70">
        <v>1</v>
      </c>
      <c r="AS105" s="70">
        <v>1</v>
      </c>
      <c r="AT105" s="70">
        <v>1</v>
      </c>
      <c r="AU105" s="70">
        <v>1</v>
      </c>
      <c r="AV105" s="70">
        <v>1</v>
      </c>
      <c r="AW105" s="70">
        <v>1</v>
      </c>
      <c r="AX105" s="70">
        <v>1</v>
      </c>
      <c r="AY105" s="70">
        <v>1</v>
      </c>
      <c r="AZ105" s="70">
        <v>1</v>
      </c>
      <c r="BA105" s="70">
        <v>1</v>
      </c>
      <c r="BB105" s="70">
        <v>1</v>
      </c>
      <c r="BC105" s="70">
        <v>1</v>
      </c>
      <c r="BD105" s="70">
        <v>1</v>
      </c>
      <c r="BE105" s="70">
        <v>1</v>
      </c>
      <c r="BF105" s="70">
        <v>1</v>
      </c>
      <c r="BG105" s="70">
        <v>1</v>
      </c>
      <c r="BH105" s="70">
        <v>1</v>
      </c>
      <c r="BI105" s="70">
        <v>1</v>
      </c>
      <c r="BJ105" s="70">
        <v>1</v>
      </c>
      <c r="BK105" s="70">
        <v>1</v>
      </c>
      <c r="BL105" s="70">
        <v>1</v>
      </c>
      <c r="BM105" s="70">
        <v>1</v>
      </c>
      <c r="BN105" s="70">
        <v>1</v>
      </c>
      <c r="BO105" s="70">
        <v>1</v>
      </c>
      <c r="BP105" s="70">
        <v>1</v>
      </c>
      <c r="BQ105" s="70">
        <v>1</v>
      </c>
      <c r="BR105" s="70">
        <v>1</v>
      </c>
    </row>
    <row r="106" spans="1:74">
      <c r="A106" t="s">
        <v>16</v>
      </c>
      <c r="B106" s="223" t="s">
        <v>235</v>
      </c>
      <c r="C106" s="70" t="str">
        <f t="shared" si="160"/>
        <v>Commercial - Space Heating</v>
      </c>
      <c r="I106" s="132"/>
      <c r="L106" s="70">
        <v>1</v>
      </c>
      <c r="M106" s="70">
        <v>1</v>
      </c>
      <c r="N106" s="70">
        <v>1</v>
      </c>
      <c r="O106" s="70">
        <v>1</v>
      </c>
      <c r="P106" s="70">
        <v>1</v>
      </c>
      <c r="Q106" s="70">
        <v>1</v>
      </c>
      <c r="R106" s="70">
        <v>1</v>
      </c>
      <c r="S106" s="70">
        <v>1</v>
      </c>
      <c r="T106" s="70">
        <v>1</v>
      </c>
      <c r="U106" s="70">
        <v>1</v>
      </c>
      <c r="V106" s="70">
        <v>1</v>
      </c>
      <c r="W106" s="70">
        <v>1</v>
      </c>
      <c r="X106" s="70">
        <v>1</v>
      </c>
      <c r="Y106" s="70">
        <v>1</v>
      </c>
      <c r="Z106" s="70">
        <v>1</v>
      </c>
      <c r="AA106" s="70">
        <v>1</v>
      </c>
      <c r="AB106" s="70">
        <v>1</v>
      </c>
      <c r="AC106" s="70">
        <v>1</v>
      </c>
      <c r="AD106" s="70">
        <v>1</v>
      </c>
      <c r="AE106" s="70">
        <v>1</v>
      </c>
      <c r="AF106" s="70">
        <v>1</v>
      </c>
      <c r="AG106" s="70">
        <v>1</v>
      </c>
      <c r="AH106" s="70">
        <v>1</v>
      </c>
      <c r="AI106" s="70">
        <v>1</v>
      </c>
      <c r="AJ106" s="70">
        <v>1</v>
      </c>
      <c r="AK106" s="70">
        <v>1</v>
      </c>
      <c r="AL106" s="70">
        <v>1</v>
      </c>
      <c r="AM106" s="70">
        <v>1</v>
      </c>
      <c r="AN106" s="70">
        <v>1</v>
      </c>
      <c r="AO106" s="70">
        <v>1</v>
      </c>
      <c r="AP106" s="70">
        <v>1</v>
      </c>
      <c r="AQ106" s="70">
        <v>1</v>
      </c>
      <c r="AR106" s="70">
        <v>1</v>
      </c>
      <c r="AS106" s="70">
        <v>1</v>
      </c>
      <c r="AT106" s="70">
        <v>1</v>
      </c>
      <c r="AU106" s="70">
        <v>1</v>
      </c>
      <c r="AV106" s="70">
        <v>1</v>
      </c>
      <c r="AW106" s="70">
        <v>1</v>
      </c>
      <c r="AX106" s="70">
        <v>1</v>
      </c>
      <c r="AY106" s="70">
        <v>1</v>
      </c>
      <c r="AZ106" s="70">
        <v>1</v>
      </c>
      <c r="BA106" s="70">
        <v>1</v>
      </c>
      <c r="BB106" s="70">
        <v>1</v>
      </c>
      <c r="BC106" s="70">
        <v>1</v>
      </c>
      <c r="BD106" s="70">
        <v>1</v>
      </c>
      <c r="BE106" s="70">
        <v>1</v>
      </c>
      <c r="BF106" s="70">
        <v>1</v>
      </c>
      <c r="BG106" s="70">
        <v>1</v>
      </c>
      <c r="BH106" s="70">
        <v>1</v>
      </c>
      <c r="BI106" s="70">
        <v>1</v>
      </c>
      <c r="BJ106" s="70">
        <v>1</v>
      </c>
      <c r="BK106" s="70">
        <v>1</v>
      </c>
      <c r="BL106" s="70">
        <v>1</v>
      </c>
      <c r="BM106" s="70">
        <v>1</v>
      </c>
      <c r="BN106" s="70">
        <v>1</v>
      </c>
      <c r="BO106" s="70">
        <v>1</v>
      </c>
      <c r="BP106" s="70">
        <v>1</v>
      </c>
      <c r="BQ106" s="70">
        <v>1</v>
      </c>
      <c r="BR106" s="70">
        <v>1</v>
      </c>
    </row>
    <row r="107" spans="1:74">
      <c r="A107" t="s">
        <v>16</v>
      </c>
      <c r="B107" s="223" t="s">
        <v>236</v>
      </c>
      <c r="C107" s="70" t="str">
        <f t="shared" si="160"/>
        <v>Commercial - Cooking</v>
      </c>
      <c r="I107" s="132"/>
      <c r="L107" s="70">
        <v>1</v>
      </c>
      <c r="M107" s="70">
        <v>1</v>
      </c>
      <c r="N107" s="70">
        <v>1</v>
      </c>
      <c r="O107" s="70">
        <v>1</v>
      </c>
      <c r="P107" s="70">
        <v>1</v>
      </c>
      <c r="Q107" s="70">
        <v>1</v>
      </c>
      <c r="R107" s="70">
        <v>1</v>
      </c>
      <c r="S107" s="70">
        <v>1</v>
      </c>
      <c r="T107" s="70">
        <v>1</v>
      </c>
      <c r="U107" s="70">
        <v>1</v>
      </c>
      <c r="V107" s="70">
        <v>1</v>
      </c>
      <c r="W107" s="70">
        <v>1</v>
      </c>
      <c r="X107" s="70">
        <v>1</v>
      </c>
      <c r="Y107" s="70">
        <v>1</v>
      </c>
      <c r="Z107" s="70">
        <v>1</v>
      </c>
      <c r="AA107" s="70">
        <v>1</v>
      </c>
      <c r="AB107" s="70">
        <v>1</v>
      </c>
      <c r="AC107" s="70">
        <v>1</v>
      </c>
      <c r="AD107" s="70">
        <v>1</v>
      </c>
      <c r="AE107" s="70">
        <v>1</v>
      </c>
      <c r="AF107" s="70">
        <v>1</v>
      </c>
      <c r="AG107" s="70">
        <v>1</v>
      </c>
      <c r="AH107" s="70">
        <v>1</v>
      </c>
      <c r="AI107" s="70">
        <v>1</v>
      </c>
      <c r="AJ107" s="70">
        <v>1</v>
      </c>
      <c r="AK107" s="70">
        <v>1</v>
      </c>
      <c r="AL107" s="70">
        <v>1</v>
      </c>
      <c r="AM107" s="70">
        <v>1</v>
      </c>
      <c r="AN107" s="70">
        <v>1</v>
      </c>
      <c r="AO107" s="70">
        <v>1</v>
      </c>
      <c r="AP107" s="70">
        <v>1</v>
      </c>
      <c r="AQ107" s="70">
        <v>1</v>
      </c>
      <c r="AR107" s="70">
        <v>1</v>
      </c>
      <c r="AS107" s="70">
        <v>1</v>
      </c>
      <c r="AT107" s="70">
        <v>1</v>
      </c>
      <c r="AU107" s="70">
        <v>1</v>
      </c>
      <c r="AV107" s="70">
        <v>1</v>
      </c>
      <c r="AW107" s="70">
        <v>1</v>
      </c>
      <c r="AX107" s="70">
        <v>1</v>
      </c>
      <c r="AY107" s="70">
        <v>1</v>
      </c>
      <c r="AZ107" s="70">
        <v>1</v>
      </c>
      <c r="BA107" s="70">
        <v>1</v>
      </c>
      <c r="BB107" s="70">
        <v>1</v>
      </c>
      <c r="BC107" s="70">
        <v>1</v>
      </c>
      <c r="BD107" s="70">
        <v>1</v>
      </c>
      <c r="BE107" s="70">
        <v>1</v>
      </c>
      <c r="BF107" s="70">
        <v>1</v>
      </c>
      <c r="BG107" s="70">
        <v>1</v>
      </c>
      <c r="BH107" s="70">
        <v>1</v>
      </c>
      <c r="BI107" s="70">
        <v>1</v>
      </c>
      <c r="BJ107" s="70">
        <v>1</v>
      </c>
      <c r="BK107" s="70">
        <v>1</v>
      </c>
      <c r="BL107" s="70">
        <v>1</v>
      </c>
      <c r="BM107" s="70">
        <v>1</v>
      </c>
      <c r="BN107" s="70">
        <v>1</v>
      </c>
      <c r="BO107" s="70">
        <v>1</v>
      </c>
      <c r="BP107" s="70">
        <v>1</v>
      </c>
      <c r="BQ107" s="70">
        <v>1</v>
      </c>
      <c r="BR107" s="70">
        <v>1</v>
      </c>
      <c r="BU107" s="300"/>
      <c r="BV107" s="300"/>
    </row>
    <row r="108" spans="1:74">
      <c r="A108" t="s">
        <v>16</v>
      </c>
      <c r="B108" s="223" t="s">
        <v>237</v>
      </c>
      <c r="C108" s="70" t="str">
        <f t="shared" si="160"/>
        <v>Commercial - Lighting</v>
      </c>
      <c r="I108" s="132"/>
      <c r="L108" s="70">
        <v>1</v>
      </c>
      <c r="M108" s="70">
        <v>1</v>
      </c>
      <c r="N108" s="70">
        <v>1</v>
      </c>
      <c r="O108" s="70">
        <v>1</v>
      </c>
      <c r="P108" s="70">
        <v>1</v>
      </c>
      <c r="Q108" s="70">
        <v>1</v>
      </c>
      <c r="R108" s="70">
        <v>1</v>
      </c>
      <c r="S108" s="70">
        <v>1</v>
      </c>
      <c r="T108" s="70">
        <v>1</v>
      </c>
      <c r="U108" s="70">
        <v>1</v>
      </c>
      <c r="V108" s="70">
        <v>1</v>
      </c>
      <c r="W108" s="70">
        <v>1</v>
      </c>
      <c r="X108" s="70">
        <v>1</v>
      </c>
      <c r="Y108" s="70">
        <v>1</v>
      </c>
      <c r="Z108" s="70">
        <v>1</v>
      </c>
      <c r="AA108" s="70">
        <v>1</v>
      </c>
      <c r="AB108" s="70">
        <v>1</v>
      </c>
      <c r="AC108" s="70">
        <v>1</v>
      </c>
      <c r="AD108" s="70">
        <v>1</v>
      </c>
      <c r="AE108" s="70">
        <v>1</v>
      </c>
      <c r="AF108" s="70">
        <v>1</v>
      </c>
      <c r="AG108" s="70">
        <v>1</v>
      </c>
      <c r="AH108" s="70">
        <v>1</v>
      </c>
      <c r="AI108" s="70">
        <v>1</v>
      </c>
      <c r="AJ108" s="70">
        <v>1</v>
      </c>
      <c r="AK108" s="70">
        <v>1</v>
      </c>
      <c r="AL108" s="70">
        <v>1</v>
      </c>
      <c r="AM108" s="70">
        <v>1</v>
      </c>
      <c r="AN108" s="70">
        <v>1</v>
      </c>
      <c r="AO108" s="70">
        <v>1</v>
      </c>
      <c r="AP108" s="70">
        <v>1</v>
      </c>
      <c r="AQ108" s="70">
        <v>1</v>
      </c>
      <c r="AR108" s="70">
        <v>1</v>
      </c>
      <c r="AS108" s="70">
        <v>1</v>
      </c>
      <c r="AT108" s="70">
        <v>1</v>
      </c>
      <c r="AU108" s="70">
        <v>1</v>
      </c>
      <c r="AV108" s="70">
        <v>1</v>
      </c>
      <c r="AW108" s="70">
        <v>1</v>
      </c>
      <c r="AX108" s="70">
        <v>1</v>
      </c>
      <c r="AY108" s="70">
        <v>1</v>
      </c>
      <c r="AZ108" s="70">
        <v>1</v>
      </c>
      <c r="BA108" s="70">
        <v>1</v>
      </c>
      <c r="BB108" s="70">
        <v>1</v>
      </c>
      <c r="BC108" s="70">
        <v>1</v>
      </c>
      <c r="BD108" s="70">
        <v>1</v>
      </c>
      <c r="BE108" s="70">
        <v>1</v>
      </c>
      <c r="BF108" s="70">
        <v>1</v>
      </c>
      <c r="BG108" s="70">
        <v>1</v>
      </c>
      <c r="BH108" s="70">
        <v>1</v>
      </c>
      <c r="BI108" s="70">
        <v>1</v>
      </c>
      <c r="BJ108" s="70">
        <v>1</v>
      </c>
      <c r="BK108" s="70">
        <v>1</v>
      </c>
      <c r="BL108" s="70">
        <v>1</v>
      </c>
      <c r="BM108" s="70">
        <v>1</v>
      </c>
      <c r="BN108" s="70">
        <v>1</v>
      </c>
      <c r="BO108" s="70">
        <v>1</v>
      </c>
      <c r="BP108" s="70">
        <v>1</v>
      </c>
      <c r="BQ108" s="70">
        <v>1</v>
      </c>
      <c r="BR108" s="70">
        <v>1</v>
      </c>
      <c r="BU108" s="123"/>
    </row>
    <row r="109" spans="1:74">
      <c r="A109" t="s">
        <v>16</v>
      </c>
      <c r="B109" s="223" t="s">
        <v>238</v>
      </c>
      <c r="C109" s="70" t="str">
        <f t="shared" si="160"/>
        <v>Commercial - Refrigeration</v>
      </c>
      <c r="I109" s="132"/>
      <c r="L109" s="70">
        <v>1</v>
      </c>
      <c r="M109" s="70">
        <v>1</v>
      </c>
      <c r="N109" s="70">
        <v>1</v>
      </c>
      <c r="O109" s="70">
        <v>1</v>
      </c>
      <c r="P109" s="70">
        <v>1</v>
      </c>
      <c r="Q109" s="70">
        <v>1</v>
      </c>
      <c r="R109" s="70">
        <v>1</v>
      </c>
      <c r="S109" s="70">
        <v>1</v>
      </c>
      <c r="T109" s="70">
        <v>1</v>
      </c>
      <c r="U109" s="70">
        <v>1</v>
      </c>
      <c r="V109" s="70">
        <v>1</v>
      </c>
      <c r="W109" s="70">
        <v>1</v>
      </c>
      <c r="X109" s="70">
        <v>1</v>
      </c>
      <c r="Y109" s="70">
        <v>1</v>
      </c>
      <c r="Z109" s="70">
        <v>1</v>
      </c>
      <c r="AA109" s="70">
        <v>1</v>
      </c>
      <c r="AB109" s="70">
        <v>1</v>
      </c>
      <c r="AC109" s="70">
        <v>1</v>
      </c>
      <c r="AD109" s="70">
        <v>1</v>
      </c>
      <c r="AE109" s="70">
        <v>1</v>
      </c>
      <c r="AF109" s="70">
        <v>1</v>
      </c>
      <c r="AG109" s="70">
        <v>1</v>
      </c>
      <c r="AH109" s="70">
        <v>1</v>
      </c>
      <c r="AI109" s="70">
        <v>1</v>
      </c>
      <c r="AJ109" s="70">
        <v>1</v>
      </c>
      <c r="AK109" s="70">
        <v>1</v>
      </c>
      <c r="AL109" s="70">
        <v>1</v>
      </c>
      <c r="AM109" s="70">
        <v>1</v>
      </c>
      <c r="AN109" s="70">
        <v>1</v>
      </c>
      <c r="AO109" s="70">
        <v>1</v>
      </c>
      <c r="AP109" s="70">
        <v>1</v>
      </c>
      <c r="AQ109" s="70">
        <v>1</v>
      </c>
      <c r="AR109" s="70">
        <v>1</v>
      </c>
      <c r="AS109" s="70">
        <v>1</v>
      </c>
      <c r="AT109" s="70">
        <v>1</v>
      </c>
      <c r="AU109" s="70">
        <v>1</v>
      </c>
      <c r="AV109" s="70">
        <v>1</v>
      </c>
      <c r="AW109" s="70">
        <v>1</v>
      </c>
      <c r="AX109" s="70">
        <v>1</v>
      </c>
      <c r="AY109" s="70">
        <v>1</v>
      </c>
      <c r="AZ109" s="70">
        <v>1</v>
      </c>
      <c r="BA109" s="70">
        <v>1</v>
      </c>
      <c r="BB109" s="70">
        <v>1</v>
      </c>
      <c r="BC109" s="70">
        <v>1</v>
      </c>
      <c r="BD109" s="70">
        <v>1</v>
      </c>
      <c r="BE109" s="70">
        <v>1</v>
      </c>
      <c r="BF109" s="70">
        <v>1</v>
      </c>
      <c r="BG109" s="70">
        <v>1</v>
      </c>
      <c r="BH109" s="70">
        <v>1</v>
      </c>
      <c r="BI109" s="70">
        <v>1</v>
      </c>
      <c r="BJ109" s="70">
        <v>1</v>
      </c>
      <c r="BK109" s="70">
        <v>1</v>
      </c>
      <c r="BL109" s="70">
        <v>1</v>
      </c>
      <c r="BM109" s="70">
        <v>1</v>
      </c>
      <c r="BN109" s="70">
        <v>1</v>
      </c>
      <c r="BO109" s="70">
        <v>1</v>
      </c>
      <c r="BP109" s="70">
        <v>1</v>
      </c>
      <c r="BQ109" s="70">
        <v>1</v>
      </c>
      <c r="BR109" s="70">
        <v>1</v>
      </c>
      <c r="BU109" s="123"/>
    </row>
    <row r="110" spans="1:74">
      <c r="A110" t="s">
        <v>16</v>
      </c>
      <c r="B110" s="223" t="s">
        <v>239</v>
      </c>
      <c r="C110" s="70" t="str">
        <f t="shared" si="160"/>
        <v>Commercial - Water Heating</v>
      </c>
      <c r="I110" s="132"/>
      <c r="L110" s="70">
        <v>1</v>
      </c>
      <c r="M110" s="70">
        <v>1</v>
      </c>
      <c r="N110" s="70">
        <v>1</v>
      </c>
      <c r="O110" s="70">
        <v>1</v>
      </c>
      <c r="P110" s="70">
        <v>1</v>
      </c>
      <c r="Q110" s="70">
        <v>1</v>
      </c>
      <c r="R110" s="70">
        <v>1</v>
      </c>
      <c r="S110" s="70">
        <v>1</v>
      </c>
      <c r="T110" s="70">
        <v>1</v>
      </c>
      <c r="U110" s="70">
        <v>1</v>
      </c>
      <c r="V110" s="70">
        <v>1</v>
      </c>
      <c r="W110" s="70">
        <v>1</v>
      </c>
      <c r="X110" s="70">
        <v>1</v>
      </c>
      <c r="Y110" s="70">
        <v>1</v>
      </c>
      <c r="Z110" s="70">
        <v>1</v>
      </c>
      <c r="AA110" s="70">
        <v>1</v>
      </c>
      <c r="AB110" s="70">
        <v>1</v>
      </c>
      <c r="AC110" s="70">
        <v>1</v>
      </c>
      <c r="AD110" s="70">
        <v>1</v>
      </c>
      <c r="AE110" s="70">
        <v>1</v>
      </c>
      <c r="AF110" s="70">
        <v>1</v>
      </c>
      <c r="AG110" s="70">
        <v>1</v>
      </c>
      <c r="AH110" s="70">
        <v>1</v>
      </c>
      <c r="AI110" s="70">
        <v>1</v>
      </c>
      <c r="AJ110" s="70">
        <v>1</v>
      </c>
      <c r="AK110" s="70">
        <v>1</v>
      </c>
      <c r="AL110" s="70">
        <v>1</v>
      </c>
      <c r="AM110" s="70">
        <v>1</v>
      </c>
      <c r="AN110" s="70">
        <v>1</v>
      </c>
      <c r="AO110" s="70">
        <v>1</v>
      </c>
      <c r="AP110" s="70">
        <v>1</v>
      </c>
      <c r="AQ110" s="70">
        <v>1</v>
      </c>
      <c r="AR110" s="70">
        <v>1</v>
      </c>
      <c r="AS110" s="70">
        <v>1</v>
      </c>
      <c r="AT110" s="70">
        <v>1</v>
      </c>
      <c r="AU110" s="70">
        <v>1</v>
      </c>
      <c r="AV110" s="70">
        <v>1</v>
      </c>
      <c r="AW110" s="70">
        <v>1</v>
      </c>
      <c r="AX110" s="70">
        <v>1</v>
      </c>
      <c r="AY110" s="70">
        <v>1</v>
      </c>
      <c r="AZ110" s="70">
        <v>1</v>
      </c>
      <c r="BA110" s="70">
        <v>1</v>
      </c>
      <c r="BB110" s="70">
        <v>1</v>
      </c>
      <c r="BC110" s="70">
        <v>1</v>
      </c>
      <c r="BD110" s="70">
        <v>1</v>
      </c>
      <c r="BE110" s="70">
        <v>1</v>
      </c>
      <c r="BF110" s="70">
        <v>1</v>
      </c>
      <c r="BG110" s="70">
        <v>1</v>
      </c>
      <c r="BH110" s="70">
        <v>1</v>
      </c>
      <c r="BI110" s="70">
        <v>1</v>
      </c>
      <c r="BJ110" s="70">
        <v>1</v>
      </c>
      <c r="BK110" s="70">
        <v>1</v>
      </c>
      <c r="BL110" s="70">
        <v>1</v>
      </c>
      <c r="BM110" s="70">
        <v>1</v>
      </c>
      <c r="BN110" s="70">
        <v>1</v>
      </c>
      <c r="BO110" s="70">
        <v>1</v>
      </c>
      <c r="BP110" s="70">
        <v>1</v>
      </c>
      <c r="BQ110" s="70">
        <v>1</v>
      </c>
      <c r="BR110" s="70">
        <v>1</v>
      </c>
    </row>
    <row r="111" spans="1:74">
      <c r="A111" t="s">
        <v>16</v>
      </c>
      <c r="B111" s="223" t="s">
        <v>240</v>
      </c>
      <c r="C111" s="70" t="str">
        <f t="shared" si="160"/>
        <v>Commercial - Public lights</v>
      </c>
      <c r="I111" s="132"/>
      <c r="L111" s="70">
        <v>1</v>
      </c>
      <c r="M111" s="70">
        <v>1</v>
      </c>
      <c r="N111" s="70">
        <v>1</v>
      </c>
      <c r="O111" s="70">
        <v>1</v>
      </c>
      <c r="P111" s="70">
        <v>1</v>
      </c>
      <c r="Q111" s="70">
        <v>1</v>
      </c>
      <c r="R111" s="70">
        <v>1</v>
      </c>
      <c r="S111" s="70">
        <v>1</v>
      </c>
      <c r="T111" s="70">
        <v>1</v>
      </c>
      <c r="U111" s="70">
        <v>1</v>
      </c>
      <c r="V111" s="70">
        <v>1</v>
      </c>
      <c r="W111" s="70">
        <v>1</v>
      </c>
      <c r="X111" s="70">
        <v>1</v>
      </c>
      <c r="Y111" s="70">
        <v>1</v>
      </c>
      <c r="Z111" s="70">
        <v>1</v>
      </c>
      <c r="AA111" s="70">
        <v>1</v>
      </c>
      <c r="AB111" s="70">
        <v>1</v>
      </c>
      <c r="AC111" s="70">
        <v>1</v>
      </c>
      <c r="AD111" s="70">
        <v>1</v>
      </c>
      <c r="AE111" s="70">
        <v>1</v>
      </c>
      <c r="AF111" s="70">
        <v>1</v>
      </c>
      <c r="AG111" s="70">
        <v>1</v>
      </c>
      <c r="AH111" s="70">
        <v>1</v>
      </c>
      <c r="AI111" s="70">
        <v>1</v>
      </c>
      <c r="AJ111" s="70">
        <v>1</v>
      </c>
      <c r="AK111" s="70">
        <v>1</v>
      </c>
      <c r="AL111" s="70">
        <v>1</v>
      </c>
      <c r="AM111" s="70">
        <v>1</v>
      </c>
      <c r="AN111" s="70">
        <v>1</v>
      </c>
      <c r="AO111" s="70">
        <v>1</v>
      </c>
      <c r="AP111" s="70">
        <v>1</v>
      </c>
      <c r="AQ111" s="70">
        <v>1</v>
      </c>
      <c r="AR111" s="70">
        <v>1</v>
      </c>
      <c r="AS111" s="70">
        <v>1</v>
      </c>
      <c r="AT111" s="70">
        <v>1</v>
      </c>
      <c r="AU111" s="70">
        <v>1</v>
      </c>
      <c r="AV111" s="70">
        <v>1</v>
      </c>
      <c r="AW111" s="70">
        <v>1</v>
      </c>
      <c r="AX111" s="70">
        <v>1</v>
      </c>
      <c r="AY111" s="70">
        <v>1</v>
      </c>
      <c r="AZ111" s="70">
        <v>1</v>
      </c>
      <c r="BA111" s="70">
        <v>1</v>
      </c>
      <c r="BB111" s="70">
        <v>1</v>
      </c>
      <c r="BC111" s="70">
        <v>1</v>
      </c>
      <c r="BD111" s="70">
        <v>1</v>
      </c>
      <c r="BE111" s="70">
        <v>1</v>
      </c>
      <c r="BF111" s="70">
        <v>1</v>
      </c>
      <c r="BG111" s="70">
        <v>1</v>
      </c>
      <c r="BH111" s="70">
        <v>1</v>
      </c>
      <c r="BI111" s="70">
        <v>1</v>
      </c>
      <c r="BJ111" s="70">
        <v>1</v>
      </c>
      <c r="BK111" s="70">
        <v>1</v>
      </c>
      <c r="BL111" s="70">
        <v>1</v>
      </c>
      <c r="BM111" s="70">
        <v>1</v>
      </c>
      <c r="BN111" s="70">
        <v>1</v>
      </c>
      <c r="BO111" s="70">
        <v>1</v>
      </c>
      <c r="BP111" s="70">
        <v>1</v>
      </c>
      <c r="BQ111" s="70">
        <v>1</v>
      </c>
      <c r="BR111" s="70">
        <v>1</v>
      </c>
    </row>
    <row r="112" spans="1:74">
      <c r="A112" t="s">
        <v>16</v>
      </c>
      <c r="B112" s="223" t="s">
        <v>241</v>
      </c>
      <c r="C112" s="70" t="str">
        <f t="shared" si="160"/>
        <v>Commercial - Public Water</v>
      </c>
      <c r="I112" s="132"/>
      <c r="L112" s="70">
        <v>1</v>
      </c>
      <c r="M112" s="70">
        <v>1</v>
      </c>
      <c r="N112" s="70">
        <v>1</v>
      </c>
      <c r="O112" s="70">
        <v>1</v>
      </c>
      <c r="P112" s="70">
        <v>1</v>
      </c>
      <c r="Q112" s="70">
        <v>1</v>
      </c>
      <c r="R112" s="70">
        <v>1</v>
      </c>
      <c r="S112" s="70">
        <v>1</v>
      </c>
      <c r="T112" s="70">
        <v>1</v>
      </c>
      <c r="U112" s="70">
        <v>1</v>
      </c>
      <c r="V112" s="70">
        <v>1</v>
      </c>
      <c r="W112" s="70">
        <v>1</v>
      </c>
      <c r="X112" s="70">
        <v>1</v>
      </c>
      <c r="Y112" s="70">
        <v>1</v>
      </c>
      <c r="Z112" s="70">
        <v>1</v>
      </c>
      <c r="AA112" s="70">
        <v>1</v>
      </c>
      <c r="AB112" s="70">
        <v>1</v>
      </c>
      <c r="AC112" s="70">
        <v>1</v>
      </c>
      <c r="AD112" s="70">
        <v>1</v>
      </c>
      <c r="AE112" s="70">
        <v>1</v>
      </c>
      <c r="AF112" s="70">
        <v>1</v>
      </c>
      <c r="AG112" s="70">
        <v>1</v>
      </c>
      <c r="AH112" s="70">
        <v>1</v>
      </c>
      <c r="AI112" s="70">
        <v>1</v>
      </c>
      <c r="AJ112" s="70">
        <v>1</v>
      </c>
      <c r="AK112" s="70">
        <v>1</v>
      </c>
      <c r="AL112" s="70">
        <v>1</v>
      </c>
      <c r="AM112" s="70">
        <v>1</v>
      </c>
      <c r="AN112" s="70">
        <v>1</v>
      </c>
      <c r="AO112" s="70">
        <v>1</v>
      </c>
      <c r="AP112" s="70">
        <v>1</v>
      </c>
      <c r="AQ112" s="70">
        <v>1</v>
      </c>
      <c r="AR112" s="70">
        <v>1</v>
      </c>
      <c r="AS112" s="70">
        <v>1</v>
      </c>
      <c r="AT112" s="70">
        <v>1</v>
      </c>
      <c r="AU112" s="70">
        <v>1</v>
      </c>
      <c r="AV112" s="70">
        <v>1</v>
      </c>
      <c r="AW112" s="70">
        <v>1</v>
      </c>
      <c r="AX112" s="70">
        <v>1</v>
      </c>
      <c r="AY112" s="70">
        <v>1</v>
      </c>
      <c r="AZ112" s="70">
        <v>1</v>
      </c>
      <c r="BA112" s="70">
        <v>1</v>
      </c>
      <c r="BB112" s="70">
        <v>1</v>
      </c>
      <c r="BC112" s="70">
        <v>1</v>
      </c>
      <c r="BD112" s="70">
        <v>1</v>
      </c>
      <c r="BE112" s="70">
        <v>1</v>
      </c>
      <c r="BF112" s="70">
        <v>1</v>
      </c>
      <c r="BG112" s="70">
        <v>1</v>
      </c>
      <c r="BH112" s="70">
        <v>1</v>
      </c>
      <c r="BI112" s="70">
        <v>1</v>
      </c>
      <c r="BJ112" s="70">
        <v>1</v>
      </c>
      <c r="BK112" s="70">
        <v>1</v>
      </c>
      <c r="BL112" s="70">
        <v>1</v>
      </c>
      <c r="BM112" s="70">
        <v>1</v>
      </c>
      <c r="BN112" s="70">
        <v>1</v>
      </c>
      <c r="BO112" s="70">
        <v>1</v>
      </c>
      <c r="BP112" s="70">
        <v>1</v>
      </c>
      <c r="BQ112" s="70">
        <v>1</v>
      </c>
      <c r="BR112" s="70">
        <v>1</v>
      </c>
    </row>
    <row r="113" spans="1:70">
      <c r="A113" t="s">
        <v>16</v>
      </c>
      <c r="B113" s="223" t="s">
        <v>242</v>
      </c>
      <c r="C113" s="70" t="str">
        <f t="shared" si="160"/>
        <v>Commercial - Other</v>
      </c>
      <c r="I113" s="132"/>
      <c r="L113" s="70">
        <v>1</v>
      </c>
      <c r="M113" s="70">
        <v>1</v>
      </c>
      <c r="N113" s="70">
        <v>1</v>
      </c>
      <c r="O113" s="70">
        <v>1</v>
      </c>
      <c r="P113" s="70">
        <v>1</v>
      </c>
      <c r="Q113" s="70">
        <v>1</v>
      </c>
      <c r="R113" s="70">
        <v>1</v>
      </c>
      <c r="S113" s="70">
        <v>1</v>
      </c>
      <c r="T113" s="70">
        <v>1</v>
      </c>
      <c r="U113" s="70">
        <v>1</v>
      </c>
      <c r="V113" s="70">
        <v>1</v>
      </c>
      <c r="W113" s="70">
        <v>1</v>
      </c>
      <c r="X113" s="70">
        <v>1</v>
      </c>
      <c r="Y113" s="70">
        <v>1</v>
      </c>
      <c r="Z113" s="70">
        <v>1</v>
      </c>
      <c r="AA113" s="70">
        <v>1</v>
      </c>
      <c r="AB113" s="70">
        <v>1</v>
      </c>
      <c r="AC113" s="70">
        <v>1</v>
      </c>
      <c r="AD113" s="70">
        <v>1</v>
      </c>
      <c r="AE113" s="70">
        <v>1</v>
      </c>
      <c r="AF113" s="70">
        <v>1</v>
      </c>
      <c r="AG113" s="70">
        <v>1</v>
      </c>
      <c r="AH113" s="70">
        <v>1</v>
      </c>
      <c r="AI113" s="70">
        <v>1</v>
      </c>
      <c r="AJ113" s="70">
        <v>1</v>
      </c>
      <c r="AK113" s="70">
        <v>1</v>
      </c>
      <c r="AL113" s="70">
        <v>1</v>
      </c>
      <c r="AM113" s="70">
        <v>1</v>
      </c>
      <c r="AN113" s="70">
        <v>1</v>
      </c>
      <c r="AO113" s="70">
        <v>1</v>
      </c>
      <c r="AP113" s="70">
        <v>1</v>
      </c>
      <c r="AQ113" s="70">
        <v>1</v>
      </c>
      <c r="AR113" s="70">
        <v>1</v>
      </c>
      <c r="AS113" s="70">
        <v>1</v>
      </c>
      <c r="AT113" s="70">
        <v>1</v>
      </c>
      <c r="AU113" s="70">
        <v>1</v>
      </c>
      <c r="AV113" s="70">
        <v>1</v>
      </c>
      <c r="AW113" s="70">
        <v>1</v>
      </c>
      <c r="AX113" s="70">
        <v>1</v>
      </c>
      <c r="AY113" s="70">
        <v>1</v>
      </c>
      <c r="AZ113" s="70">
        <v>1</v>
      </c>
      <c r="BA113" s="70">
        <v>1</v>
      </c>
      <c r="BB113" s="70">
        <v>1</v>
      </c>
      <c r="BC113" s="70">
        <v>1</v>
      </c>
      <c r="BD113" s="70">
        <v>1</v>
      </c>
      <c r="BE113" s="70">
        <v>1</v>
      </c>
      <c r="BF113" s="70">
        <v>1</v>
      </c>
      <c r="BG113" s="70">
        <v>1</v>
      </c>
      <c r="BH113" s="70">
        <v>1</v>
      </c>
      <c r="BI113" s="70">
        <v>1</v>
      </c>
      <c r="BJ113" s="70">
        <v>1</v>
      </c>
      <c r="BK113" s="70">
        <v>1</v>
      </c>
      <c r="BL113" s="70">
        <v>1</v>
      </c>
      <c r="BM113" s="70">
        <v>1</v>
      </c>
      <c r="BN113" s="70">
        <v>1</v>
      </c>
      <c r="BO113" s="70">
        <v>1</v>
      </c>
      <c r="BP113" s="70">
        <v>1</v>
      </c>
      <c r="BQ113" s="70">
        <v>1</v>
      </c>
      <c r="BR113" s="70">
        <v>1</v>
      </c>
    </row>
    <row r="114" spans="1:70">
      <c r="A114" t="s">
        <v>16</v>
      </c>
      <c r="B114" s="223"/>
      <c r="I114" s="132"/>
      <c r="M114" s="70"/>
    </row>
    <row r="115" spans="1:70" ht="15.75" thickBot="1">
      <c r="A115" t="s">
        <v>16</v>
      </c>
      <c r="B115" s="223"/>
      <c r="C115" s="67" t="s">
        <v>244</v>
      </c>
      <c r="D115" s="70" t="s">
        <v>767</v>
      </c>
      <c r="E115" s="70" t="s">
        <v>768</v>
      </c>
      <c r="H115" s="123"/>
      <c r="I115" s="132"/>
      <c r="M115" s="70"/>
    </row>
    <row r="116" spans="1:70">
      <c r="A116" t="s">
        <v>16</v>
      </c>
      <c r="B116" s="223" t="str">
        <f>B105</f>
        <v>CNC</v>
      </c>
      <c r="C116" s="223" t="str">
        <f>C105</f>
        <v>Commercial - Cooling</v>
      </c>
      <c r="E116" s="296">
        <f>E$125/9</f>
        <v>4.1095890410958895E-2</v>
      </c>
      <c r="F116" s="297" t="s">
        <v>769</v>
      </c>
      <c r="H116" s="298"/>
      <c r="I116" s="132"/>
      <c r="L116" s="134">
        <f t="shared" ref="L116:AA124" si="161">(1-$E116)</f>
        <v>0.95890410958904115</v>
      </c>
      <c r="M116" s="91">
        <f t="shared" si="161"/>
        <v>0.95890410958904115</v>
      </c>
      <c r="N116" s="91">
        <f t="shared" si="161"/>
        <v>0.95890410958904115</v>
      </c>
      <c r="O116" s="91">
        <f t="shared" si="161"/>
        <v>0.95890410958904115</v>
      </c>
      <c r="P116" s="91">
        <f t="shared" si="161"/>
        <v>0.95890410958904115</v>
      </c>
      <c r="Q116" s="91">
        <f t="shared" si="161"/>
        <v>0.95890410958904115</v>
      </c>
      <c r="R116" s="91">
        <f t="shared" si="161"/>
        <v>0.95890410958904115</v>
      </c>
      <c r="S116" s="91">
        <f t="shared" si="161"/>
        <v>0.95890410958904115</v>
      </c>
      <c r="T116" s="91">
        <f t="shared" si="161"/>
        <v>0.95890410958904115</v>
      </c>
      <c r="U116" s="91">
        <f t="shared" si="161"/>
        <v>0.95890410958904115</v>
      </c>
      <c r="V116" s="91">
        <f t="shared" si="161"/>
        <v>0.95890410958904115</v>
      </c>
      <c r="W116" s="91">
        <f t="shared" si="161"/>
        <v>0.95890410958904115</v>
      </c>
      <c r="X116" s="91">
        <f t="shared" si="161"/>
        <v>0.95890410958904115</v>
      </c>
      <c r="Y116" s="91">
        <f t="shared" si="161"/>
        <v>0.95890410958904115</v>
      </c>
      <c r="Z116" s="91">
        <f t="shared" si="161"/>
        <v>0.95890410958904115</v>
      </c>
      <c r="AA116" s="91">
        <f t="shared" si="161"/>
        <v>0.95890410958904115</v>
      </c>
      <c r="AB116" s="91">
        <f t="shared" ref="AB116:AY124" si="162">(1-$E116)</f>
        <v>0.95890410958904115</v>
      </c>
      <c r="AC116" s="91">
        <f t="shared" si="162"/>
        <v>0.95890410958904115</v>
      </c>
      <c r="AD116" s="91">
        <f t="shared" si="162"/>
        <v>0.95890410958904115</v>
      </c>
      <c r="AE116" s="91">
        <f t="shared" si="162"/>
        <v>0.95890410958904115</v>
      </c>
      <c r="AF116" s="91">
        <f t="shared" si="162"/>
        <v>0.95890410958904115</v>
      </c>
      <c r="AG116" s="91">
        <f t="shared" si="162"/>
        <v>0.95890410958904115</v>
      </c>
      <c r="AH116" s="91">
        <f t="shared" si="162"/>
        <v>0.95890410958904115</v>
      </c>
      <c r="AI116" s="91">
        <f t="shared" si="162"/>
        <v>0.95890410958904115</v>
      </c>
      <c r="AJ116" s="91">
        <f t="shared" si="162"/>
        <v>0.95890410958904115</v>
      </c>
      <c r="AK116" s="91">
        <f t="shared" si="162"/>
        <v>0.95890410958904115</v>
      </c>
      <c r="AL116" s="91">
        <f t="shared" si="162"/>
        <v>0.95890410958904115</v>
      </c>
      <c r="AM116" s="91">
        <f t="shared" si="162"/>
        <v>0.95890410958904115</v>
      </c>
      <c r="AN116" s="91">
        <f t="shared" si="162"/>
        <v>0.95890410958904115</v>
      </c>
      <c r="AO116" s="91">
        <f t="shared" si="162"/>
        <v>0.95890410958904115</v>
      </c>
      <c r="AP116" s="91">
        <f t="shared" si="162"/>
        <v>0.95890410958904115</v>
      </c>
      <c r="AQ116" s="91">
        <f t="shared" si="162"/>
        <v>0.95890410958904115</v>
      </c>
      <c r="AR116" s="91">
        <f t="shared" si="162"/>
        <v>0.95890410958904115</v>
      </c>
      <c r="AS116" s="91">
        <f t="shared" si="162"/>
        <v>0.95890410958904115</v>
      </c>
      <c r="AT116" s="91">
        <f t="shared" si="162"/>
        <v>0.95890410958904115</v>
      </c>
      <c r="AU116" s="91">
        <f t="shared" si="162"/>
        <v>0.95890410958904115</v>
      </c>
      <c r="AV116" s="91">
        <f t="shared" si="162"/>
        <v>0.95890410958904115</v>
      </c>
      <c r="AW116" s="91">
        <f t="shared" si="162"/>
        <v>0.95890410958904115</v>
      </c>
      <c r="AX116" s="91">
        <f t="shared" si="162"/>
        <v>0.95890410958904115</v>
      </c>
      <c r="AY116" s="91">
        <f t="shared" si="162"/>
        <v>0.95890410958904115</v>
      </c>
      <c r="AZ116" s="91">
        <f t="shared" ref="AY116:BR122" si="163">(1-$E116)</f>
        <v>0.95890410958904115</v>
      </c>
      <c r="BA116" s="91">
        <f t="shared" si="163"/>
        <v>0.95890410958904115</v>
      </c>
      <c r="BB116" s="91">
        <f t="shared" si="163"/>
        <v>0.95890410958904115</v>
      </c>
      <c r="BC116" s="91">
        <f t="shared" si="163"/>
        <v>0.95890410958904115</v>
      </c>
      <c r="BD116" s="91">
        <f t="shared" si="163"/>
        <v>0.95890410958904115</v>
      </c>
      <c r="BE116" s="91">
        <f t="shared" si="163"/>
        <v>0.95890410958904115</v>
      </c>
      <c r="BF116" s="91">
        <f t="shared" si="163"/>
        <v>0.95890410958904115</v>
      </c>
      <c r="BG116" s="91">
        <f t="shared" si="163"/>
        <v>0.95890410958904115</v>
      </c>
      <c r="BH116" s="91">
        <f t="shared" si="163"/>
        <v>0.95890410958904115</v>
      </c>
      <c r="BI116" s="91">
        <f t="shared" si="163"/>
        <v>0.95890410958904115</v>
      </c>
      <c r="BJ116" s="91">
        <f t="shared" si="163"/>
        <v>0.95890410958904115</v>
      </c>
      <c r="BK116" s="91">
        <f t="shared" si="163"/>
        <v>0.95890410958904115</v>
      </c>
      <c r="BL116" s="91">
        <f t="shared" si="163"/>
        <v>0.95890410958904115</v>
      </c>
      <c r="BM116" s="91">
        <f t="shared" si="163"/>
        <v>0.95890410958904115</v>
      </c>
      <c r="BN116" s="91">
        <f t="shared" si="163"/>
        <v>0.95890410958904115</v>
      </c>
      <c r="BO116" s="91">
        <f t="shared" si="163"/>
        <v>0.95890410958904115</v>
      </c>
      <c r="BP116" s="91">
        <f t="shared" si="163"/>
        <v>0.95890410958904115</v>
      </c>
      <c r="BQ116" s="91">
        <f t="shared" si="163"/>
        <v>0.95890410958904115</v>
      </c>
      <c r="BR116" s="91">
        <f t="shared" si="163"/>
        <v>0.95890410958904115</v>
      </c>
    </row>
    <row r="117" spans="1:70">
      <c r="A117" t="s">
        <v>16</v>
      </c>
      <c r="B117" s="223" t="str">
        <f t="shared" ref="B117:C124" si="164">B106</f>
        <v>CNH</v>
      </c>
      <c r="C117" s="223" t="str">
        <f t="shared" si="164"/>
        <v>Commercial - Space Heating</v>
      </c>
      <c r="E117" s="296">
        <f t="shared" ref="E117:E124" si="165">E$125/9</f>
        <v>4.1095890410958895E-2</v>
      </c>
      <c r="F117" s="303"/>
      <c r="G117" s="299"/>
      <c r="H117" s="298"/>
      <c r="I117" s="132"/>
      <c r="L117" s="134">
        <f t="shared" si="161"/>
        <v>0.95890410958904115</v>
      </c>
      <c r="M117" s="91">
        <f t="shared" si="161"/>
        <v>0.95890410958904115</v>
      </c>
      <c r="N117" s="91">
        <f t="shared" si="161"/>
        <v>0.95890410958904115</v>
      </c>
      <c r="O117" s="91">
        <f t="shared" si="161"/>
        <v>0.95890410958904115</v>
      </c>
      <c r="P117" s="91">
        <f t="shared" si="161"/>
        <v>0.95890410958904115</v>
      </c>
      <c r="Q117" s="91">
        <f t="shared" si="161"/>
        <v>0.95890410958904115</v>
      </c>
      <c r="R117" s="91">
        <f t="shared" si="161"/>
        <v>0.95890410958904115</v>
      </c>
      <c r="S117" s="91">
        <f t="shared" si="161"/>
        <v>0.95890410958904115</v>
      </c>
      <c r="T117" s="91">
        <f t="shared" si="161"/>
        <v>0.95890410958904115</v>
      </c>
      <c r="U117" s="91">
        <f t="shared" si="161"/>
        <v>0.95890410958904115</v>
      </c>
      <c r="V117" s="91">
        <f t="shared" si="161"/>
        <v>0.95890410958904115</v>
      </c>
      <c r="W117" s="91">
        <f t="shared" si="161"/>
        <v>0.95890410958904115</v>
      </c>
      <c r="X117" s="91">
        <f t="shared" si="161"/>
        <v>0.95890410958904115</v>
      </c>
      <c r="Y117" s="91">
        <f t="shared" si="161"/>
        <v>0.95890410958904115</v>
      </c>
      <c r="Z117" s="91">
        <f t="shared" si="161"/>
        <v>0.95890410958904115</v>
      </c>
      <c r="AA117" s="91">
        <f t="shared" si="161"/>
        <v>0.95890410958904115</v>
      </c>
      <c r="AB117" s="91">
        <f t="shared" si="162"/>
        <v>0.95890410958904115</v>
      </c>
      <c r="AC117" s="91">
        <f t="shared" si="162"/>
        <v>0.95890410958904115</v>
      </c>
      <c r="AD117" s="91">
        <f t="shared" si="162"/>
        <v>0.95890410958904115</v>
      </c>
      <c r="AE117" s="91">
        <f t="shared" si="162"/>
        <v>0.95890410958904115</v>
      </c>
      <c r="AF117" s="91">
        <f t="shared" si="162"/>
        <v>0.95890410958904115</v>
      </c>
      <c r="AG117" s="91">
        <f t="shared" si="162"/>
        <v>0.95890410958904115</v>
      </c>
      <c r="AH117" s="91">
        <f t="shared" si="162"/>
        <v>0.95890410958904115</v>
      </c>
      <c r="AI117" s="91">
        <f t="shared" si="162"/>
        <v>0.95890410958904115</v>
      </c>
      <c r="AJ117" s="91">
        <f t="shared" si="162"/>
        <v>0.95890410958904115</v>
      </c>
      <c r="AK117" s="91">
        <f t="shared" si="162"/>
        <v>0.95890410958904115</v>
      </c>
      <c r="AL117" s="91">
        <f t="shared" si="162"/>
        <v>0.95890410958904115</v>
      </c>
      <c r="AM117" s="91">
        <f t="shared" si="162"/>
        <v>0.95890410958904115</v>
      </c>
      <c r="AN117" s="91">
        <f t="shared" si="162"/>
        <v>0.95890410958904115</v>
      </c>
      <c r="AO117" s="91">
        <f t="shared" si="162"/>
        <v>0.95890410958904115</v>
      </c>
      <c r="AP117" s="91">
        <f t="shared" si="162"/>
        <v>0.95890410958904115</v>
      </c>
      <c r="AQ117" s="91">
        <f t="shared" si="162"/>
        <v>0.95890410958904115</v>
      </c>
      <c r="AR117" s="91">
        <f t="shared" si="162"/>
        <v>0.95890410958904115</v>
      </c>
      <c r="AS117" s="91">
        <f t="shared" si="162"/>
        <v>0.95890410958904115</v>
      </c>
      <c r="AT117" s="91">
        <f t="shared" si="162"/>
        <v>0.95890410958904115</v>
      </c>
      <c r="AU117" s="91">
        <f t="shared" si="162"/>
        <v>0.95890410958904115</v>
      </c>
      <c r="AV117" s="91">
        <f t="shared" si="162"/>
        <v>0.95890410958904115</v>
      </c>
      <c r="AW117" s="91">
        <f t="shared" si="162"/>
        <v>0.95890410958904115</v>
      </c>
      <c r="AX117" s="91">
        <f t="shared" si="162"/>
        <v>0.95890410958904115</v>
      </c>
      <c r="AY117" s="91">
        <f t="shared" si="163"/>
        <v>0.95890410958904115</v>
      </c>
      <c r="AZ117" s="91">
        <f t="shared" si="163"/>
        <v>0.95890410958904115</v>
      </c>
      <c r="BA117" s="91">
        <f t="shared" si="163"/>
        <v>0.95890410958904115</v>
      </c>
      <c r="BB117" s="91">
        <f t="shared" si="163"/>
        <v>0.95890410958904115</v>
      </c>
      <c r="BC117" s="91">
        <f t="shared" si="163"/>
        <v>0.95890410958904115</v>
      </c>
      <c r="BD117" s="91">
        <f t="shared" si="163"/>
        <v>0.95890410958904115</v>
      </c>
      <c r="BE117" s="91">
        <f t="shared" si="163"/>
        <v>0.95890410958904115</v>
      </c>
      <c r="BF117" s="91">
        <f t="shared" si="163"/>
        <v>0.95890410958904115</v>
      </c>
      <c r="BG117" s="91">
        <f t="shared" si="163"/>
        <v>0.95890410958904115</v>
      </c>
      <c r="BH117" s="91">
        <f t="shared" si="163"/>
        <v>0.95890410958904115</v>
      </c>
      <c r="BI117" s="91">
        <f t="shared" si="163"/>
        <v>0.95890410958904115</v>
      </c>
      <c r="BJ117" s="91">
        <f t="shared" si="163"/>
        <v>0.95890410958904115</v>
      </c>
      <c r="BK117" s="91">
        <f t="shared" si="163"/>
        <v>0.95890410958904115</v>
      </c>
      <c r="BL117" s="91">
        <f t="shared" si="163"/>
        <v>0.95890410958904115</v>
      </c>
      <c r="BM117" s="91">
        <f t="shared" si="163"/>
        <v>0.95890410958904115</v>
      </c>
      <c r="BN117" s="91">
        <f t="shared" si="163"/>
        <v>0.95890410958904115</v>
      </c>
      <c r="BO117" s="91">
        <f t="shared" si="163"/>
        <v>0.95890410958904115</v>
      </c>
      <c r="BP117" s="91">
        <f t="shared" si="163"/>
        <v>0.95890410958904115</v>
      </c>
      <c r="BQ117" s="91">
        <f t="shared" si="163"/>
        <v>0.95890410958904115</v>
      </c>
      <c r="BR117" s="91">
        <f t="shared" si="163"/>
        <v>0.95890410958904115</v>
      </c>
    </row>
    <row r="118" spans="1:70">
      <c r="A118" t="s">
        <v>16</v>
      </c>
      <c r="B118" s="223" t="str">
        <f t="shared" si="164"/>
        <v>CNK</v>
      </c>
      <c r="C118" s="223" t="str">
        <f t="shared" si="164"/>
        <v>Commercial - Cooking</v>
      </c>
      <c r="E118" s="296">
        <f t="shared" si="165"/>
        <v>4.1095890410958895E-2</v>
      </c>
      <c r="F118" s="303"/>
      <c r="G118" s="299"/>
      <c r="H118" s="298"/>
      <c r="I118" s="132"/>
      <c r="L118" s="134">
        <f t="shared" si="161"/>
        <v>0.95890410958904115</v>
      </c>
      <c r="M118" s="91">
        <f t="shared" si="161"/>
        <v>0.95890410958904115</v>
      </c>
      <c r="N118" s="91">
        <f t="shared" si="161"/>
        <v>0.95890410958904115</v>
      </c>
      <c r="O118" s="91">
        <f>(1-$E118)</f>
        <v>0.95890410958904115</v>
      </c>
      <c r="P118" s="91">
        <f t="shared" si="161"/>
        <v>0.95890410958904115</v>
      </c>
      <c r="Q118" s="91">
        <f t="shared" si="161"/>
        <v>0.95890410958904115</v>
      </c>
      <c r="R118" s="91">
        <f t="shared" si="161"/>
        <v>0.95890410958904115</v>
      </c>
      <c r="S118" s="91">
        <f t="shared" si="161"/>
        <v>0.95890410958904115</v>
      </c>
      <c r="T118" s="91">
        <f t="shared" si="161"/>
        <v>0.95890410958904115</v>
      </c>
      <c r="U118" s="91">
        <f t="shared" si="161"/>
        <v>0.95890410958904115</v>
      </c>
      <c r="V118" s="91">
        <f t="shared" si="161"/>
        <v>0.95890410958904115</v>
      </c>
      <c r="W118" s="91">
        <f t="shared" si="161"/>
        <v>0.95890410958904115</v>
      </c>
      <c r="X118" s="91">
        <f t="shared" si="161"/>
        <v>0.95890410958904115</v>
      </c>
      <c r="Y118" s="91">
        <f t="shared" si="161"/>
        <v>0.95890410958904115</v>
      </c>
      <c r="Z118" s="91">
        <f t="shared" si="161"/>
        <v>0.95890410958904115</v>
      </c>
      <c r="AA118" s="91">
        <f t="shared" si="161"/>
        <v>0.95890410958904115</v>
      </c>
      <c r="AB118" s="91">
        <f t="shared" si="162"/>
        <v>0.95890410958904115</v>
      </c>
      <c r="AC118" s="91">
        <f t="shared" si="162"/>
        <v>0.95890410958904115</v>
      </c>
      <c r="AD118" s="91">
        <f t="shared" si="162"/>
        <v>0.95890410958904115</v>
      </c>
      <c r="AE118" s="91">
        <f t="shared" si="162"/>
        <v>0.95890410958904115</v>
      </c>
      <c r="AF118" s="91">
        <f t="shared" si="162"/>
        <v>0.95890410958904115</v>
      </c>
      <c r="AG118" s="91">
        <f t="shared" si="162"/>
        <v>0.95890410958904115</v>
      </c>
      <c r="AH118" s="91">
        <f t="shared" si="162"/>
        <v>0.95890410958904115</v>
      </c>
      <c r="AI118" s="91">
        <f t="shared" si="162"/>
        <v>0.95890410958904115</v>
      </c>
      <c r="AJ118" s="91">
        <f t="shared" si="162"/>
        <v>0.95890410958904115</v>
      </c>
      <c r="AK118" s="91">
        <f t="shared" si="162"/>
        <v>0.95890410958904115</v>
      </c>
      <c r="AL118" s="91">
        <f t="shared" si="162"/>
        <v>0.95890410958904115</v>
      </c>
      <c r="AM118" s="91">
        <f t="shared" si="162"/>
        <v>0.95890410958904115</v>
      </c>
      <c r="AN118" s="91">
        <f t="shared" si="162"/>
        <v>0.95890410958904115</v>
      </c>
      <c r="AO118" s="91">
        <f t="shared" si="162"/>
        <v>0.95890410958904115</v>
      </c>
      <c r="AP118" s="91">
        <f t="shared" si="162"/>
        <v>0.95890410958904115</v>
      </c>
      <c r="AQ118" s="91">
        <f t="shared" si="162"/>
        <v>0.95890410958904115</v>
      </c>
      <c r="AR118" s="91">
        <f t="shared" si="162"/>
        <v>0.95890410958904115</v>
      </c>
      <c r="AS118" s="91">
        <f t="shared" si="162"/>
        <v>0.95890410958904115</v>
      </c>
      <c r="AT118" s="91">
        <f t="shared" si="162"/>
        <v>0.95890410958904115</v>
      </c>
      <c r="AU118" s="91">
        <f t="shared" si="162"/>
        <v>0.95890410958904115</v>
      </c>
      <c r="AV118" s="91">
        <f t="shared" si="162"/>
        <v>0.95890410958904115</v>
      </c>
      <c r="AW118" s="91">
        <f t="shared" si="162"/>
        <v>0.95890410958904115</v>
      </c>
      <c r="AX118" s="91">
        <f t="shared" si="162"/>
        <v>0.95890410958904115</v>
      </c>
      <c r="AY118" s="91">
        <f t="shared" si="163"/>
        <v>0.95890410958904115</v>
      </c>
      <c r="AZ118" s="91">
        <f t="shared" si="163"/>
        <v>0.95890410958904115</v>
      </c>
      <c r="BA118" s="91">
        <f t="shared" si="163"/>
        <v>0.95890410958904115</v>
      </c>
      <c r="BB118" s="91">
        <f t="shared" si="163"/>
        <v>0.95890410958904115</v>
      </c>
      <c r="BC118" s="91">
        <f t="shared" si="163"/>
        <v>0.95890410958904115</v>
      </c>
      <c r="BD118" s="91">
        <f t="shared" si="163"/>
        <v>0.95890410958904115</v>
      </c>
      <c r="BE118" s="91">
        <f t="shared" si="163"/>
        <v>0.95890410958904115</v>
      </c>
      <c r="BF118" s="91">
        <f t="shared" si="163"/>
        <v>0.95890410958904115</v>
      </c>
      <c r="BG118" s="91">
        <f t="shared" si="163"/>
        <v>0.95890410958904115</v>
      </c>
      <c r="BH118" s="91">
        <f t="shared" si="163"/>
        <v>0.95890410958904115</v>
      </c>
      <c r="BI118" s="91">
        <f t="shared" si="163"/>
        <v>0.95890410958904115</v>
      </c>
      <c r="BJ118" s="91">
        <f t="shared" si="163"/>
        <v>0.95890410958904115</v>
      </c>
      <c r="BK118" s="91">
        <f t="shared" si="163"/>
        <v>0.95890410958904115</v>
      </c>
      <c r="BL118" s="91">
        <f t="shared" si="163"/>
        <v>0.95890410958904115</v>
      </c>
      <c r="BM118" s="91">
        <f t="shared" si="163"/>
        <v>0.95890410958904115</v>
      </c>
      <c r="BN118" s="91">
        <f t="shared" si="163"/>
        <v>0.95890410958904115</v>
      </c>
      <c r="BO118" s="91">
        <f t="shared" si="163"/>
        <v>0.95890410958904115</v>
      </c>
      <c r="BP118" s="91">
        <f t="shared" si="163"/>
        <v>0.95890410958904115</v>
      </c>
      <c r="BQ118" s="91">
        <f t="shared" si="163"/>
        <v>0.95890410958904115</v>
      </c>
      <c r="BR118" s="91">
        <f t="shared" si="163"/>
        <v>0.95890410958904115</v>
      </c>
    </row>
    <row r="119" spans="1:70">
      <c r="A119" t="s">
        <v>16</v>
      </c>
      <c r="B119" s="223" t="str">
        <f t="shared" si="164"/>
        <v>CNL</v>
      </c>
      <c r="C119" s="223" t="str">
        <f t="shared" si="164"/>
        <v>Commercial - Lighting</v>
      </c>
      <c r="E119" s="296">
        <f t="shared" si="165"/>
        <v>4.1095890410958895E-2</v>
      </c>
      <c r="F119" s="303"/>
      <c r="G119" s="299"/>
      <c r="H119" s="298"/>
      <c r="I119" s="132"/>
      <c r="L119" s="134">
        <f t="shared" si="161"/>
        <v>0.95890410958904115</v>
      </c>
      <c r="M119" s="91">
        <f t="shared" si="161"/>
        <v>0.95890410958904115</v>
      </c>
      <c r="N119" s="91">
        <f t="shared" si="161"/>
        <v>0.95890410958904115</v>
      </c>
      <c r="O119" s="91">
        <f t="shared" si="161"/>
        <v>0.95890410958904115</v>
      </c>
      <c r="P119" s="91">
        <f t="shared" si="161"/>
        <v>0.95890410958904115</v>
      </c>
      <c r="Q119" s="91">
        <f t="shared" si="161"/>
        <v>0.95890410958904115</v>
      </c>
      <c r="R119" s="91">
        <f t="shared" si="161"/>
        <v>0.95890410958904115</v>
      </c>
      <c r="S119" s="91">
        <f t="shared" si="161"/>
        <v>0.95890410958904115</v>
      </c>
      <c r="T119" s="91">
        <f t="shared" si="161"/>
        <v>0.95890410958904115</v>
      </c>
      <c r="U119" s="91">
        <f t="shared" si="161"/>
        <v>0.95890410958904115</v>
      </c>
      <c r="V119" s="91">
        <f t="shared" si="161"/>
        <v>0.95890410958904115</v>
      </c>
      <c r="W119" s="91">
        <f t="shared" si="161"/>
        <v>0.95890410958904115</v>
      </c>
      <c r="X119" s="91">
        <f t="shared" si="161"/>
        <v>0.95890410958904115</v>
      </c>
      <c r="Y119" s="91">
        <f t="shared" si="161"/>
        <v>0.95890410958904115</v>
      </c>
      <c r="Z119" s="91">
        <f t="shared" si="161"/>
        <v>0.95890410958904115</v>
      </c>
      <c r="AA119" s="91">
        <f t="shared" si="161"/>
        <v>0.95890410958904115</v>
      </c>
      <c r="AB119" s="91">
        <f t="shared" si="162"/>
        <v>0.95890410958904115</v>
      </c>
      <c r="AC119" s="91">
        <f t="shared" si="162"/>
        <v>0.95890410958904115</v>
      </c>
      <c r="AD119" s="91">
        <f t="shared" si="162"/>
        <v>0.95890410958904115</v>
      </c>
      <c r="AE119" s="91">
        <f t="shared" si="162"/>
        <v>0.95890410958904115</v>
      </c>
      <c r="AF119" s="91">
        <f t="shared" si="162"/>
        <v>0.95890410958904115</v>
      </c>
      <c r="AG119" s="91">
        <f t="shared" si="162"/>
        <v>0.95890410958904115</v>
      </c>
      <c r="AH119" s="91">
        <f t="shared" si="162"/>
        <v>0.95890410958904115</v>
      </c>
      <c r="AI119" s="91">
        <f t="shared" si="162"/>
        <v>0.95890410958904115</v>
      </c>
      <c r="AJ119" s="91">
        <f t="shared" si="162"/>
        <v>0.95890410958904115</v>
      </c>
      <c r="AK119" s="91">
        <f t="shared" si="162"/>
        <v>0.95890410958904115</v>
      </c>
      <c r="AL119" s="91">
        <f t="shared" si="162"/>
        <v>0.95890410958904115</v>
      </c>
      <c r="AM119" s="91">
        <f t="shared" si="162"/>
        <v>0.95890410958904115</v>
      </c>
      <c r="AN119" s="91">
        <f t="shared" si="162"/>
        <v>0.95890410958904115</v>
      </c>
      <c r="AO119" s="91">
        <f t="shared" si="162"/>
        <v>0.95890410958904115</v>
      </c>
      <c r="AP119" s="91">
        <f t="shared" si="162"/>
        <v>0.95890410958904115</v>
      </c>
      <c r="AQ119" s="91">
        <f t="shared" si="162"/>
        <v>0.95890410958904115</v>
      </c>
      <c r="AR119" s="91">
        <f t="shared" si="162"/>
        <v>0.95890410958904115</v>
      </c>
      <c r="AS119" s="91">
        <f t="shared" si="162"/>
        <v>0.95890410958904115</v>
      </c>
      <c r="AT119" s="91">
        <f t="shared" si="162"/>
        <v>0.95890410958904115</v>
      </c>
      <c r="AU119" s="91">
        <f t="shared" si="162"/>
        <v>0.95890410958904115</v>
      </c>
      <c r="AV119" s="91">
        <f t="shared" si="162"/>
        <v>0.95890410958904115</v>
      </c>
      <c r="AW119" s="91">
        <f t="shared" si="162"/>
        <v>0.95890410958904115</v>
      </c>
      <c r="AX119" s="91">
        <f t="shared" si="162"/>
        <v>0.95890410958904115</v>
      </c>
      <c r="AY119" s="91">
        <f t="shared" si="163"/>
        <v>0.95890410958904115</v>
      </c>
      <c r="AZ119" s="91">
        <f t="shared" si="163"/>
        <v>0.95890410958904115</v>
      </c>
      <c r="BA119" s="91">
        <f t="shared" si="163"/>
        <v>0.95890410958904115</v>
      </c>
      <c r="BB119" s="91">
        <f t="shared" si="163"/>
        <v>0.95890410958904115</v>
      </c>
      <c r="BC119" s="91">
        <f t="shared" si="163"/>
        <v>0.95890410958904115</v>
      </c>
      <c r="BD119" s="91">
        <f t="shared" si="163"/>
        <v>0.95890410958904115</v>
      </c>
      <c r="BE119" s="91">
        <f t="shared" si="163"/>
        <v>0.95890410958904115</v>
      </c>
      <c r="BF119" s="91">
        <f t="shared" si="163"/>
        <v>0.95890410958904115</v>
      </c>
      <c r="BG119" s="91">
        <f t="shared" si="163"/>
        <v>0.95890410958904115</v>
      </c>
      <c r="BH119" s="91">
        <f t="shared" si="163"/>
        <v>0.95890410958904115</v>
      </c>
      <c r="BI119" s="91">
        <f t="shared" si="163"/>
        <v>0.95890410958904115</v>
      </c>
      <c r="BJ119" s="91">
        <f t="shared" si="163"/>
        <v>0.95890410958904115</v>
      </c>
      <c r="BK119" s="91">
        <f t="shared" si="163"/>
        <v>0.95890410958904115</v>
      </c>
      <c r="BL119" s="91">
        <f t="shared" si="163"/>
        <v>0.95890410958904115</v>
      </c>
      <c r="BM119" s="91">
        <f t="shared" si="163"/>
        <v>0.95890410958904115</v>
      </c>
      <c r="BN119" s="91">
        <f t="shared" si="163"/>
        <v>0.95890410958904115</v>
      </c>
      <c r="BO119" s="91">
        <f t="shared" si="163"/>
        <v>0.95890410958904115</v>
      </c>
      <c r="BP119" s="91">
        <f t="shared" si="163"/>
        <v>0.95890410958904115</v>
      </c>
      <c r="BQ119" s="91">
        <f t="shared" si="163"/>
        <v>0.95890410958904115</v>
      </c>
      <c r="BR119" s="91">
        <f t="shared" si="163"/>
        <v>0.95890410958904115</v>
      </c>
    </row>
    <row r="120" spans="1:70">
      <c r="A120" t="s">
        <v>16</v>
      </c>
      <c r="B120" s="223" t="str">
        <f t="shared" si="164"/>
        <v>CNR</v>
      </c>
      <c r="C120" s="223" t="str">
        <f t="shared" si="164"/>
        <v>Commercial - Refrigeration</v>
      </c>
      <c r="E120" s="296">
        <f t="shared" si="165"/>
        <v>4.1095890410958895E-2</v>
      </c>
      <c r="F120" s="303"/>
      <c r="G120" s="299"/>
      <c r="H120" s="298"/>
      <c r="I120" s="132"/>
      <c r="L120" s="134">
        <f t="shared" si="161"/>
        <v>0.95890410958904115</v>
      </c>
      <c r="M120" s="91">
        <f t="shared" si="161"/>
        <v>0.95890410958904115</v>
      </c>
      <c r="N120" s="91">
        <f t="shared" si="161"/>
        <v>0.95890410958904115</v>
      </c>
      <c r="O120" s="91">
        <f t="shared" si="161"/>
        <v>0.95890410958904115</v>
      </c>
      <c r="P120" s="91">
        <f t="shared" si="161"/>
        <v>0.95890410958904115</v>
      </c>
      <c r="Q120" s="91">
        <f t="shared" si="161"/>
        <v>0.95890410958904115</v>
      </c>
      <c r="R120" s="91">
        <f t="shared" si="161"/>
        <v>0.95890410958904115</v>
      </c>
      <c r="S120" s="91">
        <f t="shared" si="161"/>
        <v>0.95890410958904115</v>
      </c>
      <c r="T120" s="91">
        <f t="shared" si="161"/>
        <v>0.95890410958904115</v>
      </c>
      <c r="U120" s="91">
        <f t="shared" si="161"/>
        <v>0.95890410958904115</v>
      </c>
      <c r="V120" s="91">
        <f t="shared" si="161"/>
        <v>0.95890410958904115</v>
      </c>
      <c r="W120" s="91">
        <f t="shared" si="161"/>
        <v>0.95890410958904115</v>
      </c>
      <c r="X120" s="91">
        <f t="shared" si="161"/>
        <v>0.95890410958904115</v>
      </c>
      <c r="Y120" s="91">
        <f t="shared" si="161"/>
        <v>0.95890410958904115</v>
      </c>
      <c r="Z120" s="91">
        <f t="shared" si="161"/>
        <v>0.95890410958904115</v>
      </c>
      <c r="AA120" s="91">
        <f t="shared" si="161"/>
        <v>0.95890410958904115</v>
      </c>
      <c r="AB120" s="91">
        <f t="shared" si="162"/>
        <v>0.95890410958904115</v>
      </c>
      <c r="AC120" s="91">
        <f t="shared" si="162"/>
        <v>0.95890410958904115</v>
      </c>
      <c r="AD120" s="91">
        <f t="shared" si="162"/>
        <v>0.95890410958904115</v>
      </c>
      <c r="AE120" s="91">
        <f t="shared" si="162"/>
        <v>0.95890410958904115</v>
      </c>
      <c r="AF120" s="91">
        <f t="shared" si="162"/>
        <v>0.95890410958904115</v>
      </c>
      <c r="AG120" s="91">
        <f t="shared" si="162"/>
        <v>0.95890410958904115</v>
      </c>
      <c r="AH120" s="91">
        <f t="shared" si="162"/>
        <v>0.95890410958904115</v>
      </c>
      <c r="AI120" s="91">
        <f t="shared" si="162"/>
        <v>0.95890410958904115</v>
      </c>
      <c r="AJ120" s="91">
        <f t="shared" si="162"/>
        <v>0.95890410958904115</v>
      </c>
      <c r="AK120" s="91">
        <f t="shared" si="162"/>
        <v>0.95890410958904115</v>
      </c>
      <c r="AL120" s="91">
        <f t="shared" si="162"/>
        <v>0.95890410958904115</v>
      </c>
      <c r="AM120" s="91">
        <f t="shared" si="162"/>
        <v>0.95890410958904115</v>
      </c>
      <c r="AN120" s="91">
        <f t="shared" si="162"/>
        <v>0.95890410958904115</v>
      </c>
      <c r="AO120" s="91">
        <f t="shared" si="162"/>
        <v>0.95890410958904115</v>
      </c>
      <c r="AP120" s="91">
        <f t="shared" si="162"/>
        <v>0.95890410958904115</v>
      </c>
      <c r="AQ120" s="91">
        <f t="shared" si="162"/>
        <v>0.95890410958904115</v>
      </c>
      <c r="AR120" s="91">
        <f t="shared" si="162"/>
        <v>0.95890410958904115</v>
      </c>
      <c r="AS120" s="91">
        <f t="shared" si="162"/>
        <v>0.95890410958904115</v>
      </c>
      <c r="AT120" s="91">
        <f t="shared" si="162"/>
        <v>0.95890410958904115</v>
      </c>
      <c r="AU120" s="91">
        <f t="shared" si="162"/>
        <v>0.95890410958904115</v>
      </c>
      <c r="AV120" s="91">
        <f t="shared" si="162"/>
        <v>0.95890410958904115</v>
      </c>
      <c r="AW120" s="91">
        <f t="shared" si="162"/>
        <v>0.95890410958904115</v>
      </c>
      <c r="AX120" s="91">
        <f t="shared" si="162"/>
        <v>0.95890410958904115</v>
      </c>
      <c r="AY120" s="91">
        <f t="shared" si="163"/>
        <v>0.95890410958904115</v>
      </c>
      <c r="AZ120" s="91">
        <f t="shared" si="163"/>
        <v>0.95890410958904115</v>
      </c>
      <c r="BA120" s="91">
        <f t="shared" si="163"/>
        <v>0.95890410958904115</v>
      </c>
      <c r="BB120" s="91">
        <f t="shared" si="163"/>
        <v>0.95890410958904115</v>
      </c>
      <c r="BC120" s="91">
        <f t="shared" si="163"/>
        <v>0.95890410958904115</v>
      </c>
      <c r="BD120" s="91">
        <f t="shared" si="163"/>
        <v>0.95890410958904115</v>
      </c>
      <c r="BE120" s="91">
        <f t="shared" si="163"/>
        <v>0.95890410958904115</v>
      </c>
      <c r="BF120" s="91">
        <f t="shared" si="163"/>
        <v>0.95890410958904115</v>
      </c>
      <c r="BG120" s="91">
        <f t="shared" si="163"/>
        <v>0.95890410958904115</v>
      </c>
      <c r="BH120" s="91">
        <f t="shared" si="163"/>
        <v>0.95890410958904115</v>
      </c>
      <c r="BI120" s="91">
        <f t="shared" si="163"/>
        <v>0.95890410958904115</v>
      </c>
      <c r="BJ120" s="91">
        <f t="shared" si="163"/>
        <v>0.95890410958904115</v>
      </c>
      <c r="BK120" s="91">
        <f t="shared" si="163"/>
        <v>0.95890410958904115</v>
      </c>
      <c r="BL120" s="91">
        <f t="shared" si="163"/>
        <v>0.95890410958904115</v>
      </c>
      <c r="BM120" s="91">
        <f t="shared" si="163"/>
        <v>0.95890410958904115</v>
      </c>
      <c r="BN120" s="91">
        <f t="shared" si="163"/>
        <v>0.95890410958904115</v>
      </c>
      <c r="BO120" s="91">
        <f t="shared" si="163"/>
        <v>0.95890410958904115</v>
      </c>
      <c r="BP120" s="91">
        <f t="shared" si="163"/>
        <v>0.95890410958904115</v>
      </c>
      <c r="BQ120" s="91">
        <f t="shared" si="163"/>
        <v>0.95890410958904115</v>
      </c>
      <c r="BR120" s="91">
        <f t="shared" si="163"/>
        <v>0.95890410958904115</v>
      </c>
    </row>
    <row r="121" spans="1:70">
      <c r="A121" t="s">
        <v>16</v>
      </c>
      <c r="B121" s="223" t="str">
        <f t="shared" si="164"/>
        <v>CNW</v>
      </c>
      <c r="C121" s="223" t="str">
        <f t="shared" si="164"/>
        <v>Commercial - Water Heating</v>
      </c>
      <c r="E121" s="296">
        <f t="shared" si="165"/>
        <v>4.1095890410958895E-2</v>
      </c>
      <c r="F121" s="303"/>
      <c r="G121" s="299"/>
      <c r="H121" s="298"/>
      <c r="I121" s="132"/>
      <c r="L121" s="134">
        <f t="shared" si="161"/>
        <v>0.95890410958904115</v>
      </c>
      <c r="M121" s="91">
        <f t="shared" si="161"/>
        <v>0.95890410958904115</v>
      </c>
      <c r="N121" s="91">
        <f t="shared" si="161"/>
        <v>0.95890410958904115</v>
      </c>
      <c r="O121" s="91">
        <f t="shared" si="161"/>
        <v>0.95890410958904115</v>
      </c>
      <c r="P121" s="91">
        <f t="shared" si="161"/>
        <v>0.95890410958904115</v>
      </c>
      <c r="Q121" s="91">
        <f t="shared" si="161"/>
        <v>0.95890410958904115</v>
      </c>
      <c r="R121" s="91">
        <f t="shared" si="161"/>
        <v>0.95890410958904115</v>
      </c>
      <c r="S121" s="91">
        <f t="shared" si="161"/>
        <v>0.95890410958904115</v>
      </c>
      <c r="T121" s="91">
        <f t="shared" si="161"/>
        <v>0.95890410958904115</v>
      </c>
      <c r="U121" s="91">
        <f t="shared" si="161"/>
        <v>0.95890410958904115</v>
      </c>
      <c r="V121" s="91">
        <f t="shared" si="161"/>
        <v>0.95890410958904115</v>
      </c>
      <c r="W121" s="91">
        <f t="shared" si="161"/>
        <v>0.95890410958904115</v>
      </c>
      <c r="X121" s="91">
        <f t="shared" si="161"/>
        <v>0.95890410958904115</v>
      </c>
      <c r="Y121" s="91">
        <f t="shared" si="161"/>
        <v>0.95890410958904115</v>
      </c>
      <c r="Z121" s="91">
        <f t="shared" si="161"/>
        <v>0.95890410958904115</v>
      </c>
      <c r="AA121" s="91">
        <f t="shared" si="161"/>
        <v>0.95890410958904115</v>
      </c>
      <c r="AB121" s="91">
        <f t="shared" si="162"/>
        <v>0.95890410958904115</v>
      </c>
      <c r="AC121" s="91">
        <f t="shared" si="162"/>
        <v>0.95890410958904115</v>
      </c>
      <c r="AD121" s="91">
        <f t="shared" si="162"/>
        <v>0.95890410958904115</v>
      </c>
      <c r="AE121" s="91">
        <f t="shared" si="162"/>
        <v>0.95890410958904115</v>
      </c>
      <c r="AF121" s="91">
        <f t="shared" si="162"/>
        <v>0.95890410958904115</v>
      </c>
      <c r="AG121" s="91">
        <f t="shared" si="162"/>
        <v>0.95890410958904115</v>
      </c>
      <c r="AH121" s="91">
        <f t="shared" si="162"/>
        <v>0.95890410958904115</v>
      </c>
      <c r="AI121" s="91">
        <f t="shared" si="162"/>
        <v>0.95890410958904115</v>
      </c>
      <c r="AJ121" s="91">
        <f t="shared" si="162"/>
        <v>0.95890410958904115</v>
      </c>
      <c r="AK121" s="91">
        <f t="shared" si="162"/>
        <v>0.95890410958904115</v>
      </c>
      <c r="AL121" s="91">
        <f t="shared" si="162"/>
        <v>0.95890410958904115</v>
      </c>
      <c r="AM121" s="91">
        <f t="shared" si="162"/>
        <v>0.95890410958904115</v>
      </c>
      <c r="AN121" s="91">
        <f t="shared" si="162"/>
        <v>0.95890410958904115</v>
      </c>
      <c r="AO121" s="91">
        <f t="shared" si="162"/>
        <v>0.95890410958904115</v>
      </c>
      <c r="AP121" s="91">
        <f t="shared" si="162"/>
        <v>0.95890410958904115</v>
      </c>
      <c r="AQ121" s="91">
        <f t="shared" si="162"/>
        <v>0.95890410958904115</v>
      </c>
      <c r="AR121" s="91">
        <f t="shared" si="162"/>
        <v>0.95890410958904115</v>
      </c>
      <c r="AS121" s="91">
        <f t="shared" si="162"/>
        <v>0.95890410958904115</v>
      </c>
      <c r="AT121" s="91">
        <f t="shared" si="162"/>
        <v>0.95890410958904115</v>
      </c>
      <c r="AU121" s="91">
        <f t="shared" si="162"/>
        <v>0.95890410958904115</v>
      </c>
      <c r="AV121" s="91">
        <f t="shared" si="162"/>
        <v>0.95890410958904115</v>
      </c>
      <c r="AW121" s="91">
        <f t="shared" si="162"/>
        <v>0.95890410958904115</v>
      </c>
      <c r="AX121" s="91">
        <f t="shared" si="162"/>
        <v>0.95890410958904115</v>
      </c>
      <c r="AY121" s="91">
        <f t="shared" si="163"/>
        <v>0.95890410958904115</v>
      </c>
      <c r="AZ121" s="91">
        <f t="shared" si="163"/>
        <v>0.95890410958904115</v>
      </c>
      <c r="BA121" s="91">
        <f t="shared" si="163"/>
        <v>0.95890410958904115</v>
      </c>
      <c r="BB121" s="91">
        <f t="shared" si="163"/>
        <v>0.95890410958904115</v>
      </c>
      <c r="BC121" s="91">
        <f t="shared" si="163"/>
        <v>0.95890410958904115</v>
      </c>
      <c r="BD121" s="91">
        <f t="shared" si="163"/>
        <v>0.95890410958904115</v>
      </c>
      <c r="BE121" s="91">
        <f t="shared" si="163"/>
        <v>0.95890410958904115</v>
      </c>
      <c r="BF121" s="91">
        <f t="shared" si="163"/>
        <v>0.95890410958904115</v>
      </c>
      <c r="BG121" s="91">
        <f t="shared" si="163"/>
        <v>0.95890410958904115</v>
      </c>
      <c r="BH121" s="91">
        <f t="shared" si="163"/>
        <v>0.95890410958904115</v>
      </c>
      <c r="BI121" s="91">
        <f t="shared" si="163"/>
        <v>0.95890410958904115</v>
      </c>
      <c r="BJ121" s="91">
        <f t="shared" si="163"/>
        <v>0.95890410958904115</v>
      </c>
      <c r="BK121" s="91">
        <f t="shared" si="163"/>
        <v>0.95890410958904115</v>
      </c>
      <c r="BL121" s="91">
        <f t="shared" si="163"/>
        <v>0.95890410958904115</v>
      </c>
      <c r="BM121" s="91">
        <f t="shared" si="163"/>
        <v>0.95890410958904115</v>
      </c>
      <c r="BN121" s="91">
        <f t="shared" si="163"/>
        <v>0.95890410958904115</v>
      </c>
      <c r="BO121" s="91">
        <f t="shared" si="163"/>
        <v>0.95890410958904115</v>
      </c>
      <c r="BP121" s="91">
        <f t="shared" si="163"/>
        <v>0.95890410958904115</v>
      </c>
      <c r="BQ121" s="91">
        <f t="shared" si="163"/>
        <v>0.95890410958904115</v>
      </c>
      <c r="BR121" s="91">
        <f t="shared" si="163"/>
        <v>0.95890410958904115</v>
      </c>
    </row>
    <row r="122" spans="1:70">
      <c r="A122" t="s">
        <v>16</v>
      </c>
      <c r="B122" s="223" t="str">
        <f t="shared" si="164"/>
        <v>CNG</v>
      </c>
      <c r="C122" s="223" t="str">
        <f t="shared" si="164"/>
        <v>Commercial - Public lights</v>
      </c>
      <c r="E122" s="296">
        <f t="shared" si="165"/>
        <v>4.1095890410958895E-2</v>
      </c>
      <c r="F122" s="303"/>
      <c r="G122" s="299"/>
      <c r="I122" s="132"/>
      <c r="L122" s="134">
        <f t="shared" si="161"/>
        <v>0.95890410958904115</v>
      </c>
      <c r="M122" s="91">
        <f t="shared" si="161"/>
        <v>0.95890410958904115</v>
      </c>
      <c r="N122" s="91">
        <f t="shared" si="161"/>
        <v>0.95890410958904115</v>
      </c>
      <c r="O122" s="91">
        <f t="shared" si="161"/>
        <v>0.95890410958904115</v>
      </c>
      <c r="P122" s="91">
        <f t="shared" si="161"/>
        <v>0.95890410958904115</v>
      </c>
      <c r="Q122" s="91">
        <f t="shared" si="161"/>
        <v>0.95890410958904115</v>
      </c>
      <c r="R122" s="91">
        <f t="shared" si="161"/>
        <v>0.95890410958904115</v>
      </c>
      <c r="S122" s="91">
        <f t="shared" si="161"/>
        <v>0.95890410958904115</v>
      </c>
      <c r="T122" s="91">
        <f t="shared" si="161"/>
        <v>0.95890410958904115</v>
      </c>
      <c r="U122" s="91">
        <f t="shared" si="161"/>
        <v>0.95890410958904115</v>
      </c>
      <c r="V122" s="91">
        <f t="shared" si="161"/>
        <v>0.95890410958904115</v>
      </c>
      <c r="W122" s="91">
        <f t="shared" si="161"/>
        <v>0.95890410958904115</v>
      </c>
      <c r="X122" s="91">
        <f t="shared" si="161"/>
        <v>0.95890410958904115</v>
      </c>
      <c r="Y122" s="91">
        <f t="shared" si="161"/>
        <v>0.95890410958904115</v>
      </c>
      <c r="Z122" s="91">
        <f t="shared" si="161"/>
        <v>0.95890410958904115</v>
      </c>
      <c r="AA122" s="91">
        <f t="shared" si="161"/>
        <v>0.95890410958904115</v>
      </c>
      <c r="AB122" s="91">
        <f t="shared" si="162"/>
        <v>0.95890410958904115</v>
      </c>
      <c r="AC122" s="91">
        <f t="shared" si="162"/>
        <v>0.95890410958904115</v>
      </c>
      <c r="AD122" s="91">
        <f t="shared" si="162"/>
        <v>0.95890410958904115</v>
      </c>
      <c r="AE122" s="91">
        <f t="shared" si="162"/>
        <v>0.95890410958904115</v>
      </c>
      <c r="AF122" s="91">
        <f t="shared" si="162"/>
        <v>0.95890410958904115</v>
      </c>
      <c r="AG122" s="91">
        <f t="shared" si="162"/>
        <v>0.95890410958904115</v>
      </c>
      <c r="AH122" s="91">
        <f t="shared" si="162"/>
        <v>0.95890410958904115</v>
      </c>
      <c r="AI122" s="91">
        <f t="shared" si="162"/>
        <v>0.95890410958904115</v>
      </c>
      <c r="AJ122" s="91">
        <f t="shared" si="162"/>
        <v>0.95890410958904115</v>
      </c>
      <c r="AK122" s="91">
        <f t="shared" si="162"/>
        <v>0.95890410958904115</v>
      </c>
      <c r="AL122" s="91">
        <f t="shared" si="162"/>
        <v>0.95890410958904115</v>
      </c>
      <c r="AM122" s="91">
        <f t="shared" si="162"/>
        <v>0.95890410958904115</v>
      </c>
      <c r="AN122" s="91">
        <f t="shared" si="162"/>
        <v>0.95890410958904115</v>
      </c>
      <c r="AO122" s="91">
        <f t="shared" si="162"/>
        <v>0.95890410958904115</v>
      </c>
      <c r="AP122" s="91">
        <f t="shared" si="162"/>
        <v>0.95890410958904115</v>
      </c>
      <c r="AQ122" s="91">
        <f t="shared" si="162"/>
        <v>0.95890410958904115</v>
      </c>
      <c r="AR122" s="91">
        <f t="shared" si="162"/>
        <v>0.95890410958904115</v>
      </c>
      <c r="AS122" s="91">
        <f t="shared" si="162"/>
        <v>0.95890410958904115</v>
      </c>
      <c r="AT122" s="91">
        <f t="shared" si="162"/>
        <v>0.95890410958904115</v>
      </c>
      <c r="AU122" s="91">
        <f t="shared" si="162"/>
        <v>0.95890410958904115</v>
      </c>
      <c r="AV122" s="91">
        <f t="shared" si="162"/>
        <v>0.95890410958904115</v>
      </c>
      <c r="AW122" s="91">
        <f t="shared" si="162"/>
        <v>0.95890410958904115</v>
      </c>
      <c r="AX122" s="91">
        <f t="shared" si="162"/>
        <v>0.95890410958904115</v>
      </c>
      <c r="AY122" s="91">
        <f t="shared" si="163"/>
        <v>0.95890410958904115</v>
      </c>
      <c r="AZ122" s="91">
        <f t="shared" si="163"/>
        <v>0.95890410958904115</v>
      </c>
      <c r="BA122" s="91">
        <f t="shared" si="163"/>
        <v>0.95890410958904115</v>
      </c>
      <c r="BB122" s="91">
        <f t="shared" si="163"/>
        <v>0.95890410958904115</v>
      </c>
      <c r="BC122" s="91">
        <f t="shared" si="163"/>
        <v>0.95890410958904115</v>
      </c>
      <c r="BD122" s="91">
        <f t="shared" si="163"/>
        <v>0.95890410958904115</v>
      </c>
      <c r="BE122" s="91">
        <f t="shared" si="163"/>
        <v>0.95890410958904115</v>
      </c>
      <c r="BF122" s="91">
        <f t="shared" si="163"/>
        <v>0.95890410958904115</v>
      </c>
      <c r="BG122" s="91">
        <f t="shared" si="163"/>
        <v>0.95890410958904115</v>
      </c>
      <c r="BH122" s="91">
        <f t="shared" si="163"/>
        <v>0.95890410958904115</v>
      </c>
      <c r="BI122" s="91">
        <f t="shared" si="163"/>
        <v>0.95890410958904115</v>
      </c>
      <c r="BJ122" s="91">
        <f t="shared" si="163"/>
        <v>0.95890410958904115</v>
      </c>
      <c r="BK122" s="91">
        <f t="shared" si="163"/>
        <v>0.95890410958904115</v>
      </c>
      <c r="BL122" s="91">
        <f t="shared" si="163"/>
        <v>0.95890410958904115</v>
      </c>
      <c r="BM122" s="91">
        <f t="shared" si="163"/>
        <v>0.95890410958904115</v>
      </c>
      <c r="BN122" s="91">
        <f t="shared" si="163"/>
        <v>0.95890410958904115</v>
      </c>
      <c r="BO122" s="91">
        <f t="shared" ref="AY122:BR124" si="166">(1-$E122)</f>
        <v>0.95890410958904115</v>
      </c>
      <c r="BP122" s="91">
        <f t="shared" si="166"/>
        <v>0.95890410958904115</v>
      </c>
      <c r="BQ122" s="91">
        <f t="shared" si="166"/>
        <v>0.95890410958904115</v>
      </c>
      <c r="BR122" s="91">
        <f t="shared" si="166"/>
        <v>0.95890410958904115</v>
      </c>
    </row>
    <row r="123" spans="1:70">
      <c r="A123" t="s">
        <v>16</v>
      </c>
      <c r="B123" s="223" t="str">
        <f t="shared" si="164"/>
        <v>CNT</v>
      </c>
      <c r="C123" s="223" t="str">
        <f t="shared" si="164"/>
        <v>Commercial - Public Water</v>
      </c>
      <c r="E123" s="296">
        <f t="shared" si="165"/>
        <v>4.1095890410958895E-2</v>
      </c>
      <c r="F123" s="303"/>
      <c r="G123" s="299"/>
      <c r="H123" s="298"/>
      <c r="I123" s="132"/>
      <c r="L123" s="134">
        <f t="shared" si="161"/>
        <v>0.95890410958904115</v>
      </c>
      <c r="M123" s="91">
        <f t="shared" si="161"/>
        <v>0.95890410958904115</v>
      </c>
      <c r="N123" s="91">
        <f t="shared" si="161"/>
        <v>0.95890410958904115</v>
      </c>
      <c r="O123" s="91">
        <f t="shared" si="161"/>
        <v>0.95890410958904115</v>
      </c>
      <c r="P123" s="91">
        <f t="shared" si="161"/>
        <v>0.95890410958904115</v>
      </c>
      <c r="Q123" s="91">
        <f t="shared" si="161"/>
        <v>0.95890410958904115</v>
      </c>
      <c r="R123" s="91">
        <f t="shared" si="161"/>
        <v>0.95890410958904115</v>
      </c>
      <c r="S123" s="91">
        <f t="shared" si="161"/>
        <v>0.95890410958904115</v>
      </c>
      <c r="T123" s="91">
        <f t="shared" si="161"/>
        <v>0.95890410958904115</v>
      </c>
      <c r="U123" s="91">
        <f t="shared" si="161"/>
        <v>0.95890410958904115</v>
      </c>
      <c r="V123" s="91">
        <f t="shared" si="161"/>
        <v>0.95890410958904115</v>
      </c>
      <c r="W123" s="91">
        <f t="shared" si="161"/>
        <v>0.95890410958904115</v>
      </c>
      <c r="X123" s="91">
        <f t="shared" si="161"/>
        <v>0.95890410958904115</v>
      </c>
      <c r="Y123" s="91">
        <f t="shared" si="161"/>
        <v>0.95890410958904115</v>
      </c>
      <c r="Z123" s="91">
        <f t="shared" si="161"/>
        <v>0.95890410958904115</v>
      </c>
      <c r="AA123" s="91">
        <f t="shared" si="161"/>
        <v>0.95890410958904115</v>
      </c>
      <c r="AB123" s="91">
        <f t="shared" si="162"/>
        <v>0.95890410958904115</v>
      </c>
      <c r="AC123" s="91">
        <f t="shared" si="162"/>
        <v>0.95890410958904115</v>
      </c>
      <c r="AD123" s="91">
        <f t="shared" si="162"/>
        <v>0.95890410958904115</v>
      </c>
      <c r="AE123" s="91">
        <f t="shared" si="162"/>
        <v>0.95890410958904115</v>
      </c>
      <c r="AF123" s="91">
        <f t="shared" si="162"/>
        <v>0.95890410958904115</v>
      </c>
      <c r="AG123" s="91">
        <f t="shared" si="162"/>
        <v>0.95890410958904115</v>
      </c>
      <c r="AH123" s="91">
        <f t="shared" si="162"/>
        <v>0.95890410958904115</v>
      </c>
      <c r="AI123" s="91">
        <f t="shared" si="162"/>
        <v>0.95890410958904115</v>
      </c>
      <c r="AJ123" s="91">
        <f t="shared" si="162"/>
        <v>0.95890410958904115</v>
      </c>
      <c r="AK123" s="91">
        <f t="shared" si="162"/>
        <v>0.95890410958904115</v>
      </c>
      <c r="AL123" s="91">
        <f t="shared" si="162"/>
        <v>0.95890410958904115</v>
      </c>
      <c r="AM123" s="91">
        <f t="shared" si="162"/>
        <v>0.95890410958904115</v>
      </c>
      <c r="AN123" s="91">
        <f t="shared" si="162"/>
        <v>0.95890410958904115</v>
      </c>
      <c r="AO123" s="91">
        <f t="shared" si="162"/>
        <v>0.95890410958904115</v>
      </c>
      <c r="AP123" s="91">
        <f t="shared" si="162"/>
        <v>0.95890410958904115</v>
      </c>
      <c r="AQ123" s="91">
        <f t="shared" si="162"/>
        <v>0.95890410958904115</v>
      </c>
      <c r="AR123" s="91">
        <f t="shared" si="162"/>
        <v>0.95890410958904115</v>
      </c>
      <c r="AS123" s="91">
        <f t="shared" si="162"/>
        <v>0.95890410958904115</v>
      </c>
      <c r="AT123" s="91">
        <f t="shared" si="162"/>
        <v>0.95890410958904115</v>
      </c>
      <c r="AU123" s="91">
        <f t="shared" si="162"/>
        <v>0.95890410958904115</v>
      </c>
      <c r="AV123" s="91">
        <f t="shared" si="162"/>
        <v>0.95890410958904115</v>
      </c>
      <c r="AW123" s="91">
        <f t="shared" si="162"/>
        <v>0.95890410958904115</v>
      </c>
      <c r="AX123" s="91">
        <f t="shared" si="162"/>
        <v>0.95890410958904115</v>
      </c>
      <c r="AY123" s="91">
        <f t="shared" si="166"/>
        <v>0.95890410958904115</v>
      </c>
      <c r="AZ123" s="91">
        <f t="shared" si="166"/>
        <v>0.95890410958904115</v>
      </c>
      <c r="BA123" s="91">
        <f t="shared" si="166"/>
        <v>0.95890410958904115</v>
      </c>
      <c r="BB123" s="91">
        <f t="shared" si="166"/>
        <v>0.95890410958904115</v>
      </c>
      <c r="BC123" s="91">
        <f t="shared" si="166"/>
        <v>0.95890410958904115</v>
      </c>
      <c r="BD123" s="91">
        <f t="shared" si="166"/>
        <v>0.95890410958904115</v>
      </c>
      <c r="BE123" s="91">
        <f t="shared" si="166"/>
        <v>0.95890410958904115</v>
      </c>
      <c r="BF123" s="91">
        <f t="shared" si="166"/>
        <v>0.95890410958904115</v>
      </c>
      <c r="BG123" s="91">
        <f t="shared" si="166"/>
        <v>0.95890410958904115</v>
      </c>
      <c r="BH123" s="91">
        <f t="shared" si="166"/>
        <v>0.95890410958904115</v>
      </c>
      <c r="BI123" s="91">
        <f t="shared" si="166"/>
        <v>0.95890410958904115</v>
      </c>
      <c r="BJ123" s="91">
        <f t="shared" si="166"/>
        <v>0.95890410958904115</v>
      </c>
      <c r="BK123" s="91">
        <f t="shared" si="166"/>
        <v>0.95890410958904115</v>
      </c>
      <c r="BL123" s="91">
        <f t="shared" si="166"/>
        <v>0.95890410958904115</v>
      </c>
      <c r="BM123" s="91">
        <f t="shared" si="166"/>
        <v>0.95890410958904115</v>
      </c>
      <c r="BN123" s="91">
        <f t="shared" si="166"/>
        <v>0.95890410958904115</v>
      </c>
      <c r="BO123" s="91">
        <f t="shared" si="166"/>
        <v>0.95890410958904115</v>
      </c>
      <c r="BP123" s="91">
        <f t="shared" si="166"/>
        <v>0.95890410958904115</v>
      </c>
      <c r="BQ123" s="91">
        <f t="shared" si="166"/>
        <v>0.95890410958904115</v>
      </c>
      <c r="BR123" s="91">
        <f t="shared" si="166"/>
        <v>0.95890410958904115</v>
      </c>
    </row>
    <row r="124" spans="1:70">
      <c r="A124" t="s">
        <v>16</v>
      </c>
      <c r="B124" s="223" t="str">
        <f t="shared" si="164"/>
        <v>CNO</v>
      </c>
      <c r="C124" s="223" t="str">
        <f t="shared" si="164"/>
        <v>Commercial - Other</v>
      </c>
      <c r="E124" s="296">
        <f t="shared" si="165"/>
        <v>4.1095890410958895E-2</v>
      </c>
      <c r="F124" s="70" t="s">
        <v>772</v>
      </c>
      <c r="H124" s="197">
        <f>IF(N57=1,27%,0)</f>
        <v>0.27</v>
      </c>
      <c r="I124" s="132"/>
      <c r="L124" s="134">
        <f t="shared" si="161"/>
        <v>0.95890410958904115</v>
      </c>
      <c r="M124" s="91">
        <f t="shared" si="161"/>
        <v>0.95890410958904115</v>
      </c>
      <c r="N124" s="91">
        <f t="shared" si="161"/>
        <v>0.95890410958904115</v>
      </c>
      <c r="O124" s="91">
        <f t="shared" si="161"/>
        <v>0.95890410958904115</v>
      </c>
      <c r="P124" s="91">
        <f t="shared" si="161"/>
        <v>0.95890410958904115</v>
      </c>
      <c r="Q124" s="91">
        <f t="shared" si="161"/>
        <v>0.95890410958904115</v>
      </c>
      <c r="R124" s="91">
        <f t="shared" si="161"/>
        <v>0.95890410958904115</v>
      </c>
      <c r="S124" s="91">
        <f t="shared" si="161"/>
        <v>0.95890410958904115</v>
      </c>
      <c r="T124" s="91">
        <f t="shared" si="161"/>
        <v>0.95890410958904115</v>
      </c>
      <c r="U124" s="91">
        <f t="shared" si="161"/>
        <v>0.95890410958904115</v>
      </c>
      <c r="V124" s="91">
        <f t="shared" si="161"/>
        <v>0.95890410958904115</v>
      </c>
      <c r="W124" s="91">
        <f t="shared" si="161"/>
        <v>0.95890410958904115</v>
      </c>
      <c r="X124" s="91">
        <f t="shared" si="161"/>
        <v>0.95890410958904115</v>
      </c>
      <c r="Y124" s="91">
        <f t="shared" si="161"/>
        <v>0.95890410958904115</v>
      </c>
      <c r="Z124" s="91">
        <f t="shared" si="161"/>
        <v>0.95890410958904115</v>
      </c>
      <c r="AA124" s="91">
        <f t="shared" si="161"/>
        <v>0.95890410958904115</v>
      </c>
      <c r="AB124" s="91">
        <f t="shared" si="162"/>
        <v>0.95890410958904115</v>
      </c>
      <c r="AC124" s="91">
        <f t="shared" si="162"/>
        <v>0.95890410958904115</v>
      </c>
      <c r="AD124" s="91">
        <f t="shared" si="162"/>
        <v>0.95890410958904115</v>
      </c>
      <c r="AE124" s="91">
        <f t="shared" si="162"/>
        <v>0.95890410958904115</v>
      </c>
      <c r="AF124" s="91">
        <f t="shared" si="162"/>
        <v>0.95890410958904115</v>
      </c>
      <c r="AG124" s="91">
        <f t="shared" si="162"/>
        <v>0.95890410958904115</v>
      </c>
      <c r="AH124" s="91">
        <f t="shared" si="162"/>
        <v>0.95890410958904115</v>
      </c>
      <c r="AI124" s="91">
        <f t="shared" si="162"/>
        <v>0.95890410958904115</v>
      </c>
      <c r="AJ124" s="91">
        <f t="shared" si="162"/>
        <v>0.95890410958904115</v>
      </c>
      <c r="AK124" s="91">
        <f t="shared" si="162"/>
        <v>0.95890410958904115</v>
      </c>
      <c r="AL124" s="91">
        <f t="shared" si="162"/>
        <v>0.95890410958904115</v>
      </c>
      <c r="AM124" s="91">
        <f t="shared" si="162"/>
        <v>0.95890410958904115</v>
      </c>
      <c r="AN124" s="91">
        <f t="shared" si="162"/>
        <v>0.95890410958904115</v>
      </c>
      <c r="AO124" s="91">
        <f t="shared" si="162"/>
        <v>0.95890410958904115</v>
      </c>
      <c r="AP124" s="91">
        <f t="shared" si="162"/>
        <v>0.95890410958904115</v>
      </c>
      <c r="AQ124" s="91">
        <f t="shared" si="162"/>
        <v>0.95890410958904115</v>
      </c>
      <c r="AR124" s="91">
        <f t="shared" si="162"/>
        <v>0.95890410958904115</v>
      </c>
      <c r="AS124" s="91">
        <f t="shared" si="162"/>
        <v>0.95890410958904115</v>
      </c>
      <c r="AT124" s="91">
        <f t="shared" si="162"/>
        <v>0.95890410958904115</v>
      </c>
      <c r="AU124" s="91">
        <f t="shared" si="162"/>
        <v>0.95890410958904115</v>
      </c>
      <c r="AV124" s="91">
        <f t="shared" si="162"/>
        <v>0.95890410958904115</v>
      </c>
      <c r="AW124" s="91">
        <f t="shared" si="162"/>
        <v>0.95890410958904115</v>
      </c>
      <c r="AX124" s="91">
        <f t="shared" si="162"/>
        <v>0.95890410958904115</v>
      </c>
      <c r="AY124" s="91">
        <f t="shared" si="166"/>
        <v>0.95890410958904115</v>
      </c>
      <c r="AZ124" s="91">
        <f t="shared" si="166"/>
        <v>0.95890410958904115</v>
      </c>
      <c r="BA124" s="91">
        <f t="shared" si="166"/>
        <v>0.95890410958904115</v>
      </c>
      <c r="BB124" s="91">
        <f t="shared" si="166"/>
        <v>0.95890410958904115</v>
      </c>
      <c r="BC124" s="91">
        <f t="shared" si="166"/>
        <v>0.95890410958904115</v>
      </c>
      <c r="BD124" s="91">
        <f t="shared" si="166"/>
        <v>0.95890410958904115</v>
      </c>
      <c r="BE124" s="91">
        <f t="shared" si="166"/>
        <v>0.95890410958904115</v>
      </c>
      <c r="BF124" s="91">
        <f t="shared" si="166"/>
        <v>0.95890410958904115</v>
      </c>
      <c r="BG124" s="91">
        <f t="shared" si="166"/>
        <v>0.95890410958904115</v>
      </c>
      <c r="BH124" s="91">
        <f t="shared" si="166"/>
        <v>0.95890410958904115</v>
      </c>
      <c r="BI124" s="91">
        <f t="shared" si="166"/>
        <v>0.95890410958904115</v>
      </c>
      <c r="BJ124" s="91">
        <f t="shared" si="166"/>
        <v>0.95890410958904115</v>
      </c>
      <c r="BK124" s="91">
        <f t="shared" si="166"/>
        <v>0.95890410958904115</v>
      </c>
      <c r="BL124" s="91">
        <f t="shared" si="166"/>
        <v>0.95890410958904115</v>
      </c>
      <c r="BM124" s="91">
        <f t="shared" si="166"/>
        <v>0.95890410958904115</v>
      </c>
      <c r="BN124" s="91">
        <f t="shared" si="166"/>
        <v>0.95890410958904115</v>
      </c>
      <c r="BO124" s="91">
        <f t="shared" si="166"/>
        <v>0.95890410958904115</v>
      </c>
      <c r="BP124" s="91">
        <f t="shared" si="166"/>
        <v>0.95890410958904115</v>
      </c>
      <c r="BQ124" s="91">
        <f t="shared" si="166"/>
        <v>0.95890410958904115</v>
      </c>
      <c r="BR124" s="91">
        <f t="shared" si="166"/>
        <v>0.95890410958904115</v>
      </c>
    </row>
    <row r="125" spans="1:70">
      <c r="A125" t="s">
        <v>16</v>
      </c>
      <c r="B125" s="223"/>
      <c r="C125" s="223"/>
      <c r="D125" s="70" t="s">
        <v>773</v>
      </c>
      <c r="E125" s="302">
        <f>((1/(1-H124))-1)</f>
        <v>0.36986301369863006</v>
      </c>
      <c r="F125" s="70" t="s">
        <v>774</v>
      </c>
      <c r="I125" s="132"/>
      <c r="M125" s="70"/>
    </row>
    <row r="126" spans="1:70" ht="15.75" thickBot="1">
      <c r="A126" t="s">
        <v>16</v>
      </c>
      <c r="B126" s="223"/>
      <c r="C126" s="67" t="s">
        <v>245</v>
      </c>
      <c r="E126" s="70" t="s">
        <v>770</v>
      </c>
      <c r="I126" s="132"/>
      <c r="M126" s="70"/>
    </row>
    <row r="127" spans="1:70">
      <c r="A127" t="s">
        <v>16</v>
      </c>
      <c r="B127" s="223" t="str">
        <f t="shared" ref="B127:C135" si="167">B116</f>
        <v>CNC</v>
      </c>
      <c r="C127" s="223" t="str">
        <f t="shared" si="167"/>
        <v>Commercial - Cooling</v>
      </c>
      <c r="E127" s="125">
        <f>E$136/9</f>
        <v>0.13043478260869568</v>
      </c>
      <c r="G127" s="299"/>
      <c r="I127" s="132"/>
      <c r="L127" s="304">
        <f t="shared" ref="L127:AX133" si="168">L116*(1-$E127)</f>
        <v>0.83382966051220964</v>
      </c>
      <c r="M127" s="305">
        <f t="shared" si="168"/>
        <v>0.83382966051220964</v>
      </c>
      <c r="N127" s="305">
        <f t="shared" si="168"/>
        <v>0.83382966051220964</v>
      </c>
      <c r="O127" s="305">
        <f t="shared" si="168"/>
        <v>0.83382966051220964</v>
      </c>
      <c r="P127" s="88">
        <f t="shared" si="168"/>
        <v>0.83382966051220964</v>
      </c>
      <c r="Q127" s="88">
        <f t="shared" si="168"/>
        <v>0.83382966051220964</v>
      </c>
      <c r="R127" s="88">
        <f t="shared" si="168"/>
        <v>0.83382966051220964</v>
      </c>
      <c r="S127" s="88">
        <f t="shared" si="168"/>
        <v>0.83382966051220964</v>
      </c>
      <c r="T127" s="88">
        <f t="shared" si="168"/>
        <v>0.83382966051220964</v>
      </c>
      <c r="U127" s="88">
        <f t="shared" si="168"/>
        <v>0.83382966051220964</v>
      </c>
      <c r="V127" s="88">
        <f t="shared" si="168"/>
        <v>0.83382966051220964</v>
      </c>
      <c r="W127" s="88">
        <f t="shared" si="168"/>
        <v>0.83382966051220964</v>
      </c>
      <c r="X127" s="88">
        <f t="shared" si="168"/>
        <v>0.83382966051220964</v>
      </c>
      <c r="Y127" s="88">
        <f t="shared" si="168"/>
        <v>0.83382966051220964</v>
      </c>
      <c r="Z127" s="88">
        <f t="shared" si="168"/>
        <v>0.83382966051220964</v>
      </c>
      <c r="AA127" s="88">
        <f t="shared" si="168"/>
        <v>0.83382966051220964</v>
      </c>
      <c r="AB127" s="88">
        <f t="shared" si="168"/>
        <v>0.83382966051220964</v>
      </c>
      <c r="AC127" s="88">
        <f t="shared" si="168"/>
        <v>0.83382966051220964</v>
      </c>
      <c r="AD127" s="88">
        <f t="shared" si="168"/>
        <v>0.83382966051220964</v>
      </c>
      <c r="AE127" s="88">
        <f t="shared" si="168"/>
        <v>0.83382966051220964</v>
      </c>
      <c r="AF127" s="88">
        <f t="shared" si="168"/>
        <v>0.83382966051220964</v>
      </c>
      <c r="AG127" s="88">
        <f t="shared" si="168"/>
        <v>0.83382966051220964</v>
      </c>
      <c r="AH127" s="88">
        <f t="shared" si="168"/>
        <v>0.83382966051220964</v>
      </c>
      <c r="AI127" s="88">
        <f t="shared" si="168"/>
        <v>0.83382966051220964</v>
      </c>
      <c r="AJ127" s="88">
        <f t="shared" si="168"/>
        <v>0.83382966051220964</v>
      </c>
      <c r="AK127" s="88">
        <f t="shared" si="168"/>
        <v>0.83382966051220964</v>
      </c>
      <c r="AL127" s="88">
        <f t="shared" si="168"/>
        <v>0.83382966051220964</v>
      </c>
      <c r="AM127" s="88">
        <f t="shared" si="168"/>
        <v>0.83382966051220964</v>
      </c>
      <c r="AN127" s="88">
        <f t="shared" si="168"/>
        <v>0.83382966051220964</v>
      </c>
      <c r="AO127" s="88">
        <f t="shared" si="168"/>
        <v>0.83382966051220964</v>
      </c>
      <c r="AP127" s="88">
        <f t="shared" si="168"/>
        <v>0.83382966051220964</v>
      </c>
      <c r="AQ127" s="88">
        <f t="shared" si="168"/>
        <v>0.83382966051220964</v>
      </c>
      <c r="AR127" s="88">
        <f t="shared" si="168"/>
        <v>0.83382966051220964</v>
      </c>
      <c r="AS127" s="88">
        <f t="shared" si="168"/>
        <v>0.83382966051220964</v>
      </c>
      <c r="AT127" s="88">
        <f t="shared" si="168"/>
        <v>0.83382966051220964</v>
      </c>
      <c r="AU127" s="88">
        <f t="shared" si="168"/>
        <v>0.83382966051220964</v>
      </c>
      <c r="AV127" s="88">
        <f t="shared" si="168"/>
        <v>0.83382966051220964</v>
      </c>
      <c r="AW127" s="88">
        <f t="shared" si="168"/>
        <v>0.83382966051220964</v>
      </c>
      <c r="AX127" s="88">
        <f t="shared" si="168"/>
        <v>0.83382966051220964</v>
      </c>
      <c r="AY127" s="88">
        <f t="shared" ref="AY127:BR132" si="169">AY116*(1-$E127)</f>
        <v>0.83382966051220964</v>
      </c>
      <c r="AZ127" s="88">
        <f t="shared" si="169"/>
        <v>0.83382966051220964</v>
      </c>
      <c r="BA127" s="88">
        <f t="shared" si="169"/>
        <v>0.83382966051220964</v>
      </c>
      <c r="BB127" s="88">
        <f t="shared" si="169"/>
        <v>0.83382966051220964</v>
      </c>
      <c r="BC127" s="88">
        <f t="shared" si="169"/>
        <v>0.83382966051220964</v>
      </c>
      <c r="BD127" s="88">
        <f t="shared" si="169"/>
        <v>0.83382966051220964</v>
      </c>
      <c r="BE127" s="88">
        <f t="shared" si="169"/>
        <v>0.83382966051220964</v>
      </c>
      <c r="BF127" s="88">
        <f t="shared" si="169"/>
        <v>0.83382966051220964</v>
      </c>
      <c r="BG127" s="88">
        <f t="shared" si="169"/>
        <v>0.83382966051220964</v>
      </c>
      <c r="BH127" s="88">
        <f t="shared" si="169"/>
        <v>0.83382966051220964</v>
      </c>
      <c r="BI127" s="88">
        <f t="shared" si="169"/>
        <v>0.83382966051220964</v>
      </c>
      <c r="BJ127" s="88">
        <f t="shared" si="169"/>
        <v>0.83382966051220964</v>
      </c>
      <c r="BK127" s="88">
        <f t="shared" si="169"/>
        <v>0.83382966051220964</v>
      </c>
      <c r="BL127" s="88">
        <f t="shared" si="169"/>
        <v>0.83382966051220964</v>
      </c>
      <c r="BM127" s="88">
        <f t="shared" si="169"/>
        <v>0.83382966051220964</v>
      </c>
      <c r="BN127" s="88">
        <f t="shared" si="169"/>
        <v>0.83382966051220964</v>
      </c>
      <c r="BO127" s="88">
        <f t="shared" si="169"/>
        <v>0.83382966051220964</v>
      </c>
      <c r="BP127" s="88">
        <f t="shared" si="169"/>
        <v>0.83382966051220964</v>
      </c>
      <c r="BQ127" s="88">
        <f t="shared" si="169"/>
        <v>0.83382966051220964</v>
      </c>
      <c r="BR127" s="88">
        <f t="shared" si="169"/>
        <v>0.83382966051220964</v>
      </c>
    </row>
    <row r="128" spans="1:70">
      <c r="A128" t="s">
        <v>16</v>
      </c>
      <c r="B128" s="223" t="str">
        <f t="shared" si="167"/>
        <v>CNH</v>
      </c>
      <c r="C128" s="223" t="str">
        <f t="shared" si="167"/>
        <v>Commercial - Space Heating</v>
      </c>
      <c r="E128" s="125">
        <f t="shared" ref="E128:E135" si="170">E$136/9</f>
        <v>0.13043478260869568</v>
      </c>
      <c r="G128" s="299" t="s">
        <v>775</v>
      </c>
      <c r="H128" s="124">
        <v>0.09</v>
      </c>
      <c r="I128" s="132"/>
      <c r="L128" s="304">
        <f t="shared" si="168"/>
        <v>0.83382966051220964</v>
      </c>
      <c r="M128" s="305">
        <f t="shared" si="168"/>
        <v>0.83382966051220964</v>
      </c>
      <c r="N128" s="305">
        <f t="shared" si="168"/>
        <v>0.83382966051220964</v>
      </c>
      <c r="O128" s="305">
        <f t="shared" si="168"/>
        <v>0.83382966051220964</v>
      </c>
      <c r="P128" s="88">
        <f t="shared" si="168"/>
        <v>0.83382966051220964</v>
      </c>
      <c r="Q128" s="88">
        <f t="shared" si="168"/>
        <v>0.83382966051220964</v>
      </c>
      <c r="R128" s="88">
        <f t="shared" si="168"/>
        <v>0.83382966051220964</v>
      </c>
      <c r="S128" s="88">
        <f t="shared" si="168"/>
        <v>0.83382966051220964</v>
      </c>
      <c r="T128" s="88">
        <f t="shared" si="168"/>
        <v>0.83382966051220964</v>
      </c>
      <c r="U128" s="88">
        <f t="shared" si="168"/>
        <v>0.83382966051220964</v>
      </c>
      <c r="V128" s="88">
        <f t="shared" si="168"/>
        <v>0.83382966051220964</v>
      </c>
      <c r="W128" s="88">
        <f t="shared" si="168"/>
        <v>0.83382966051220964</v>
      </c>
      <c r="X128" s="88">
        <f t="shared" si="168"/>
        <v>0.83382966051220964</v>
      </c>
      <c r="Y128" s="88">
        <f t="shared" si="168"/>
        <v>0.83382966051220964</v>
      </c>
      <c r="Z128" s="88">
        <f t="shared" si="168"/>
        <v>0.83382966051220964</v>
      </c>
      <c r="AA128" s="88">
        <f t="shared" si="168"/>
        <v>0.83382966051220964</v>
      </c>
      <c r="AB128" s="88">
        <f t="shared" si="168"/>
        <v>0.83382966051220964</v>
      </c>
      <c r="AC128" s="88">
        <f t="shared" si="168"/>
        <v>0.83382966051220964</v>
      </c>
      <c r="AD128" s="88">
        <f t="shared" si="168"/>
        <v>0.83382966051220964</v>
      </c>
      <c r="AE128" s="88">
        <f t="shared" si="168"/>
        <v>0.83382966051220964</v>
      </c>
      <c r="AF128" s="88">
        <f t="shared" si="168"/>
        <v>0.83382966051220964</v>
      </c>
      <c r="AG128" s="88">
        <f t="shared" si="168"/>
        <v>0.83382966051220964</v>
      </c>
      <c r="AH128" s="88">
        <f t="shared" si="168"/>
        <v>0.83382966051220964</v>
      </c>
      <c r="AI128" s="88">
        <f t="shared" si="168"/>
        <v>0.83382966051220964</v>
      </c>
      <c r="AJ128" s="88">
        <f t="shared" si="168"/>
        <v>0.83382966051220964</v>
      </c>
      <c r="AK128" s="88">
        <f t="shared" si="168"/>
        <v>0.83382966051220964</v>
      </c>
      <c r="AL128" s="88">
        <f t="shared" si="168"/>
        <v>0.83382966051220964</v>
      </c>
      <c r="AM128" s="88">
        <f t="shared" si="168"/>
        <v>0.83382966051220964</v>
      </c>
      <c r="AN128" s="88">
        <f t="shared" si="168"/>
        <v>0.83382966051220964</v>
      </c>
      <c r="AO128" s="88">
        <f t="shared" si="168"/>
        <v>0.83382966051220964</v>
      </c>
      <c r="AP128" s="88">
        <f t="shared" si="168"/>
        <v>0.83382966051220964</v>
      </c>
      <c r="AQ128" s="88">
        <f t="shared" si="168"/>
        <v>0.83382966051220964</v>
      </c>
      <c r="AR128" s="88">
        <f t="shared" si="168"/>
        <v>0.83382966051220964</v>
      </c>
      <c r="AS128" s="88">
        <f t="shared" si="168"/>
        <v>0.83382966051220964</v>
      </c>
      <c r="AT128" s="88">
        <f t="shared" si="168"/>
        <v>0.83382966051220964</v>
      </c>
      <c r="AU128" s="88">
        <f t="shared" si="168"/>
        <v>0.83382966051220964</v>
      </c>
      <c r="AV128" s="88">
        <f t="shared" si="168"/>
        <v>0.83382966051220964</v>
      </c>
      <c r="AW128" s="88">
        <f t="shared" si="168"/>
        <v>0.83382966051220964</v>
      </c>
      <c r="AX128" s="88">
        <f t="shared" si="168"/>
        <v>0.83382966051220964</v>
      </c>
      <c r="AY128" s="88">
        <f t="shared" si="169"/>
        <v>0.83382966051220964</v>
      </c>
      <c r="AZ128" s="88">
        <f t="shared" si="169"/>
        <v>0.83382966051220964</v>
      </c>
      <c r="BA128" s="88">
        <f t="shared" si="169"/>
        <v>0.83382966051220964</v>
      </c>
      <c r="BB128" s="88">
        <f t="shared" si="169"/>
        <v>0.83382966051220964</v>
      </c>
      <c r="BC128" s="88">
        <f t="shared" si="169"/>
        <v>0.83382966051220964</v>
      </c>
      <c r="BD128" s="88">
        <f t="shared" si="169"/>
        <v>0.83382966051220964</v>
      </c>
      <c r="BE128" s="88">
        <f t="shared" si="169"/>
        <v>0.83382966051220964</v>
      </c>
      <c r="BF128" s="88">
        <f t="shared" si="169"/>
        <v>0.83382966051220964</v>
      </c>
      <c r="BG128" s="88">
        <f t="shared" si="169"/>
        <v>0.83382966051220964</v>
      </c>
      <c r="BH128" s="88">
        <f t="shared" si="169"/>
        <v>0.83382966051220964</v>
      </c>
      <c r="BI128" s="88">
        <f t="shared" si="169"/>
        <v>0.83382966051220964</v>
      </c>
      <c r="BJ128" s="88">
        <f t="shared" si="169"/>
        <v>0.83382966051220964</v>
      </c>
      <c r="BK128" s="88">
        <f t="shared" si="169"/>
        <v>0.83382966051220964</v>
      </c>
      <c r="BL128" s="88">
        <f t="shared" si="169"/>
        <v>0.83382966051220964</v>
      </c>
      <c r="BM128" s="88">
        <f t="shared" si="169"/>
        <v>0.83382966051220964</v>
      </c>
      <c r="BN128" s="88">
        <f t="shared" si="169"/>
        <v>0.83382966051220964</v>
      </c>
      <c r="BO128" s="88">
        <f t="shared" si="169"/>
        <v>0.83382966051220964</v>
      </c>
      <c r="BP128" s="88">
        <f t="shared" si="169"/>
        <v>0.83382966051220964</v>
      </c>
      <c r="BQ128" s="88">
        <f t="shared" si="169"/>
        <v>0.83382966051220964</v>
      </c>
      <c r="BR128" s="88">
        <f t="shared" si="169"/>
        <v>0.83382966051220964</v>
      </c>
    </row>
    <row r="129" spans="1:70">
      <c r="A129" t="s">
        <v>16</v>
      </c>
      <c r="B129" s="223" t="str">
        <f t="shared" si="167"/>
        <v>CNK</v>
      </c>
      <c r="C129" s="223" t="str">
        <f t="shared" si="167"/>
        <v>Commercial - Cooking</v>
      </c>
      <c r="E129" s="125">
        <f t="shared" si="170"/>
        <v>0.13043478260869568</v>
      </c>
      <c r="G129" s="299" t="s">
        <v>772</v>
      </c>
      <c r="H129" s="197">
        <f>(1-(1/(H128+1)))</f>
        <v>8.2568807339449601E-2</v>
      </c>
      <c r="I129" s="132"/>
      <c r="L129" s="304">
        <f t="shared" si="168"/>
        <v>0.83382966051220964</v>
      </c>
      <c r="M129" s="305">
        <f t="shared" si="168"/>
        <v>0.83382966051220964</v>
      </c>
      <c r="N129" s="305">
        <f t="shared" si="168"/>
        <v>0.83382966051220964</v>
      </c>
      <c r="O129" s="305">
        <f t="shared" si="168"/>
        <v>0.83382966051220964</v>
      </c>
      <c r="P129" s="88">
        <f t="shared" si="168"/>
        <v>0.83382966051220964</v>
      </c>
      <c r="Q129" s="88">
        <f t="shared" si="168"/>
        <v>0.83382966051220964</v>
      </c>
      <c r="R129" s="88">
        <f t="shared" si="168"/>
        <v>0.83382966051220964</v>
      </c>
      <c r="S129" s="88">
        <f t="shared" si="168"/>
        <v>0.83382966051220964</v>
      </c>
      <c r="T129" s="88">
        <f t="shared" si="168"/>
        <v>0.83382966051220964</v>
      </c>
      <c r="U129" s="88">
        <f t="shared" si="168"/>
        <v>0.83382966051220964</v>
      </c>
      <c r="V129" s="88">
        <f t="shared" si="168"/>
        <v>0.83382966051220964</v>
      </c>
      <c r="W129" s="88">
        <f t="shared" si="168"/>
        <v>0.83382966051220964</v>
      </c>
      <c r="X129" s="88">
        <f t="shared" si="168"/>
        <v>0.83382966051220964</v>
      </c>
      <c r="Y129" s="88">
        <f t="shared" si="168"/>
        <v>0.83382966051220964</v>
      </c>
      <c r="Z129" s="88">
        <f t="shared" si="168"/>
        <v>0.83382966051220964</v>
      </c>
      <c r="AA129" s="88">
        <f t="shared" si="168"/>
        <v>0.83382966051220964</v>
      </c>
      <c r="AB129" s="88">
        <f t="shared" si="168"/>
        <v>0.83382966051220964</v>
      </c>
      <c r="AC129" s="88">
        <f t="shared" si="168"/>
        <v>0.83382966051220964</v>
      </c>
      <c r="AD129" s="88">
        <f t="shared" si="168"/>
        <v>0.83382966051220964</v>
      </c>
      <c r="AE129" s="88">
        <f t="shared" si="168"/>
        <v>0.83382966051220964</v>
      </c>
      <c r="AF129" s="88">
        <f t="shared" si="168"/>
        <v>0.83382966051220964</v>
      </c>
      <c r="AG129" s="88">
        <f t="shared" si="168"/>
        <v>0.83382966051220964</v>
      </c>
      <c r="AH129" s="88">
        <f t="shared" si="168"/>
        <v>0.83382966051220964</v>
      </c>
      <c r="AI129" s="88">
        <f t="shared" si="168"/>
        <v>0.83382966051220964</v>
      </c>
      <c r="AJ129" s="88">
        <f t="shared" si="168"/>
        <v>0.83382966051220964</v>
      </c>
      <c r="AK129" s="88">
        <f t="shared" si="168"/>
        <v>0.83382966051220964</v>
      </c>
      <c r="AL129" s="88">
        <f t="shared" si="168"/>
        <v>0.83382966051220964</v>
      </c>
      <c r="AM129" s="88">
        <f t="shared" si="168"/>
        <v>0.83382966051220964</v>
      </c>
      <c r="AN129" s="88">
        <f t="shared" si="168"/>
        <v>0.83382966051220964</v>
      </c>
      <c r="AO129" s="88">
        <f t="shared" si="168"/>
        <v>0.83382966051220964</v>
      </c>
      <c r="AP129" s="88">
        <f t="shared" si="168"/>
        <v>0.83382966051220964</v>
      </c>
      <c r="AQ129" s="88">
        <f t="shared" si="168"/>
        <v>0.83382966051220964</v>
      </c>
      <c r="AR129" s="88">
        <f t="shared" si="168"/>
        <v>0.83382966051220964</v>
      </c>
      <c r="AS129" s="88">
        <f t="shared" si="168"/>
        <v>0.83382966051220964</v>
      </c>
      <c r="AT129" s="88">
        <f t="shared" si="168"/>
        <v>0.83382966051220964</v>
      </c>
      <c r="AU129" s="88">
        <f t="shared" si="168"/>
        <v>0.83382966051220964</v>
      </c>
      <c r="AV129" s="88">
        <f t="shared" si="168"/>
        <v>0.83382966051220964</v>
      </c>
      <c r="AW129" s="88">
        <f t="shared" si="168"/>
        <v>0.83382966051220964</v>
      </c>
      <c r="AX129" s="88">
        <f t="shared" si="168"/>
        <v>0.83382966051220964</v>
      </c>
      <c r="AY129" s="88">
        <f t="shared" si="169"/>
        <v>0.83382966051220964</v>
      </c>
      <c r="AZ129" s="88">
        <f t="shared" si="169"/>
        <v>0.83382966051220964</v>
      </c>
      <c r="BA129" s="88">
        <f t="shared" si="169"/>
        <v>0.83382966051220964</v>
      </c>
      <c r="BB129" s="88">
        <f t="shared" si="169"/>
        <v>0.83382966051220964</v>
      </c>
      <c r="BC129" s="88">
        <f t="shared" si="169"/>
        <v>0.83382966051220964</v>
      </c>
      <c r="BD129" s="88">
        <f t="shared" si="169"/>
        <v>0.83382966051220964</v>
      </c>
      <c r="BE129" s="88">
        <f t="shared" si="169"/>
        <v>0.83382966051220964</v>
      </c>
      <c r="BF129" s="88">
        <f t="shared" si="169"/>
        <v>0.83382966051220964</v>
      </c>
      <c r="BG129" s="88">
        <f t="shared" si="169"/>
        <v>0.83382966051220964</v>
      </c>
      <c r="BH129" s="88">
        <f t="shared" si="169"/>
        <v>0.83382966051220964</v>
      </c>
      <c r="BI129" s="88">
        <f t="shared" si="169"/>
        <v>0.83382966051220964</v>
      </c>
      <c r="BJ129" s="88">
        <f t="shared" si="169"/>
        <v>0.83382966051220964</v>
      </c>
      <c r="BK129" s="88">
        <f t="shared" si="169"/>
        <v>0.83382966051220964</v>
      </c>
      <c r="BL129" s="88">
        <f t="shared" si="169"/>
        <v>0.83382966051220964</v>
      </c>
      <c r="BM129" s="88">
        <f t="shared" si="169"/>
        <v>0.83382966051220964</v>
      </c>
      <c r="BN129" s="88">
        <f t="shared" si="169"/>
        <v>0.83382966051220964</v>
      </c>
      <c r="BO129" s="88">
        <f t="shared" si="169"/>
        <v>0.83382966051220964</v>
      </c>
      <c r="BP129" s="88">
        <f t="shared" si="169"/>
        <v>0.83382966051220964</v>
      </c>
      <c r="BQ129" s="88">
        <f t="shared" si="169"/>
        <v>0.83382966051220964</v>
      </c>
      <c r="BR129" s="88">
        <f t="shared" si="169"/>
        <v>0.83382966051220964</v>
      </c>
    </row>
    <row r="130" spans="1:70">
      <c r="A130" t="s">
        <v>16</v>
      </c>
      <c r="B130" s="223" t="str">
        <f t="shared" si="167"/>
        <v>CNL</v>
      </c>
      <c r="C130" s="223" t="str">
        <f t="shared" si="167"/>
        <v>Commercial - Lighting</v>
      </c>
      <c r="E130" s="125">
        <f t="shared" si="170"/>
        <v>0.13043478260869568</v>
      </c>
      <c r="G130" s="299"/>
      <c r="I130" s="132"/>
      <c r="L130" s="304">
        <f t="shared" si="168"/>
        <v>0.83382966051220964</v>
      </c>
      <c r="M130" s="305">
        <f t="shared" si="168"/>
        <v>0.83382966051220964</v>
      </c>
      <c r="N130" s="305">
        <f t="shared" si="168"/>
        <v>0.83382966051220964</v>
      </c>
      <c r="O130" s="305">
        <f t="shared" si="168"/>
        <v>0.83382966051220964</v>
      </c>
      <c r="P130" s="88">
        <f t="shared" si="168"/>
        <v>0.83382966051220964</v>
      </c>
      <c r="Q130" s="88">
        <f t="shared" si="168"/>
        <v>0.83382966051220964</v>
      </c>
      <c r="R130" s="88">
        <f t="shared" si="168"/>
        <v>0.83382966051220964</v>
      </c>
      <c r="S130" s="88">
        <f t="shared" si="168"/>
        <v>0.83382966051220964</v>
      </c>
      <c r="T130" s="88">
        <f t="shared" si="168"/>
        <v>0.83382966051220964</v>
      </c>
      <c r="U130" s="88">
        <f t="shared" si="168"/>
        <v>0.83382966051220964</v>
      </c>
      <c r="V130" s="88">
        <f t="shared" si="168"/>
        <v>0.83382966051220964</v>
      </c>
      <c r="W130" s="88">
        <f t="shared" si="168"/>
        <v>0.83382966051220964</v>
      </c>
      <c r="X130" s="88">
        <f t="shared" si="168"/>
        <v>0.83382966051220964</v>
      </c>
      <c r="Y130" s="88">
        <f t="shared" si="168"/>
        <v>0.83382966051220964</v>
      </c>
      <c r="Z130" s="88">
        <f t="shared" si="168"/>
        <v>0.83382966051220964</v>
      </c>
      <c r="AA130" s="88">
        <f t="shared" si="168"/>
        <v>0.83382966051220964</v>
      </c>
      <c r="AB130" s="88">
        <f t="shared" si="168"/>
        <v>0.83382966051220964</v>
      </c>
      <c r="AC130" s="88">
        <f t="shared" si="168"/>
        <v>0.83382966051220964</v>
      </c>
      <c r="AD130" s="88">
        <f t="shared" si="168"/>
        <v>0.83382966051220964</v>
      </c>
      <c r="AE130" s="88">
        <f t="shared" si="168"/>
        <v>0.83382966051220964</v>
      </c>
      <c r="AF130" s="88">
        <f t="shared" si="168"/>
        <v>0.83382966051220964</v>
      </c>
      <c r="AG130" s="88">
        <f t="shared" si="168"/>
        <v>0.83382966051220964</v>
      </c>
      <c r="AH130" s="88">
        <f t="shared" si="168"/>
        <v>0.83382966051220964</v>
      </c>
      <c r="AI130" s="88">
        <f t="shared" si="168"/>
        <v>0.83382966051220964</v>
      </c>
      <c r="AJ130" s="88">
        <f t="shared" si="168"/>
        <v>0.83382966051220964</v>
      </c>
      <c r="AK130" s="88">
        <f t="shared" si="168"/>
        <v>0.83382966051220964</v>
      </c>
      <c r="AL130" s="88">
        <f t="shared" si="168"/>
        <v>0.83382966051220964</v>
      </c>
      <c r="AM130" s="88">
        <f t="shared" si="168"/>
        <v>0.83382966051220964</v>
      </c>
      <c r="AN130" s="88">
        <f t="shared" si="168"/>
        <v>0.83382966051220964</v>
      </c>
      <c r="AO130" s="88">
        <f t="shared" si="168"/>
        <v>0.83382966051220964</v>
      </c>
      <c r="AP130" s="88">
        <f t="shared" si="168"/>
        <v>0.83382966051220964</v>
      </c>
      <c r="AQ130" s="88">
        <f t="shared" si="168"/>
        <v>0.83382966051220964</v>
      </c>
      <c r="AR130" s="88">
        <f t="shared" si="168"/>
        <v>0.83382966051220964</v>
      </c>
      <c r="AS130" s="88">
        <f t="shared" si="168"/>
        <v>0.83382966051220964</v>
      </c>
      <c r="AT130" s="88">
        <f t="shared" si="168"/>
        <v>0.83382966051220964</v>
      </c>
      <c r="AU130" s="88">
        <f t="shared" si="168"/>
        <v>0.83382966051220964</v>
      </c>
      <c r="AV130" s="88">
        <f t="shared" si="168"/>
        <v>0.83382966051220964</v>
      </c>
      <c r="AW130" s="88">
        <f t="shared" si="168"/>
        <v>0.83382966051220964</v>
      </c>
      <c r="AX130" s="88">
        <f t="shared" si="168"/>
        <v>0.83382966051220964</v>
      </c>
      <c r="AY130" s="88">
        <f t="shared" si="169"/>
        <v>0.83382966051220964</v>
      </c>
      <c r="AZ130" s="88">
        <f t="shared" si="169"/>
        <v>0.83382966051220964</v>
      </c>
      <c r="BA130" s="88">
        <f t="shared" si="169"/>
        <v>0.83382966051220964</v>
      </c>
      <c r="BB130" s="88">
        <f t="shared" si="169"/>
        <v>0.83382966051220964</v>
      </c>
      <c r="BC130" s="88">
        <f t="shared" si="169"/>
        <v>0.83382966051220964</v>
      </c>
      <c r="BD130" s="88">
        <f t="shared" si="169"/>
        <v>0.83382966051220964</v>
      </c>
      <c r="BE130" s="88">
        <f t="shared" si="169"/>
        <v>0.83382966051220964</v>
      </c>
      <c r="BF130" s="88">
        <f t="shared" si="169"/>
        <v>0.83382966051220964</v>
      </c>
      <c r="BG130" s="88">
        <f t="shared" si="169"/>
        <v>0.83382966051220964</v>
      </c>
      <c r="BH130" s="88">
        <f t="shared" si="169"/>
        <v>0.83382966051220964</v>
      </c>
      <c r="BI130" s="88">
        <f t="shared" si="169"/>
        <v>0.83382966051220964</v>
      </c>
      <c r="BJ130" s="88">
        <f t="shared" si="169"/>
        <v>0.83382966051220964</v>
      </c>
      <c r="BK130" s="88">
        <f t="shared" si="169"/>
        <v>0.83382966051220964</v>
      </c>
      <c r="BL130" s="88">
        <f t="shared" si="169"/>
        <v>0.83382966051220964</v>
      </c>
      <c r="BM130" s="88">
        <f t="shared" si="169"/>
        <v>0.83382966051220964</v>
      </c>
      <c r="BN130" s="88">
        <f t="shared" si="169"/>
        <v>0.83382966051220964</v>
      </c>
      <c r="BO130" s="88">
        <f t="shared" si="169"/>
        <v>0.83382966051220964</v>
      </c>
      <c r="BP130" s="88">
        <f t="shared" si="169"/>
        <v>0.83382966051220964</v>
      </c>
      <c r="BQ130" s="88">
        <f t="shared" si="169"/>
        <v>0.83382966051220964</v>
      </c>
      <c r="BR130" s="88">
        <f t="shared" si="169"/>
        <v>0.83382966051220964</v>
      </c>
    </row>
    <row r="131" spans="1:70">
      <c r="A131" t="s">
        <v>16</v>
      </c>
      <c r="B131" s="223" t="str">
        <f t="shared" si="167"/>
        <v>CNR</v>
      </c>
      <c r="C131" s="223" t="str">
        <f t="shared" si="167"/>
        <v>Commercial - Refrigeration</v>
      </c>
      <c r="E131" s="125">
        <f t="shared" si="170"/>
        <v>0.13043478260869568</v>
      </c>
      <c r="G131" s="299"/>
      <c r="I131" s="132"/>
      <c r="L131" s="304">
        <f t="shared" si="168"/>
        <v>0.83382966051220964</v>
      </c>
      <c r="M131" s="305">
        <f t="shared" si="168"/>
        <v>0.83382966051220964</v>
      </c>
      <c r="N131" s="305">
        <f t="shared" si="168"/>
        <v>0.83382966051220964</v>
      </c>
      <c r="O131" s="305">
        <f t="shared" si="168"/>
        <v>0.83382966051220964</v>
      </c>
      <c r="P131" s="88">
        <f>P120*(1-$E131)</f>
        <v>0.83382966051220964</v>
      </c>
      <c r="Q131" s="88">
        <f t="shared" si="168"/>
        <v>0.83382966051220964</v>
      </c>
      <c r="R131" s="88">
        <f t="shared" si="168"/>
        <v>0.83382966051220964</v>
      </c>
      <c r="S131" s="88">
        <f t="shared" si="168"/>
        <v>0.83382966051220964</v>
      </c>
      <c r="T131" s="88">
        <f t="shared" si="168"/>
        <v>0.83382966051220964</v>
      </c>
      <c r="U131" s="88">
        <f t="shared" si="168"/>
        <v>0.83382966051220964</v>
      </c>
      <c r="V131" s="88">
        <f t="shared" si="168"/>
        <v>0.83382966051220964</v>
      </c>
      <c r="W131" s="88">
        <f t="shared" si="168"/>
        <v>0.83382966051220964</v>
      </c>
      <c r="X131" s="88">
        <f t="shared" si="168"/>
        <v>0.83382966051220964</v>
      </c>
      <c r="Y131" s="88">
        <f t="shared" si="168"/>
        <v>0.83382966051220964</v>
      </c>
      <c r="Z131" s="88">
        <f t="shared" si="168"/>
        <v>0.83382966051220964</v>
      </c>
      <c r="AA131" s="88">
        <f t="shared" si="168"/>
        <v>0.83382966051220964</v>
      </c>
      <c r="AB131" s="88">
        <f t="shared" si="168"/>
        <v>0.83382966051220964</v>
      </c>
      <c r="AC131" s="88">
        <f t="shared" si="168"/>
        <v>0.83382966051220964</v>
      </c>
      <c r="AD131" s="88">
        <f t="shared" si="168"/>
        <v>0.83382966051220964</v>
      </c>
      <c r="AE131" s="88">
        <f t="shared" si="168"/>
        <v>0.83382966051220964</v>
      </c>
      <c r="AF131" s="88">
        <f t="shared" si="168"/>
        <v>0.83382966051220964</v>
      </c>
      <c r="AG131" s="88">
        <f t="shared" si="168"/>
        <v>0.83382966051220964</v>
      </c>
      <c r="AH131" s="88">
        <f t="shared" si="168"/>
        <v>0.83382966051220964</v>
      </c>
      <c r="AI131" s="88">
        <f t="shared" si="168"/>
        <v>0.83382966051220964</v>
      </c>
      <c r="AJ131" s="88">
        <f t="shared" si="168"/>
        <v>0.83382966051220964</v>
      </c>
      <c r="AK131" s="88">
        <f t="shared" si="168"/>
        <v>0.83382966051220964</v>
      </c>
      <c r="AL131" s="88">
        <f t="shared" si="168"/>
        <v>0.83382966051220964</v>
      </c>
      <c r="AM131" s="88">
        <f t="shared" si="168"/>
        <v>0.83382966051220964</v>
      </c>
      <c r="AN131" s="88">
        <f t="shared" si="168"/>
        <v>0.83382966051220964</v>
      </c>
      <c r="AO131" s="88">
        <f t="shared" si="168"/>
        <v>0.83382966051220964</v>
      </c>
      <c r="AP131" s="88">
        <f t="shared" si="168"/>
        <v>0.83382966051220964</v>
      </c>
      <c r="AQ131" s="88">
        <f t="shared" si="168"/>
        <v>0.83382966051220964</v>
      </c>
      <c r="AR131" s="88">
        <f t="shared" si="168"/>
        <v>0.83382966051220964</v>
      </c>
      <c r="AS131" s="88">
        <f t="shared" si="168"/>
        <v>0.83382966051220964</v>
      </c>
      <c r="AT131" s="88">
        <f t="shared" si="168"/>
        <v>0.83382966051220964</v>
      </c>
      <c r="AU131" s="88">
        <f t="shared" si="168"/>
        <v>0.83382966051220964</v>
      </c>
      <c r="AV131" s="88">
        <f t="shared" si="168"/>
        <v>0.83382966051220964</v>
      </c>
      <c r="AW131" s="88">
        <f t="shared" si="168"/>
        <v>0.83382966051220964</v>
      </c>
      <c r="AX131" s="88">
        <f t="shared" si="168"/>
        <v>0.83382966051220964</v>
      </c>
      <c r="AY131" s="88">
        <f t="shared" si="169"/>
        <v>0.83382966051220964</v>
      </c>
      <c r="AZ131" s="88">
        <f t="shared" si="169"/>
        <v>0.83382966051220964</v>
      </c>
      <c r="BA131" s="88">
        <f t="shared" si="169"/>
        <v>0.83382966051220964</v>
      </c>
      <c r="BB131" s="88">
        <f t="shared" si="169"/>
        <v>0.83382966051220964</v>
      </c>
      <c r="BC131" s="88">
        <f t="shared" si="169"/>
        <v>0.83382966051220964</v>
      </c>
      <c r="BD131" s="88">
        <f t="shared" si="169"/>
        <v>0.83382966051220964</v>
      </c>
      <c r="BE131" s="88">
        <f t="shared" si="169"/>
        <v>0.83382966051220964</v>
      </c>
      <c r="BF131" s="88">
        <f t="shared" si="169"/>
        <v>0.83382966051220964</v>
      </c>
      <c r="BG131" s="88">
        <f t="shared" si="169"/>
        <v>0.83382966051220964</v>
      </c>
      <c r="BH131" s="88">
        <f t="shared" si="169"/>
        <v>0.83382966051220964</v>
      </c>
      <c r="BI131" s="88">
        <f t="shared" si="169"/>
        <v>0.83382966051220964</v>
      </c>
      <c r="BJ131" s="88">
        <f t="shared" si="169"/>
        <v>0.83382966051220964</v>
      </c>
      <c r="BK131" s="88">
        <f t="shared" si="169"/>
        <v>0.83382966051220964</v>
      </c>
      <c r="BL131" s="88">
        <f t="shared" si="169"/>
        <v>0.83382966051220964</v>
      </c>
      <c r="BM131" s="88">
        <f t="shared" si="169"/>
        <v>0.83382966051220964</v>
      </c>
      <c r="BN131" s="88">
        <f t="shared" si="169"/>
        <v>0.83382966051220964</v>
      </c>
      <c r="BO131" s="88">
        <f t="shared" si="169"/>
        <v>0.83382966051220964</v>
      </c>
      <c r="BP131" s="88">
        <f t="shared" si="169"/>
        <v>0.83382966051220964</v>
      </c>
      <c r="BQ131" s="88">
        <f t="shared" si="169"/>
        <v>0.83382966051220964</v>
      </c>
      <c r="BR131" s="88">
        <f t="shared" si="169"/>
        <v>0.83382966051220964</v>
      </c>
    </row>
    <row r="132" spans="1:70">
      <c r="A132" t="s">
        <v>16</v>
      </c>
      <c r="B132" s="223" t="str">
        <f t="shared" si="167"/>
        <v>CNW</v>
      </c>
      <c r="C132" s="223" t="str">
        <f t="shared" si="167"/>
        <v>Commercial - Water Heating</v>
      </c>
      <c r="E132" s="125">
        <f t="shared" si="170"/>
        <v>0.13043478260869568</v>
      </c>
      <c r="G132" s="299"/>
      <c r="I132" s="132"/>
      <c r="L132" s="304">
        <f t="shared" si="168"/>
        <v>0.83382966051220964</v>
      </c>
      <c r="M132" s="305">
        <f t="shared" si="168"/>
        <v>0.83382966051220964</v>
      </c>
      <c r="N132" s="305">
        <f t="shared" si="168"/>
        <v>0.83382966051220964</v>
      </c>
      <c r="O132" s="305">
        <f t="shared" si="168"/>
        <v>0.83382966051220964</v>
      </c>
      <c r="P132" s="88">
        <f t="shared" si="168"/>
        <v>0.83382966051220964</v>
      </c>
      <c r="Q132" s="88">
        <f t="shared" si="168"/>
        <v>0.83382966051220964</v>
      </c>
      <c r="R132" s="88">
        <f t="shared" si="168"/>
        <v>0.83382966051220964</v>
      </c>
      <c r="S132" s="88">
        <f t="shared" si="168"/>
        <v>0.83382966051220964</v>
      </c>
      <c r="T132" s="88">
        <f t="shared" si="168"/>
        <v>0.83382966051220964</v>
      </c>
      <c r="U132" s="88">
        <f t="shared" si="168"/>
        <v>0.83382966051220964</v>
      </c>
      <c r="V132" s="88">
        <f t="shared" si="168"/>
        <v>0.83382966051220964</v>
      </c>
      <c r="W132" s="88">
        <f t="shared" si="168"/>
        <v>0.83382966051220964</v>
      </c>
      <c r="X132" s="88">
        <f t="shared" si="168"/>
        <v>0.83382966051220964</v>
      </c>
      <c r="Y132" s="88">
        <f t="shared" si="168"/>
        <v>0.83382966051220964</v>
      </c>
      <c r="Z132" s="88">
        <f t="shared" si="168"/>
        <v>0.83382966051220964</v>
      </c>
      <c r="AA132" s="88">
        <f t="shared" si="168"/>
        <v>0.83382966051220964</v>
      </c>
      <c r="AB132" s="88">
        <f t="shared" si="168"/>
        <v>0.83382966051220964</v>
      </c>
      <c r="AC132" s="88">
        <f t="shared" si="168"/>
        <v>0.83382966051220964</v>
      </c>
      <c r="AD132" s="88">
        <f t="shared" si="168"/>
        <v>0.83382966051220964</v>
      </c>
      <c r="AE132" s="88">
        <f t="shared" si="168"/>
        <v>0.83382966051220964</v>
      </c>
      <c r="AF132" s="88">
        <f t="shared" si="168"/>
        <v>0.83382966051220964</v>
      </c>
      <c r="AG132" s="88">
        <f t="shared" si="168"/>
        <v>0.83382966051220964</v>
      </c>
      <c r="AH132" s="88">
        <f t="shared" si="168"/>
        <v>0.83382966051220964</v>
      </c>
      <c r="AI132" s="88">
        <f t="shared" si="168"/>
        <v>0.83382966051220964</v>
      </c>
      <c r="AJ132" s="88">
        <f t="shared" si="168"/>
        <v>0.83382966051220964</v>
      </c>
      <c r="AK132" s="88">
        <f t="shared" si="168"/>
        <v>0.83382966051220964</v>
      </c>
      <c r="AL132" s="88">
        <f t="shared" si="168"/>
        <v>0.83382966051220964</v>
      </c>
      <c r="AM132" s="88">
        <f t="shared" si="168"/>
        <v>0.83382966051220964</v>
      </c>
      <c r="AN132" s="88">
        <f t="shared" si="168"/>
        <v>0.83382966051220964</v>
      </c>
      <c r="AO132" s="88">
        <f t="shared" si="168"/>
        <v>0.83382966051220964</v>
      </c>
      <c r="AP132" s="88">
        <f t="shared" si="168"/>
        <v>0.83382966051220964</v>
      </c>
      <c r="AQ132" s="88">
        <f t="shared" si="168"/>
        <v>0.83382966051220964</v>
      </c>
      <c r="AR132" s="88">
        <f t="shared" si="168"/>
        <v>0.83382966051220964</v>
      </c>
      <c r="AS132" s="88">
        <f t="shared" si="168"/>
        <v>0.83382966051220964</v>
      </c>
      <c r="AT132" s="88">
        <f t="shared" si="168"/>
        <v>0.83382966051220964</v>
      </c>
      <c r="AU132" s="88">
        <f t="shared" si="168"/>
        <v>0.83382966051220964</v>
      </c>
      <c r="AV132" s="88">
        <f t="shared" si="168"/>
        <v>0.83382966051220964</v>
      </c>
      <c r="AW132" s="88">
        <f t="shared" si="168"/>
        <v>0.83382966051220964</v>
      </c>
      <c r="AX132" s="88">
        <f t="shared" si="168"/>
        <v>0.83382966051220964</v>
      </c>
      <c r="AY132" s="88">
        <f t="shared" si="169"/>
        <v>0.83382966051220964</v>
      </c>
      <c r="AZ132" s="88">
        <f t="shared" si="169"/>
        <v>0.83382966051220964</v>
      </c>
      <c r="BA132" s="88">
        <f t="shared" si="169"/>
        <v>0.83382966051220964</v>
      </c>
      <c r="BB132" s="88">
        <f t="shared" si="169"/>
        <v>0.83382966051220964</v>
      </c>
      <c r="BC132" s="88">
        <f t="shared" si="169"/>
        <v>0.83382966051220964</v>
      </c>
      <c r="BD132" s="88">
        <f t="shared" si="169"/>
        <v>0.83382966051220964</v>
      </c>
      <c r="BE132" s="88">
        <f t="shared" si="169"/>
        <v>0.83382966051220964</v>
      </c>
      <c r="BF132" s="88">
        <f t="shared" si="169"/>
        <v>0.83382966051220964</v>
      </c>
      <c r="BG132" s="88">
        <f t="shared" si="169"/>
        <v>0.83382966051220964</v>
      </c>
      <c r="BH132" s="88">
        <f t="shared" si="169"/>
        <v>0.83382966051220964</v>
      </c>
      <c r="BI132" s="88">
        <f t="shared" si="169"/>
        <v>0.83382966051220964</v>
      </c>
      <c r="BJ132" s="88">
        <f t="shared" si="169"/>
        <v>0.83382966051220964</v>
      </c>
      <c r="BK132" s="88">
        <f t="shared" si="169"/>
        <v>0.83382966051220964</v>
      </c>
      <c r="BL132" s="88">
        <f t="shared" si="169"/>
        <v>0.83382966051220964</v>
      </c>
      <c r="BM132" s="88">
        <f t="shared" si="169"/>
        <v>0.83382966051220964</v>
      </c>
      <c r="BN132" s="88">
        <f t="shared" si="169"/>
        <v>0.83382966051220964</v>
      </c>
      <c r="BO132" s="88">
        <f t="shared" si="169"/>
        <v>0.83382966051220964</v>
      </c>
      <c r="BP132" s="88">
        <f t="shared" si="169"/>
        <v>0.83382966051220964</v>
      </c>
      <c r="BQ132" s="88">
        <f t="shared" si="169"/>
        <v>0.83382966051220964</v>
      </c>
      <c r="BR132" s="88">
        <f t="shared" si="169"/>
        <v>0.83382966051220964</v>
      </c>
    </row>
    <row r="133" spans="1:70">
      <c r="A133" t="s">
        <v>16</v>
      </c>
      <c r="B133" s="223" t="str">
        <f t="shared" si="167"/>
        <v>CNG</v>
      </c>
      <c r="C133" s="223" t="str">
        <f t="shared" si="167"/>
        <v>Commercial - Public lights</v>
      </c>
      <c r="E133" s="125">
        <f t="shared" si="170"/>
        <v>0.13043478260869568</v>
      </c>
      <c r="G133" s="299"/>
      <c r="I133" s="132"/>
      <c r="L133" s="304">
        <f t="shared" si="168"/>
        <v>0.83382966051220964</v>
      </c>
      <c r="M133" s="305">
        <f t="shared" si="168"/>
        <v>0.83382966051220964</v>
      </c>
      <c r="N133" s="305">
        <f t="shared" si="168"/>
        <v>0.83382966051220964</v>
      </c>
      <c r="O133" s="305">
        <f t="shared" si="168"/>
        <v>0.83382966051220964</v>
      </c>
      <c r="P133" s="88">
        <f t="shared" si="168"/>
        <v>0.83382966051220964</v>
      </c>
      <c r="Q133" s="88">
        <f t="shared" si="168"/>
        <v>0.83382966051220964</v>
      </c>
      <c r="R133" s="88">
        <f t="shared" si="168"/>
        <v>0.83382966051220964</v>
      </c>
      <c r="S133" s="88">
        <f t="shared" si="168"/>
        <v>0.83382966051220964</v>
      </c>
      <c r="T133" s="88">
        <f t="shared" si="168"/>
        <v>0.83382966051220964</v>
      </c>
      <c r="U133" s="88">
        <f t="shared" si="168"/>
        <v>0.83382966051220964</v>
      </c>
      <c r="V133" s="88">
        <f t="shared" si="168"/>
        <v>0.83382966051220964</v>
      </c>
      <c r="W133" s="88">
        <f t="shared" si="168"/>
        <v>0.83382966051220964</v>
      </c>
      <c r="X133" s="88">
        <f t="shared" si="168"/>
        <v>0.83382966051220964</v>
      </c>
      <c r="Y133" s="88">
        <f t="shared" si="168"/>
        <v>0.83382966051220964</v>
      </c>
      <c r="Z133" s="88">
        <f t="shared" si="168"/>
        <v>0.83382966051220964</v>
      </c>
      <c r="AA133" s="88">
        <f t="shared" si="168"/>
        <v>0.83382966051220964</v>
      </c>
      <c r="AB133" s="88">
        <f t="shared" si="168"/>
        <v>0.83382966051220964</v>
      </c>
      <c r="AC133" s="88">
        <f t="shared" si="168"/>
        <v>0.83382966051220964</v>
      </c>
      <c r="AD133" s="88">
        <f t="shared" si="168"/>
        <v>0.83382966051220964</v>
      </c>
      <c r="AE133" s="88">
        <f t="shared" si="168"/>
        <v>0.83382966051220964</v>
      </c>
      <c r="AF133" s="88">
        <f t="shared" si="168"/>
        <v>0.83382966051220964</v>
      </c>
      <c r="AG133" s="88">
        <f t="shared" si="168"/>
        <v>0.83382966051220964</v>
      </c>
      <c r="AH133" s="88">
        <f t="shared" ref="AH133:AX135" si="171">AH122*(1-$E133)</f>
        <v>0.83382966051220964</v>
      </c>
      <c r="AI133" s="88">
        <f t="shared" si="171"/>
        <v>0.83382966051220964</v>
      </c>
      <c r="AJ133" s="88">
        <f t="shared" si="171"/>
        <v>0.83382966051220964</v>
      </c>
      <c r="AK133" s="88">
        <f t="shared" si="171"/>
        <v>0.83382966051220964</v>
      </c>
      <c r="AL133" s="88">
        <f t="shared" si="171"/>
        <v>0.83382966051220964</v>
      </c>
      <c r="AM133" s="88">
        <f t="shared" si="171"/>
        <v>0.83382966051220964</v>
      </c>
      <c r="AN133" s="88">
        <f t="shared" si="171"/>
        <v>0.83382966051220964</v>
      </c>
      <c r="AO133" s="88">
        <f t="shared" si="171"/>
        <v>0.83382966051220964</v>
      </c>
      <c r="AP133" s="88">
        <f t="shared" si="171"/>
        <v>0.83382966051220964</v>
      </c>
      <c r="AQ133" s="88">
        <f t="shared" si="171"/>
        <v>0.83382966051220964</v>
      </c>
      <c r="AR133" s="88">
        <f t="shared" si="171"/>
        <v>0.83382966051220964</v>
      </c>
      <c r="AS133" s="88">
        <f t="shared" si="171"/>
        <v>0.83382966051220964</v>
      </c>
      <c r="AT133" s="88">
        <f t="shared" si="171"/>
        <v>0.83382966051220964</v>
      </c>
      <c r="AU133" s="88">
        <f t="shared" si="171"/>
        <v>0.83382966051220964</v>
      </c>
      <c r="AV133" s="88">
        <f t="shared" si="171"/>
        <v>0.83382966051220964</v>
      </c>
      <c r="AW133" s="88">
        <f t="shared" si="171"/>
        <v>0.83382966051220964</v>
      </c>
      <c r="AX133" s="88">
        <f t="shared" si="171"/>
        <v>0.83382966051220964</v>
      </c>
      <c r="AY133" s="88">
        <f t="shared" ref="AY133:BR133" si="172">AY122*(1-$E133)</f>
        <v>0.83382966051220964</v>
      </c>
      <c r="AZ133" s="88">
        <f t="shared" si="172"/>
        <v>0.83382966051220964</v>
      </c>
      <c r="BA133" s="88">
        <f t="shared" si="172"/>
        <v>0.83382966051220964</v>
      </c>
      <c r="BB133" s="88">
        <f t="shared" si="172"/>
        <v>0.83382966051220964</v>
      </c>
      <c r="BC133" s="88">
        <f t="shared" si="172"/>
        <v>0.83382966051220964</v>
      </c>
      <c r="BD133" s="88">
        <f t="shared" si="172"/>
        <v>0.83382966051220964</v>
      </c>
      <c r="BE133" s="88">
        <f t="shared" si="172"/>
        <v>0.83382966051220964</v>
      </c>
      <c r="BF133" s="88">
        <f t="shared" si="172"/>
        <v>0.83382966051220964</v>
      </c>
      <c r="BG133" s="88">
        <f t="shared" si="172"/>
        <v>0.83382966051220964</v>
      </c>
      <c r="BH133" s="88">
        <f t="shared" si="172"/>
        <v>0.83382966051220964</v>
      </c>
      <c r="BI133" s="88">
        <f t="shared" si="172"/>
        <v>0.83382966051220964</v>
      </c>
      <c r="BJ133" s="88">
        <f t="shared" si="172"/>
        <v>0.83382966051220964</v>
      </c>
      <c r="BK133" s="88">
        <f>BK122*(1-$E133)</f>
        <v>0.83382966051220964</v>
      </c>
      <c r="BL133" s="88">
        <f t="shared" si="172"/>
        <v>0.83382966051220964</v>
      </c>
      <c r="BM133" s="88">
        <f t="shared" si="172"/>
        <v>0.83382966051220964</v>
      </c>
      <c r="BN133" s="88">
        <f t="shared" si="172"/>
        <v>0.83382966051220964</v>
      </c>
      <c r="BO133" s="88">
        <f t="shared" si="172"/>
        <v>0.83382966051220964</v>
      </c>
      <c r="BP133" s="88">
        <f t="shared" si="172"/>
        <v>0.83382966051220964</v>
      </c>
      <c r="BQ133" s="88">
        <f t="shared" si="172"/>
        <v>0.83382966051220964</v>
      </c>
      <c r="BR133" s="88">
        <f t="shared" si="172"/>
        <v>0.83382966051220964</v>
      </c>
    </row>
    <row r="134" spans="1:70">
      <c r="A134" t="s">
        <v>16</v>
      </c>
      <c r="B134" s="223" t="str">
        <f t="shared" si="167"/>
        <v>CNT</v>
      </c>
      <c r="C134" s="223" t="str">
        <f t="shared" si="167"/>
        <v>Commercial - Public Water</v>
      </c>
      <c r="E134" s="125">
        <f t="shared" si="170"/>
        <v>0.13043478260869568</v>
      </c>
      <c r="F134" s="70" t="s">
        <v>776</v>
      </c>
      <c r="H134" s="197">
        <f>IF(N57=1,54%,0)</f>
        <v>0.54</v>
      </c>
      <c r="I134" s="132"/>
      <c r="L134" s="304">
        <f t="shared" ref="L134:AX135" si="173">L123*(1-$E134)</f>
        <v>0.83382966051220964</v>
      </c>
      <c r="M134" s="305">
        <f t="shared" si="173"/>
        <v>0.83382966051220964</v>
      </c>
      <c r="N134" s="305">
        <f t="shared" si="173"/>
        <v>0.83382966051220964</v>
      </c>
      <c r="O134" s="305">
        <f t="shared" si="173"/>
        <v>0.83382966051220964</v>
      </c>
      <c r="P134" s="88">
        <f t="shared" si="173"/>
        <v>0.83382966051220964</v>
      </c>
      <c r="Q134" s="88">
        <f t="shared" si="173"/>
        <v>0.83382966051220964</v>
      </c>
      <c r="R134" s="88">
        <f t="shared" si="173"/>
        <v>0.83382966051220964</v>
      </c>
      <c r="S134" s="88">
        <f t="shared" si="173"/>
        <v>0.83382966051220964</v>
      </c>
      <c r="T134" s="88">
        <f t="shared" si="173"/>
        <v>0.83382966051220964</v>
      </c>
      <c r="U134" s="88">
        <f t="shared" si="173"/>
        <v>0.83382966051220964</v>
      </c>
      <c r="V134" s="88">
        <f t="shared" si="173"/>
        <v>0.83382966051220964</v>
      </c>
      <c r="W134" s="88">
        <f t="shared" si="173"/>
        <v>0.83382966051220964</v>
      </c>
      <c r="X134" s="88">
        <f t="shared" si="173"/>
        <v>0.83382966051220964</v>
      </c>
      <c r="Y134" s="88">
        <f t="shared" si="173"/>
        <v>0.83382966051220964</v>
      </c>
      <c r="Z134" s="88">
        <f t="shared" si="173"/>
        <v>0.83382966051220964</v>
      </c>
      <c r="AA134" s="88">
        <f t="shared" si="173"/>
        <v>0.83382966051220964</v>
      </c>
      <c r="AB134" s="88">
        <f t="shared" si="173"/>
        <v>0.83382966051220964</v>
      </c>
      <c r="AC134" s="88">
        <f t="shared" si="173"/>
        <v>0.83382966051220964</v>
      </c>
      <c r="AD134" s="88">
        <f t="shared" si="173"/>
        <v>0.83382966051220964</v>
      </c>
      <c r="AE134" s="88">
        <f t="shared" si="173"/>
        <v>0.83382966051220964</v>
      </c>
      <c r="AF134" s="88">
        <f t="shared" si="173"/>
        <v>0.83382966051220964</v>
      </c>
      <c r="AG134" s="88">
        <f t="shared" si="173"/>
        <v>0.83382966051220964</v>
      </c>
      <c r="AH134" s="88">
        <f t="shared" si="173"/>
        <v>0.83382966051220964</v>
      </c>
      <c r="AI134" s="88">
        <f t="shared" si="173"/>
        <v>0.83382966051220964</v>
      </c>
      <c r="AJ134" s="88">
        <f t="shared" si="173"/>
        <v>0.83382966051220964</v>
      </c>
      <c r="AK134" s="88">
        <f t="shared" si="171"/>
        <v>0.83382966051220964</v>
      </c>
      <c r="AL134" s="88">
        <f t="shared" si="171"/>
        <v>0.83382966051220964</v>
      </c>
      <c r="AM134" s="88">
        <f t="shared" si="171"/>
        <v>0.83382966051220964</v>
      </c>
      <c r="AN134" s="88">
        <f t="shared" si="171"/>
        <v>0.83382966051220964</v>
      </c>
      <c r="AO134" s="88">
        <f t="shared" si="171"/>
        <v>0.83382966051220964</v>
      </c>
      <c r="AP134" s="88">
        <f t="shared" si="171"/>
        <v>0.83382966051220964</v>
      </c>
      <c r="AQ134" s="88">
        <f t="shared" si="171"/>
        <v>0.83382966051220964</v>
      </c>
      <c r="AR134" s="88">
        <f t="shared" si="171"/>
        <v>0.83382966051220964</v>
      </c>
      <c r="AS134" s="88">
        <f t="shared" si="171"/>
        <v>0.83382966051220964</v>
      </c>
      <c r="AT134" s="88">
        <f t="shared" si="171"/>
        <v>0.83382966051220964</v>
      </c>
      <c r="AU134" s="88">
        <f t="shared" si="173"/>
        <v>0.83382966051220964</v>
      </c>
      <c r="AV134" s="88">
        <f t="shared" si="173"/>
        <v>0.83382966051220964</v>
      </c>
      <c r="AW134" s="88">
        <f t="shared" si="173"/>
        <v>0.83382966051220964</v>
      </c>
      <c r="AX134" s="88">
        <f t="shared" si="173"/>
        <v>0.83382966051220964</v>
      </c>
      <c r="AY134" s="88">
        <f t="shared" ref="AY134:BR134" si="174">AY123*(1-$E134)</f>
        <v>0.83382966051220964</v>
      </c>
      <c r="AZ134" s="88">
        <f t="shared" si="174"/>
        <v>0.83382966051220964</v>
      </c>
      <c r="BA134" s="88">
        <f t="shared" si="174"/>
        <v>0.83382966051220964</v>
      </c>
      <c r="BB134" s="88">
        <f t="shared" si="174"/>
        <v>0.83382966051220964</v>
      </c>
      <c r="BC134" s="88">
        <f t="shared" si="174"/>
        <v>0.83382966051220964</v>
      </c>
      <c r="BD134" s="88">
        <f t="shared" si="174"/>
        <v>0.83382966051220964</v>
      </c>
      <c r="BE134" s="88">
        <f t="shared" si="174"/>
        <v>0.83382966051220964</v>
      </c>
      <c r="BF134" s="88">
        <f t="shared" si="174"/>
        <v>0.83382966051220964</v>
      </c>
      <c r="BG134" s="88">
        <f t="shared" si="174"/>
        <v>0.83382966051220964</v>
      </c>
      <c r="BH134" s="88">
        <f t="shared" si="174"/>
        <v>0.83382966051220964</v>
      </c>
      <c r="BI134" s="88">
        <f t="shared" si="174"/>
        <v>0.83382966051220964</v>
      </c>
      <c r="BJ134" s="88">
        <f t="shared" si="174"/>
        <v>0.83382966051220964</v>
      </c>
      <c r="BK134" s="88">
        <f t="shared" si="174"/>
        <v>0.83382966051220964</v>
      </c>
      <c r="BL134" s="88">
        <f t="shared" si="174"/>
        <v>0.83382966051220964</v>
      </c>
      <c r="BM134" s="88">
        <f t="shared" si="174"/>
        <v>0.83382966051220964</v>
      </c>
      <c r="BN134" s="88">
        <f t="shared" si="174"/>
        <v>0.83382966051220964</v>
      </c>
      <c r="BO134" s="88">
        <f t="shared" si="174"/>
        <v>0.83382966051220964</v>
      </c>
      <c r="BP134" s="88">
        <f t="shared" si="174"/>
        <v>0.83382966051220964</v>
      </c>
      <c r="BQ134" s="88">
        <f t="shared" si="174"/>
        <v>0.83382966051220964</v>
      </c>
      <c r="BR134" s="88">
        <f t="shared" si="174"/>
        <v>0.83382966051220964</v>
      </c>
    </row>
    <row r="135" spans="1:70">
      <c r="A135" t="s">
        <v>16</v>
      </c>
      <c r="B135" s="223" t="str">
        <f t="shared" si="167"/>
        <v>CNO</v>
      </c>
      <c r="C135" s="223" t="str">
        <f t="shared" si="167"/>
        <v>Commercial - Other</v>
      </c>
      <c r="E135" s="125">
        <f t="shared" si="170"/>
        <v>0.13043478260869568</v>
      </c>
      <c r="F135" s="70" t="s">
        <v>778</v>
      </c>
      <c r="G135" s="301"/>
      <c r="H135" s="124">
        <f>H134-H124</f>
        <v>0.27</v>
      </c>
      <c r="I135" s="132"/>
      <c r="L135" s="304">
        <f t="shared" si="173"/>
        <v>0.83382966051220964</v>
      </c>
      <c r="M135" s="305">
        <f t="shared" si="173"/>
        <v>0.83382966051220964</v>
      </c>
      <c r="N135" s="305">
        <f t="shared" si="173"/>
        <v>0.83382966051220964</v>
      </c>
      <c r="O135" s="305">
        <f t="shared" si="173"/>
        <v>0.83382966051220964</v>
      </c>
      <c r="P135" s="88">
        <f t="shared" si="173"/>
        <v>0.83382966051220964</v>
      </c>
      <c r="Q135" s="88">
        <f t="shared" si="173"/>
        <v>0.83382966051220964</v>
      </c>
      <c r="R135" s="88">
        <f t="shared" si="173"/>
        <v>0.83382966051220964</v>
      </c>
      <c r="S135" s="88">
        <f t="shared" si="173"/>
        <v>0.83382966051220964</v>
      </c>
      <c r="T135" s="88">
        <f t="shared" si="173"/>
        <v>0.83382966051220964</v>
      </c>
      <c r="U135" s="88">
        <f t="shared" si="173"/>
        <v>0.83382966051220964</v>
      </c>
      <c r="V135" s="88">
        <f t="shared" si="173"/>
        <v>0.83382966051220964</v>
      </c>
      <c r="W135" s="88">
        <f t="shared" si="173"/>
        <v>0.83382966051220964</v>
      </c>
      <c r="X135" s="88">
        <f t="shared" si="173"/>
        <v>0.83382966051220964</v>
      </c>
      <c r="Y135" s="88">
        <f t="shared" si="173"/>
        <v>0.83382966051220964</v>
      </c>
      <c r="Z135" s="88">
        <f t="shared" si="173"/>
        <v>0.83382966051220964</v>
      </c>
      <c r="AA135" s="88">
        <f t="shared" si="173"/>
        <v>0.83382966051220964</v>
      </c>
      <c r="AB135" s="88">
        <f t="shared" si="173"/>
        <v>0.83382966051220964</v>
      </c>
      <c r="AC135" s="88">
        <f t="shared" si="173"/>
        <v>0.83382966051220964</v>
      </c>
      <c r="AD135" s="88">
        <f t="shared" si="173"/>
        <v>0.83382966051220964</v>
      </c>
      <c r="AE135" s="88">
        <f t="shared" si="173"/>
        <v>0.83382966051220964</v>
      </c>
      <c r="AF135" s="88">
        <f t="shared" si="173"/>
        <v>0.83382966051220964</v>
      </c>
      <c r="AG135" s="88">
        <f t="shared" si="173"/>
        <v>0.83382966051220964</v>
      </c>
      <c r="AH135" s="88">
        <f t="shared" si="173"/>
        <v>0.83382966051220964</v>
      </c>
      <c r="AI135" s="88">
        <f t="shared" si="173"/>
        <v>0.83382966051220964</v>
      </c>
      <c r="AJ135" s="88">
        <f t="shared" si="173"/>
        <v>0.83382966051220964</v>
      </c>
      <c r="AK135" s="88">
        <f t="shared" si="171"/>
        <v>0.83382966051220964</v>
      </c>
      <c r="AL135" s="88">
        <f t="shared" si="171"/>
        <v>0.83382966051220964</v>
      </c>
      <c r="AM135" s="88">
        <f t="shared" si="171"/>
        <v>0.83382966051220964</v>
      </c>
      <c r="AN135" s="88">
        <f t="shared" si="171"/>
        <v>0.83382966051220964</v>
      </c>
      <c r="AO135" s="88">
        <f t="shared" si="171"/>
        <v>0.83382966051220964</v>
      </c>
      <c r="AP135" s="88">
        <f t="shared" si="171"/>
        <v>0.83382966051220964</v>
      </c>
      <c r="AQ135" s="88">
        <f t="shared" si="171"/>
        <v>0.83382966051220964</v>
      </c>
      <c r="AR135" s="88">
        <f t="shared" si="171"/>
        <v>0.83382966051220964</v>
      </c>
      <c r="AS135" s="88">
        <f t="shared" si="171"/>
        <v>0.83382966051220964</v>
      </c>
      <c r="AT135" s="88">
        <f t="shared" si="171"/>
        <v>0.83382966051220964</v>
      </c>
      <c r="AU135" s="88">
        <f t="shared" si="173"/>
        <v>0.83382966051220964</v>
      </c>
      <c r="AV135" s="88">
        <f t="shared" si="173"/>
        <v>0.83382966051220964</v>
      </c>
      <c r="AW135" s="88">
        <f t="shared" si="173"/>
        <v>0.83382966051220964</v>
      </c>
      <c r="AX135" s="88">
        <f t="shared" si="173"/>
        <v>0.83382966051220964</v>
      </c>
      <c r="AY135" s="88">
        <f t="shared" ref="AY135:BR135" si="175">AY124*(1-$E135)</f>
        <v>0.83382966051220964</v>
      </c>
      <c r="AZ135" s="88">
        <f t="shared" si="175"/>
        <v>0.83382966051220964</v>
      </c>
      <c r="BA135" s="88">
        <f t="shared" si="175"/>
        <v>0.83382966051220964</v>
      </c>
      <c r="BB135" s="88">
        <f t="shared" si="175"/>
        <v>0.83382966051220964</v>
      </c>
      <c r="BC135" s="88">
        <f t="shared" si="175"/>
        <v>0.83382966051220964</v>
      </c>
      <c r="BD135" s="88">
        <f t="shared" si="175"/>
        <v>0.83382966051220964</v>
      </c>
      <c r="BE135" s="88">
        <f t="shared" si="175"/>
        <v>0.83382966051220964</v>
      </c>
      <c r="BF135" s="88">
        <f t="shared" si="175"/>
        <v>0.83382966051220964</v>
      </c>
      <c r="BG135" s="88">
        <f t="shared" si="175"/>
        <v>0.83382966051220964</v>
      </c>
      <c r="BH135" s="88">
        <f t="shared" si="175"/>
        <v>0.83382966051220964</v>
      </c>
      <c r="BI135" s="88">
        <f t="shared" si="175"/>
        <v>0.83382966051220964</v>
      </c>
      <c r="BJ135" s="88">
        <f t="shared" si="175"/>
        <v>0.83382966051220964</v>
      </c>
      <c r="BK135" s="88">
        <f t="shared" si="175"/>
        <v>0.83382966051220964</v>
      </c>
      <c r="BL135" s="88">
        <f t="shared" si="175"/>
        <v>0.83382966051220964</v>
      </c>
      <c r="BM135" s="88">
        <f t="shared" si="175"/>
        <v>0.83382966051220964</v>
      </c>
      <c r="BN135" s="88">
        <f t="shared" si="175"/>
        <v>0.83382966051220964</v>
      </c>
      <c r="BO135" s="88">
        <f t="shared" si="175"/>
        <v>0.83382966051220964</v>
      </c>
      <c r="BP135" s="88">
        <f t="shared" si="175"/>
        <v>0.83382966051220964</v>
      </c>
      <c r="BQ135" s="88">
        <f t="shared" si="175"/>
        <v>0.83382966051220964</v>
      </c>
      <c r="BR135" s="88">
        <f t="shared" si="175"/>
        <v>0.83382966051220964</v>
      </c>
    </row>
    <row r="136" spans="1:70">
      <c r="A136" t="s">
        <v>16</v>
      </c>
      <c r="B136" s="223"/>
      <c r="C136" s="223"/>
      <c r="E136" s="302">
        <f>((1/(1-H134))-1)</f>
        <v>1.1739130434782612</v>
      </c>
      <c r="F136" s="70" t="s">
        <v>779</v>
      </c>
      <c r="G136" s="301"/>
      <c r="I136" s="132"/>
      <c r="L136" s="89"/>
      <c r="M136" s="89"/>
      <c r="N136" s="89"/>
      <c r="O136" s="89"/>
    </row>
    <row r="137" spans="1:70" ht="15.75" thickBot="1">
      <c r="A137" t="s">
        <v>16</v>
      </c>
      <c r="B137" s="223"/>
      <c r="C137" s="67" t="s">
        <v>246</v>
      </c>
      <c r="E137" s="70" t="s">
        <v>771</v>
      </c>
      <c r="I137" s="132"/>
      <c r="L137" s="89"/>
      <c r="M137" s="89"/>
      <c r="N137" s="89"/>
      <c r="O137" s="89"/>
    </row>
    <row r="138" spans="1:70">
      <c r="A138" t="s">
        <v>16</v>
      </c>
      <c r="B138" s="223" t="str">
        <f t="shared" ref="B138:C146" si="176">B127</f>
        <v>CNC</v>
      </c>
      <c r="C138" s="223" t="str">
        <f t="shared" si="176"/>
        <v>Commercial - Cooling</v>
      </c>
      <c r="E138" s="125">
        <f>E$147/9</f>
        <v>0.25925925925925924</v>
      </c>
      <c r="G138" s="299"/>
      <c r="I138" s="132"/>
      <c r="L138" s="304">
        <f t="shared" ref="L138:AX144" si="177">L127*(1-$E138)</f>
        <v>0.61765160037941447</v>
      </c>
      <c r="M138" s="305">
        <f t="shared" si="177"/>
        <v>0.61765160037941447</v>
      </c>
      <c r="N138" s="305">
        <f t="shared" si="177"/>
        <v>0.61765160037941447</v>
      </c>
      <c r="O138" s="305">
        <f t="shared" si="177"/>
        <v>0.61765160037941447</v>
      </c>
      <c r="P138" s="88">
        <f t="shared" si="177"/>
        <v>0.61765160037941447</v>
      </c>
      <c r="Q138" s="88">
        <f t="shared" si="177"/>
        <v>0.61765160037941447</v>
      </c>
      <c r="R138" s="88">
        <f t="shared" si="177"/>
        <v>0.61765160037941447</v>
      </c>
      <c r="S138" s="88">
        <f t="shared" si="177"/>
        <v>0.61765160037941447</v>
      </c>
      <c r="T138" s="88">
        <f t="shared" si="177"/>
        <v>0.61765160037941447</v>
      </c>
      <c r="U138" s="88">
        <f t="shared" si="177"/>
        <v>0.61765160037941447</v>
      </c>
      <c r="V138" s="88">
        <f t="shared" si="177"/>
        <v>0.61765160037941447</v>
      </c>
      <c r="W138" s="88">
        <f t="shared" si="177"/>
        <v>0.61765160037941447</v>
      </c>
      <c r="X138" s="88">
        <f t="shared" si="177"/>
        <v>0.61765160037941447</v>
      </c>
      <c r="Y138" s="88">
        <f t="shared" si="177"/>
        <v>0.61765160037941447</v>
      </c>
      <c r="Z138" s="88">
        <f t="shared" si="177"/>
        <v>0.61765160037941447</v>
      </c>
      <c r="AA138" s="88">
        <f t="shared" si="177"/>
        <v>0.61765160037941447</v>
      </c>
      <c r="AB138" s="88">
        <f t="shared" si="177"/>
        <v>0.61765160037941447</v>
      </c>
      <c r="AC138" s="88">
        <f t="shared" si="177"/>
        <v>0.61765160037941447</v>
      </c>
      <c r="AD138" s="88">
        <f t="shared" si="177"/>
        <v>0.61765160037941447</v>
      </c>
      <c r="AE138" s="88">
        <f t="shared" si="177"/>
        <v>0.61765160037941447</v>
      </c>
      <c r="AF138" s="88">
        <f t="shared" si="177"/>
        <v>0.61765160037941447</v>
      </c>
      <c r="AG138" s="88">
        <f t="shared" si="177"/>
        <v>0.61765160037941447</v>
      </c>
      <c r="AH138" s="88">
        <f t="shared" si="177"/>
        <v>0.61765160037941447</v>
      </c>
      <c r="AI138" s="88">
        <f t="shared" si="177"/>
        <v>0.61765160037941447</v>
      </c>
      <c r="AJ138" s="88">
        <f t="shared" si="177"/>
        <v>0.61765160037941447</v>
      </c>
      <c r="AK138" s="88">
        <f t="shared" si="177"/>
        <v>0.61765160037941447</v>
      </c>
      <c r="AL138" s="88">
        <f t="shared" si="177"/>
        <v>0.61765160037941447</v>
      </c>
      <c r="AM138" s="88">
        <f t="shared" si="177"/>
        <v>0.61765160037941447</v>
      </c>
      <c r="AN138" s="88">
        <f t="shared" si="177"/>
        <v>0.61765160037941447</v>
      </c>
      <c r="AO138" s="88">
        <f t="shared" si="177"/>
        <v>0.61765160037941447</v>
      </c>
      <c r="AP138" s="88">
        <f t="shared" si="177"/>
        <v>0.61765160037941447</v>
      </c>
      <c r="AQ138" s="88">
        <f t="shared" si="177"/>
        <v>0.61765160037941447</v>
      </c>
      <c r="AR138" s="88">
        <f t="shared" si="177"/>
        <v>0.61765160037941447</v>
      </c>
      <c r="AS138" s="88">
        <f t="shared" si="177"/>
        <v>0.61765160037941447</v>
      </c>
      <c r="AT138" s="88">
        <f t="shared" si="177"/>
        <v>0.61765160037941447</v>
      </c>
      <c r="AU138" s="88">
        <f t="shared" si="177"/>
        <v>0.61765160037941447</v>
      </c>
      <c r="AV138" s="88">
        <f t="shared" si="177"/>
        <v>0.61765160037941447</v>
      </c>
      <c r="AW138" s="88">
        <f t="shared" si="177"/>
        <v>0.61765160037941447</v>
      </c>
      <c r="AX138" s="88">
        <f t="shared" si="177"/>
        <v>0.61765160037941447</v>
      </c>
      <c r="AY138" s="88">
        <f t="shared" ref="AY138:BR143" si="178">AY127*(1-$E138)</f>
        <v>0.61765160037941447</v>
      </c>
      <c r="AZ138" s="88">
        <f t="shared" si="178"/>
        <v>0.61765160037941447</v>
      </c>
      <c r="BA138" s="88">
        <f t="shared" si="178"/>
        <v>0.61765160037941447</v>
      </c>
      <c r="BB138" s="88">
        <f t="shared" si="178"/>
        <v>0.61765160037941447</v>
      </c>
      <c r="BC138" s="88">
        <f t="shared" si="178"/>
        <v>0.61765160037941447</v>
      </c>
      <c r="BD138" s="88">
        <f t="shared" si="178"/>
        <v>0.61765160037941447</v>
      </c>
      <c r="BE138" s="88">
        <f t="shared" si="178"/>
        <v>0.61765160037941447</v>
      </c>
      <c r="BF138" s="88">
        <f t="shared" si="178"/>
        <v>0.61765160037941447</v>
      </c>
      <c r="BG138" s="88">
        <f t="shared" si="178"/>
        <v>0.61765160037941447</v>
      </c>
      <c r="BH138" s="88">
        <f t="shared" si="178"/>
        <v>0.61765160037941447</v>
      </c>
      <c r="BI138" s="88">
        <f t="shared" si="178"/>
        <v>0.61765160037941447</v>
      </c>
      <c r="BJ138" s="88">
        <f t="shared" si="178"/>
        <v>0.61765160037941447</v>
      </c>
      <c r="BK138" s="88">
        <f t="shared" si="178"/>
        <v>0.61765160037941447</v>
      </c>
      <c r="BL138" s="88">
        <f t="shared" si="178"/>
        <v>0.61765160037941447</v>
      </c>
      <c r="BM138" s="88">
        <f t="shared" si="178"/>
        <v>0.61765160037941447</v>
      </c>
      <c r="BN138" s="88">
        <f t="shared" si="178"/>
        <v>0.61765160037941447</v>
      </c>
      <c r="BO138" s="88">
        <f t="shared" si="178"/>
        <v>0.61765160037941447</v>
      </c>
      <c r="BP138" s="88">
        <f t="shared" si="178"/>
        <v>0.61765160037941447</v>
      </c>
      <c r="BQ138" s="88">
        <f t="shared" si="178"/>
        <v>0.61765160037941447</v>
      </c>
      <c r="BR138" s="88">
        <f t="shared" si="178"/>
        <v>0.61765160037941447</v>
      </c>
    </row>
    <row r="139" spans="1:70">
      <c r="A139" t="s">
        <v>16</v>
      </c>
      <c r="B139" s="223" t="str">
        <f t="shared" si="176"/>
        <v>CNH</v>
      </c>
      <c r="C139" s="223" t="str">
        <f t="shared" si="176"/>
        <v>Commercial - Space Heating</v>
      </c>
      <c r="E139" s="125">
        <f t="shared" ref="E139:E146" si="179">E$147/9</f>
        <v>0.25925925925925924</v>
      </c>
      <c r="G139" s="299" t="s">
        <v>775</v>
      </c>
      <c r="H139" s="124">
        <v>0.18</v>
      </c>
      <c r="I139" s="132"/>
      <c r="L139" s="304">
        <f t="shared" si="177"/>
        <v>0.61765160037941447</v>
      </c>
      <c r="M139" s="305">
        <f t="shared" si="177"/>
        <v>0.61765160037941447</v>
      </c>
      <c r="N139" s="305">
        <f t="shared" si="177"/>
        <v>0.61765160037941447</v>
      </c>
      <c r="O139" s="305">
        <f t="shared" si="177"/>
        <v>0.61765160037941447</v>
      </c>
      <c r="P139" s="88">
        <f t="shared" si="177"/>
        <v>0.61765160037941447</v>
      </c>
      <c r="Q139" s="88">
        <f t="shared" si="177"/>
        <v>0.61765160037941447</v>
      </c>
      <c r="R139" s="88">
        <f t="shared" si="177"/>
        <v>0.61765160037941447</v>
      </c>
      <c r="S139" s="88">
        <f t="shared" si="177"/>
        <v>0.61765160037941447</v>
      </c>
      <c r="T139" s="88">
        <f t="shared" si="177"/>
        <v>0.61765160037941447</v>
      </c>
      <c r="U139" s="88">
        <f t="shared" si="177"/>
        <v>0.61765160037941447</v>
      </c>
      <c r="V139" s="88">
        <f t="shared" si="177"/>
        <v>0.61765160037941447</v>
      </c>
      <c r="W139" s="88">
        <f t="shared" si="177"/>
        <v>0.61765160037941447</v>
      </c>
      <c r="X139" s="88">
        <f t="shared" si="177"/>
        <v>0.61765160037941447</v>
      </c>
      <c r="Y139" s="88">
        <f t="shared" si="177"/>
        <v>0.61765160037941447</v>
      </c>
      <c r="Z139" s="88">
        <f t="shared" si="177"/>
        <v>0.61765160037941447</v>
      </c>
      <c r="AA139" s="88">
        <f t="shared" si="177"/>
        <v>0.61765160037941447</v>
      </c>
      <c r="AB139" s="88">
        <f t="shared" si="177"/>
        <v>0.61765160037941447</v>
      </c>
      <c r="AC139" s="88">
        <f t="shared" si="177"/>
        <v>0.61765160037941447</v>
      </c>
      <c r="AD139" s="88">
        <f t="shared" si="177"/>
        <v>0.61765160037941447</v>
      </c>
      <c r="AE139" s="88">
        <f t="shared" si="177"/>
        <v>0.61765160037941447</v>
      </c>
      <c r="AF139" s="88">
        <f t="shared" si="177"/>
        <v>0.61765160037941447</v>
      </c>
      <c r="AG139" s="88">
        <f t="shared" si="177"/>
        <v>0.61765160037941447</v>
      </c>
      <c r="AH139" s="88">
        <f t="shared" si="177"/>
        <v>0.61765160037941447</v>
      </c>
      <c r="AI139" s="88">
        <f t="shared" si="177"/>
        <v>0.61765160037941447</v>
      </c>
      <c r="AJ139" s="88">
        <f t="shared" si="177"/>
        <v>0.61765160037941447</v>
      </c>
      <c r="AK139" s="88">
        <f t="shared" si="177"/>
        <v>0.61765160037941447</v>
      </c>
      <c r="AL139" s="88">
        <f t="shared" si="177"/>
        <v>0.61765160037941447</v>
      </c>
      <c r="AM139" s="88">
        <f t="shared" si="177"/>
        <v>0.61765160037941447</v>
      </c>
      <c r="AN139" s="88">
        <f t="shared" si="177"/>
        <v>0.61765160037941447</v>
      </c>
      <c r="AO139" s="88">
        <f t="shared" si="177"/>
        <v>0.61765160037941447</v>
      </c>
      <c r="AP139" s="88">
        <f t="shared" si="177"/>
        <v>0.61765160037941447</v>
      </c>
      <c r="AQ139" s="88">
        <f t="shared" si="177"/>
        <v>0.61765160037941447</v>
      </c>
      <c r="AR139" s="88">
        <f t="shared" si="177"/>
        <v>0.61765160037941447</v>
      </c>
      <c r="AS139" s="88">
        <f t="shared" si="177"/>
        <v>0.61765160037941447</v>
      </c>
      <c r="AT139" s="88">
        <f t="shared" si="177"/>
        <v>0.61765160037941447</v>
      </c>
      <c r="AU139" s="88">
        <f t="shared" si="177"/>
        <v>0.61765160037941447</v>
      </c>
      <c r="AV139" s="88">
        <f t="shared" si="177"/>
        <v>0.61765160037941447</v>
      </c>
      <c r="AW139" s="88">
        <f t="shared" si="177"/>
        <v>0.61765160037941447</v>
      </c>
      <c r="AX139" s="88">
        <f t="shared" si="177"/>
        <v>0.61765160037941447</v>
      </c>
      <c r="AY139" s="88">
        <f t="shared" si="178"/>
        <v>0.61765160037941447</v>
      </c>
      <c r="AZ139" s="88">
        <f t="shared" si="178"/>
        <v>0.61765160037941447</v>
      </c>
      <c r="BA139" s="88">
        <f t="shared" si="178"/>
        <v>0.61765160037941447</v>
      </c>
      <c r="BB139" s="88">
        <f t="shared" si="178"/>
        <v>0.61765160037941447</v>
      </c>
      <c r="BC139" s="88">
        <f t="shared" si="178"/>
        <v>0.61765160037941447</v>
      </c>
      <c r="BD139" s="88">
        <f t="shared" si="178"/>
        <v>0.61765160037941447</v>
      </c>
      <c r="BE139" s="88">
        <f t="shared" si="178"/>
        <v>0.61765160037941447</v>
      </c>
      <c r="BF139" s="88">
        <f t="shared" si="178"/>
        <v>0.61765160037941447</v>
      </c>
      <c r="BG139" s="88">
        <f t="shared" si="178"/>
        <v>0.61765160037941447</v>
      </c>
      <c r="BH139" s="88">
        <f t="shared" si="178"/>
        <v>0.61765160037941447</v>
      </c>
      <c r="BI139" s="88">
        <f t="shared" si="178"/>
        <v>0.61765160037941447</v>
      </c>
      <c r="BJ139" s="88">
        <f t="shared" si="178"/>
        <v>0.61765160037941447</v>
      </c>
      <c r="BK139" s="88">
        <f t="shared" si="178"/>
        <v>0.61765160037941447</v>
      </c>
      <c r="BL139" s="88">
        <f t="shared" si="178"/>
        <v>0.61765160037941447</v>
      </c>
      <c r="BM139" s="88">
        <f t="shared" si="178"/>
        <v>0.61765160037941447</v>
      </c>
      <c r="BN139" s="88">
        <f t="shared" si="178"/>
        <v>0.61765160037941447</v>
      </c>
      <c r="BO139" s="88">
        <f t="shared" si="178"/>
        <v>0.61765160037941447</v>
      </c>
      <c r="BP139" s="88">
        <f t="shared" si="178"/>
        <v>0.61765160037941447</v>
      </c>
      <c r="BQ139" s="88">
        <f t="shared" si="178"/>
        <v>0.61765160037941447</v>
      </c>
      <c r="BR139" s="88">
        <f t="shared" si="178"/>
        <v>0.61765160037941447</v>
      </c>
    </row>
    <row r="140" spans="1:70">
      <c r="A140" t="s">
        <v>16</v>
      </c>
      <c r="B140" s="223" t="str">
        <f t="shared" si="176"/>
        <v>CNK</v>
      </c>
      <c r="C140" s="223" t="str">
        <f t="shared" si="176"/>
        <v>Commercial - Cooking</v>
      </c>
      <c r="E140" s="125">
        <f t="shared" si="179"/>
        <v>0.25925925925925924</v>
      </c>
      <c r="G140" s="299" t="s">
        <v>772</v>
      </c>
      <c r="H140" s="197">
        <f>(1-(1/(H139+1)))</f>
        <v>0.15254237288135586</v>
      </c>
      <c r="I140" s="132"/>
      <c r="L140" s="304">
        <f t="shared" si="177"/>
        <v>0.61765160037941447</v>
      </c>
      <c r="M140" s="305">
        <f t="shared" si="177"/>
        <v>0.61765160037941447</v>
      </c>
      <c r="N140" s="305">
        <f t="shared" si="177"/>
        <v>0.61765160037941447</v>
      </c>
      <c r="O140" s="305">
        <f t="shared" si="177"/>
        <v>0.61765160037941447</v>
      </c>
      <c r="P140" s="88">
        <f t="shared" si="177"/>
        <v>0.61765160037941447</v>
      </c>
      <c r="Q140" s="88">
        <f t="shared" si="177"/>
        <v>0.61765160037941447</v>
      </c>
      <c r="R140" s="88">
        <f t="shared" si="177"/>
        <v>0.61765160037941447</v>
      </c>
      <c r="S140" s="88">
        <f t="shared" si="177"/>
        <v>0.61765160037941447</v>
      </c>
      <c r="T140" s="88">
        <f t="shared" si="177"/>
        <v>0.61765160037941447</v>
      </c>
      <c r="U140" s="88">
        <f t="shared" si="177"/>
        <v>0.61765160037941447</v>
      </c>
      <c r="V140" s="88">
        <f t="shared" si="177"/>
        <v>0.61765160037941447</v>
      </c>
      <c r="W140" s="88">
        <f t="shared" si="177"/>
        <v>0.61765160037941447</v>
      </c>
      <c r="X140" s="88">
        <f t="shared" si="177"/>
        <v>0.61765160037941447</v>
      </c>
      <c r="Y140" s="88">
        <f t="shared" si="177"/>
        <v>0.61765160037941447</v>
      </c>
      <c r="Z140" s="88">
        <f t="shared" si="177"/>
        <v>0.61765160037941447</v>
      </c>
      <c r="AA140" s="88">
        <f t="shared" si="177"/>
        <v>0.61765160037941447</v>
      </c>
      <c r="AB140" s="88">
        <f t="shared" si="177"/>
        <v>0.61765160037941447</v>
      </c>
      <c r="AC140" s="88">
        <f t="shared" si="177"/>
        <v>0.61765160037941447</v>
      </c>
      <c r="AD140" s="88">
        <f t="shared" si="177"/>
        <v>0.61765160037941447</v>
      </c>
      <c r="AE140" s="88">
        <f t="shared" si="177"/>
        <v>0.61765160037941447</v>
      </c>
      <c r="AF140" s="88">
        <f t="shared" si="177"/>
        <v>0.61765160037941447</v>
      </c>
      <c r="AG140" s="88">
        <f t="shared" si="177"/>
        <v>0.61765160037941447</v>
      </c>
      <c r="AH140" s="88">
        <f t="shared" si="177"/>
        <v>0.61765160037941447</v>
      </c>
      <c r="AI140" s="88">
        <f t="shared" si="177"/>
        <v>0.61765160037941447</v>
      </c>
      <c r="AJ140" s="88">
        <f t="shared" si="177"/>
        <v>0.61765160037941447</v>
      </c>
      <c r="AK140" s="88">
        <f t="shared" si="177"/>
        <v>0.61765160037941447</v>
      </c>
      <c r="AL140" s="88">
        <f t="shared" si="177"/>
        <v>0.61765160037941447</v>
      </c>
      <c r="AM140" s="88">
        <f t="shared" si="177"/>
        <v>0.61765160037941447</v>
      </c>
      <c r="AN140" s="88">
        <f t="shared" si="177"/>
        <v>0.61765160037941447</v>
      </c>
      <c r="AO140" s="88">
        <f t="shared" si="177"/>
        <v>0.61765160037941447</v>
      </c>
      <c r="AP140" s="88">
        <f t="shared" si="177"/>
        <v>0.61765160037941447</v>
      </c>
      <c r="AQ140" s="88">
        <f t="shared" si="177"/>
        <v>0.61765160037941447</v>
      </c>
      <c r="AR140" s="88">
        <f t="shared" si="177"/>
        <v>0.61765160037941447</v>
      </c>
      <c r="AS140" s="88">
        <f t="shared" si="177"/>
        <v>0.61765160037941447</v>
      </c>
      <c r="AT140" s="88">
        <f t="shared" si="177"/>
        <v>0.61765160037941447</v>
      </c>
      <c r="AU140" s="88">
        <f t="shared" si="177"/>
        <v>0.61765160037941447</v>
      </c>
      <c r="AV140" s="88">
        <f t="shared" si="177"/>
        <v>0.61765160037941447</v>
      </c>
      <c r="AW140" s="88">
        <f t="shared" si="177"/>
        <v>0.61765160037941447</v>
      </c>
      <c r="AX140" s="88">
        <f t="shared" si="177"/>
        <v>0.61765160037941447</v>
      </c>
      <c r="AY140" s="88">
        <f t="shared" si="178"/>
        <v>0.61765160037941447</v>
      </c>
      <c r="AZ140" s="88">
        <f t="shared" si="178"/>
        <v>0.61765160037941447</v>
      </c>
      <c r="BA140" s="88">
        <f t="shared" si="178"/>
        <v>0.61765160037941447</v>
      </c>
      <c r="BB140" s="88">
        <f t="shared" si="178"/>
        <v>0.61765160037941447</v>
      </c>
      <c r="BC140" s="88">
        <f t="shared" si="178"/>
        <v>0.61765160037941447</v>
      </c>
      <c r="BD140" s="88">
        <f t="shared" si="178"/>
        <v>0.61765160037941447</v>
      </c>
      <c r="BE140" s="88">
        <f t="shared" si="178"/>
        <v>0.61765160037941447</v>
      </c>
      <c r="BF140" s="88">
        <f t="shared" si="178"/>
        <v>0.61765160037941447</v>
      </c>
      <c r="BG140" s="88">
        <f t="shared" si="178"/>
        <v>0.61765160037941447</v>
      </c>
      <c r="BH140" s="88">
        <f t="shared" si="178"/>
        <v>0.61765160037941447</v>
      </c>
      <c r="BI140" s="88">
        <f t="shared" si="178"/>
        <v>0.61765160037941447</v>
      </c>
      <c r="BJ140" s="88">
        <f t="shared" si="178"/>
        <v>0.61765160037941447</v>
      </c>
      <c r="BK140" s="88">
        <f t="shared" si="178"/>
        <v>0.61765160037941447</v>
      </c>
      <c r="BL140" s="88">
        <f t="shared" si="178"/>
        <v>0.61765160037941447</v>
      </c>
      <c r="BM140" s="88">
        <f t="shared" si="178"/>
        <v>0.61765160037941447</v>
      </c>
      <c r="BN140" s="88">
        <f t="shared" si="178"/>
        <v>0.61765160037941447</v>
      </c>
      <c r="BO140" s="88">
        <f t="shared" si="178"/>
        <v>0.61765160037941447</v>
      </c>
      <c r="BP140" s="88">
        <f t="shared" si="178"/>
        <v>0.61765160037941447</v>
      </c>
      <c r="BQ140" s="88">
        <f t="shared" si="178"/>
        <v>0.61765160037941447</v>
      </c>
      <c r="BR140" s="88">
        <f t="shared" si="178"/>
        <v>0.61765160037941447</v>
      </c>
    </row>
    <row r="141" spans="1:70">
      <c r="A141" t="s">
        <v>16</v>
      </c>
      <c r="B141" s="223" t="str">
        <f t="shared" si="176"/>
        <v>CNL</v>
      </c>
      <c r="C141" s="223" t="str">
        <f t="shared" si="176"/>
        <v>Commercial - Lighting</v>
      </c>
      <c r="E141" s="125">
        <f t="shared" si="179"/>
        <v>0.25925925925925924</v>
      </c>
      <c r="G141" s="299"/>
      <c r="I141" s="132"/>
      <c r="L141" s="304">
        <f t="shared" si="177"/>
        <v>0.61765160037941447</v>
      </c>
      <c r="M141" s="305">
        <f t="shared" si="177"/>
        <v>0.61765160037941447</v>
      </c>
      <c r="N141" s="305">
        <f t="shared" si="177"/>
        <v>0.61765160037941447</v>
      </c>
      <c r="O141" s="305">
        <f t="shared" si="177"/>
        <v>0.61765160037941447</v>
      </c>
      <c r="P141" s="88">
        <f t="shared" si="177"/>
        <v>0.61765160037941447</v>
      </c>
      <c r="Q141" s="88">
        <f t="shared" si="177"/>
        <v>0.61765160037941447</v>
      </c>
      <c r="R141" s="88">
        <f t="shared" si="177"/>
        <v>0.61765160037941447</v>
      </c>
      <c r="S141" s="88">
        <f t="shared" si="177"/>
        <v>0.61765160037941447</v>
      </c>
      <c r="T141" s="88">
        <f t="shared" si="177"/>
        <v>0.61765160037941447</v>
      </c>
      <c r="U141" s="88">
        <f t="shared" si="177"/>
        <v>0.61765160037941447</v>
      </c>
      <c r="V141" s="88">
        <f t="shared" si="177"/>
        <v>0.61765160037941447</v>
      </c>
      <c r="W141" s="88">
        <f t="shared" si="177"/>
        <v>0.61765160037941447</v>
      </c>
      <c r="X141" s="88">
        <f t="shared" si="177"/>
        <v>0.61765160037941447</v>
      </c>
      <c r="Y141" s="88">
        <f t="shared" si="177"/>
        <v>0.61765160037941447</v>
      </c>
      <c r="Z141" s="88">
        <f t="shared" si="177"/>
        <v>0.61765160037941447</v>
      </c>
      <c r="AA141" s="88">
        <f t="shared" si="177"/>
        <v>0.61765160037941447</v>
      </c>
      <c r="AB141" s="88">
        <f t="shared" si="177"/>
        <v>0.61765160037941447</v>
      </c>
      <c r="AC141" s="88">
        <f t="shared" si="177"/>
        <v>0.61765160037941447</v>
      </c>
      <c r="AD141" s="88">
        <f t="shared" si="177"/>
        <v>0.61765160037941447</v>
      </c>
      <c r="AE141" s="88">
        <f t="shared" si="177"/>
        <v>0.61765160037941447</v>
      </c>
      <c r="AF141" s="88">
        <f t="shared" si="177"/>
        <v>0.61765160037941447</v>
      </c>
      <c r="AG141" s="88">
        <f t="shared" si="177"/>
        <v>0.61765160037941447</v>
      </c>
      <c r="AH141" s="88">
        <f t="shared" si="177"/>
        <v>0.61765160037941447</v>
      </c>
      <c r="AI141" s="88">
        <f t="shared" si="177"/>
        <v>0.61765160037941447</v>
      </c>
      <c r="AJ141" s="88">
        <f t="shared" si="177"/>
        <v>0.61765160037941447</v>
      </c>
      <c r="AK141" s="88">
        <f t="shared" si="177"/>
        <v>0.61765160037941447</v>
      </c>
      <c r="AL141" s="88">
        <f t="shared" si="177"/>
        <v>0.61765160037941447</v>
      </c>
      <c r="AM141" s="88">
        <f t="shared" si="177"/>
        <v>0.61765160037941447</v>
      </c>
      <c r="AN141" s="88">
        <f t="shared" si="177"/>
        <v>0.61765160037941447</v>
      </c>
      <c r="AO141" s="88">
        <f t="shared" si="177"/>
        <v>0.61765160037941447</v>
      </c>
      <c r="AP141" s="88">
        <f t="shared" si="177"/>
        <v>0.61765160037941447</v>
      </c>
      <c r="AQ141" s="88">
        <f t="shared" si="177"/>
        <v>0.61765160037941447</v>
      </c>
      <c r="AR141" s="88">
        <f t="shared" si="177"/>
        <v>0.61765160037941447</v>
      </c>
      <c r="AS141" s="88">
        <f t="shared" si="177"/>
        <v>0.61765160037941447</v>
      </c>
      <c r="AT141" s="88">
        <f t="shared" si="177"/>
        <v>0.61765160037941447</v>
      </c>
      <c r="AU141" s="88">
        <f t="shared" si="177"/>
        <v>0.61765160037941447</v>
      </c>
      <c r="AV141" s="88">
        <f t="shared" si="177"/>
        <v>0.61765160037941447</v>
      </c>
      <c r="AW141" s="88">
        <f t="shared" si="177"/>
        <v>0.61765160037941447</v>
      </c>
      <c r="AX141" s="88">
        <f t="shared" si="177"/>
        <v>0.61765160037941447</v>
      </c>
      <c r="AY141" s="88">
        <f t="shared" si="178"/>
        <v>0.61765160037941447</v>
      </c>
      <c r="AZ141" s="88">
        <f t="shared" si="178"/>
        <v>0.61765160037941447</v>
      </c>
      <c r="BA141" s="88">
        <f t="shared" si="178"/>
        <v>0.61765160037941447</v>
      </c>
      <c r="BB141" s="88">
        <f t="shared" si="178"/>
        <v>0.61765160037941447</v>
      </c>
      <c r="BC141" s="88">
        <f t="shared" si="178"/>
        <v>0.61765160037941447</v>
      </c>
      <c r="BD141" s="88">
        <f t="shared" si="178"/>
        <v>0.61765160037941447</v>
      </c>
      <c r="BE141" s="88">
        <f t="shared" si="178"/>
        <v>0.61765160037941447</v>
      </c>
      <c r="BF141" s="88">
        <f t="shared" si="178"/>
        <v>0.61765160037941447</v>
      </c>
      <c r="BG141" s="88">
        <f t="shared" si="178"/>
        <v>0.61765160037941447</v>
      </c>
      <c r="BH141" s="88">
        <f t="shared" si="178"/>
        <v>0.61765160037941447</v>
      </c>
      <c r="BI141" s="88">
        <f t="shared" si="178"/>
        <v>0.61765160037941447</v>
      </c>
      <c r="BJ141" s="88">
        <f t="shared" si="178"/>
        <v>0.61765160037941447</v>
      </c>
      <c r="BK141" s="88">
        <f t="shared" si="178"/>
        <v>0.61765160037941447</v>
      </c>
      <c r="BL141" s="88">
        <f t="shared" si="178"/>
        <v>0.61765160037941447</v>
      </c>
      <c r="BM141" s="88">
        <f t="shared" si="178"/>
        <v>0.61765160037941447</v>
      </c>
      <c r="BN141" s="88">
        <f t="shared" si="178"/>
        <v>0.61765160037941447</v>
      </c>
      <c r="BO141" s="88">
        <f t="shared" si="178"/>
        <v>0.61765160037941447</v>
      </c>
      <c r="BP141" s="88">
        <f t="shared" si="178"/>
        <v>0.61765160037941447</v>
      </c>
      <c r="BQ141" s="88">
        <f t="shared" si="178"/>
        <v>0.61765160037941447</v>
      </c>
      <c r="BR141" s="88">
        <f t="shared" si="178"/>
        <v>0.61765160037941447</v>
      </c>
    </row>
    <row r="142" spans="1:70">
      <c r="A142" t="s">
        <v>16</v>
      </c>
      <c r="B142" s="223" t="str">
        <f t="shared" si="176"/>
        <v>CNR</v>
      </c>
      <c r="C142" s="223" t="str">
        <f t="shared" si="176"/>
        <v>Commercial - Refrigeration</v>
      </c>
      <c r="E142" s="125">
        <f t="shared" si="179"/>
        <v>0.25925925925925924</v>
      </c>
      <c r="G142" s="299"/>
      <c r="I142" s="132"/>
      <c r="L142" s="304">
        <f t="shared" si="177"/>
        <v>0.61765160037941447</v>
      </c>
      <c r="M142" s="305">
        <f t="shared" si="177"/>
        <v>0.61765160037941447</v>
      </c>
      <c r="N142" s="305">
        <f t="shared" si="177"/>
        <v>0.61765160037941447</v>
      </c>
      <c r="O142" s="305">
        <f t="shared" si="177"/>
        <v>0.61765160037941447</v>
      </c>
      <c r="P142" s="88">
        <f t="shared" si="177"/>
        <v>0.61765160037941447</v>
      </c>
      <c r="Q142" s="88">
        <f t="shared" si="177"/>
        <v>0.61765160037941447</v>
      </c>
      <c r="R142" s="88">
        <f t="shared" si="177"/>
        <v>0.61765160037941447</v>
      </c>
      <c r="S142" s="88">
        <f t="shared" si="177"/>
        <v>0.61765160037941447</v>
      </c>
      <c r="T142" s="88">
        <f t="shared" si="177"/>
        <v>0.61765160037941447</v>
      </c>
      <c r="U142" s="88">
        <f t="shared" si="177"/>
        <v>0.61765160037941447</v>
      </c>
      <c r="V142" s="88">
        <f t="shared" si="177"/>
        <v>0.61765160037941447</v>
      </c>
      <c r="W142" s="88">
        <f t="shared" si="177"/>
        <v>0.61765160037941447</v>
      </c>
      <c r="X142" s="88">
        <f t="shared" si="177"/>
        <v>0.61765160037941447</v>
      </c>
      <c r="Y142" s="88">
        <f t="shared" si="177"/>
        <v>0.61765160037941447</v>
      </c>
      <c r="Z142" s="88">
        <f t="shared" si="177"/>
        <v>0.61765160037941447</v>
      </c>
      <c r="AA142" s="88">
        <f t="shared" si="177"/>
        <v>0.61765160037941447</v>
      </c>
      <c r="AB142" s="88">
        <f t="shared" si="177"/>
        <v>0.61765160037941447</v>
      </c>
      <c r="AC142" s="88">
        <f t="shared" si="177"/>
        <v>0.61765160037941447</v>
      </c>
      <c r="AD142" s="88">
        <f t="shared" si="177"/>
        <v>0.61765160037941447</v>
      </c>
      <c r="AE142" s="88">
        <f t="shared" si="177"/>
        <v>0.61765160037941447</v>
      </c>
      <c r="AF142" s="88">
        <f t="shared" si="177"/>
        <v>0.61765160037941447</v>
      </c>
      <c r="AG142" s="88">
        <f t="shared" si="177"/>
        <v>0.61765160037941447</v>
      </c>
      <c r="AH142" s="88">
        <f t="shared" si="177"/>
        <v>0.61765160037941447</v>
      </c>
      <c r="AI142" s="88">
        <f t="shared" si="177"/>
        <v>0.61765160037941447</v>
      </c>
      <c r="AJ142" s="88">
        <f t="shared" si="177"/>
        <v>0.61765160037941447</v>
      </c>
      <c r="AK142" s="88">
        <f t="shared" si="177"/>
        <v>0.61765160037941447</v>
      </c>
      <c r="AL142" s="88">
        <f t="shared" si="177"/>
        <v>0.61765160037941447</v>
      </c>
      <c r="AM142" s="88">
        <f t="shared" si="177"/>
        <v>0.61765160037941447</v>
      </c>
      <c r="AN142" s="88">
        <f t="shared" si="177"/>
        <v>0.61765160037941447</v>
      </c>
      <c r="AO142" s="88">
        <f t="shared" si="177"/>
        <v>0.61765160037941447</v>
      </c>
      <c r="AP142" s="88">
        <f t="shared" si="177"/>
        <v>0.61765160037941447</v>
      </c>
      <c r="AQ142" s="88">
        <f t="shared" si="177"/>
        <v>0.61765160037941447</v>
      </c>
      <c r="AR142" s="88">
        <f t="shared" si="177"/>
        <v>0.61765160037941447</v>
      </c>
      <c r="AS142" s="88">
        <f t="shared" si="177"/>
        <v>0.61765160037941447</v>
      </c>
      <c r="AT142" s="88">
        <f t="shared" si="177"/>
        <v>0.61765160037941447</v>
      </c>
      <c r="AU142" s="88">
        <f t="shared" si="177"/>
        <v>0.61765160037941447</v>
      </c>
      <c r="AV142" s="88">
        <f t="shared" si="177"/>
        <v>0.61765160037941447</v>
      </c>
      <c r="AW142" s="88">
        <f t="shared" si="177"/>
        <v>0.61765160037941447</v>
      </c>
      <c r="AX142" s="88">
        <f t="shared" si="177"/>
        <v>0.61765160037941447</v>
      </c>
      <c r="AY142" s="88">
        <f t="shared" si="178"/>
        <v>0.61765160037941447</v>
      </c>
      <c r="AZ142" s="88">
        <f t="shared" si="178"/>
        <v>0.61765160037941447</v>
      </c>
      <c r="BA142" s="88">
        <f t="shared" si="178"/>
        <v>0.61765160037941447</v>
      </c>
      <c r="BB142" s="88">
        <f t="shared" si="178"/>
        <v>0.61765160037941447</v>
      </c>
      <c r="BC142" s="88">
        <f t="shared" si="178"/>
        <v>0.61765160037941447</v>
      </c>
      <c r="BD142" s="88">
        <f t="shared" si="178"/>
        <v>0.61765160037941447</v>
      </c>
      <c r="BE142" s="88">
        <f t="shared" si="178"/>
        <v>0.61765160037941447</v>
      </c>
      <c r="BF142" s="88">
        <f t="shared" si="178"/>
        <v>0.61765160037941447</v>
      </c>
      <c r="BG142" s="88">
        <f t="shared" si="178"/>
        <v>0.61765160037941447</v>
      </c>
      <c r="BH142" s="88">
        <f t="shared" si="178"/>
        <v>0.61765160037941447</v>
      </c>
      <c r="BI142" s="88">
        <f t="shared" si="178"/>
        <v>0.61765160037941447</v>
      </c>
      <c r="BJ142" s="88">
        <f t="shared" si="178"/>
        <v>0.61765160037941447</v>
      </c>
      <c r="BK142" s="88">
        <f t="shared" si="178"/>
        <v>0.61765160037941447</v>
      </c>
      <c r="BL142" s="88">
        <f t="shared" si="178"/>
        <v>0.61765160037941447</v>
      </c>
      <c r="BM142" s="88">
        <f t="shared" si="178"/>
        <v>0.61765160037941447</v>
      </c>
      <c r="BN142" s="88">
        <f t="shared" si="178"/>
        <v>0.61765160037941447</v>
      </c>
      <c r="BO142" s="88">
        <f t="shared" si="178"/>
        <v>0.61765160037941447</v>
      </c>
      <c r="BP142" s="88">
        <f t="shared" si="178"/>
        <v>0.61765160037941447</v>
      </c>
      <c r="BQ142" s="88">
        <f t="shared" si="178"/>
        <v>0.61765160037941447</v>
      </c>
      <c r="BR142" s="88">
        <f t="shared" si="178"/>
        <v>0.61765160037941447</v>
      </c>
    </row>
    <row r="143" spans="1:70">
      <c r="A143" t="s">
        <v>16</v>
      </c>
      <c r="B143" s="223" t="str">
        <f t="shared" si="176"/>
        <v>CNW</v>
      </c>
      <c r="C143" s="223" t="str">
        <f t="shared" si="176"/>
        <v>Commercial - Water Heating</v>
      </c>
      <c r="E143" s="125">
        <f t="shared" si="179"/>
        <v>0.25925925925925924</v>
      </c>
      <c r="G143" s="299"/>
      <c r="I143" s="132"/>
      <c r="L143" s="304">
        <f t="shared" si="177"/>
        <v>0.61765160037941447</v>
      </c>
      <c r="M143" s="305">
        <f t="shared" si="177"/>
        <v>0.61765160037941447</v>
      </c>
      <c r="N143" s="305">
        <f t="shared" si="177"/>
        <v>0.61765160037941447</v>
      </c>
      <c r="O143" s="305">
        <f t="shared" si="177"/>
        <v>0.61765160037941447</v>
      </c>
      <c r="P143" s="88">
        <f t="shared" si="177"/>
        <v>0.61765160037941447</v>
      </c>
      <c r="Q143" s="88">
        <f t="shared" si="177"/>
        <v>0.61765160037941447</v>
      </c>
      <c r="R143" s="88">
        <f t="shared" si="177"/>
        <v>0.61765160037941447</v>
      </c>
      <c r="S143" s="88">
        <f t="shared" si="177"/>
        <v>0.61765160037941447</v>
      </c>
      <c r="T143" s="88">
        <f t="shared" si="177"/>
        <v>0.61765160037941447</v>
      </c>
      <c r="U143" s="88">
        <f t="shared" si="177"/>
        <v>0.61765160037941447</v>
      </c>
      <c r="V143" s="88">
        <f t="shared" si="177"/>
        <v>0.61765160037941447</v>
      </c>
      <c r="W143" s="88">
        <f t="shared" si="177"/>
        <v>0.61765160037941447</v>
      </c>
      <c r="X143" s="88">
        <f t="shared" si="177"/>
        <v>0.61765160037941447</v>
      </c>
      <c r="Y143" s="88">
        <f t="shared" si="177"/>
        <v>0.61765160037941447</v>
      </c>
      <c r="Z143" s="88">
        <f t="shared" si="177"/>
        <v>0.61765160037941447</v>
      </c>
      <c r="AA143" s="88">
        <f t="shared" si="177"/>
        <v>0.61765160037941447</v>
      </c>
      <c r="AB143" s="88">
        <f t="shared" si="177"/>
        <v>0.61765160037941447</v>
      </c>
      <c r="AC143" s="88">
        <f t="shared" si="177"/>
        <v>0.61765160037941447</v>
      </c>
      <c r="AD143" s="88">
        <f t="shared" si="177"/>
        <v>0.61765160037941447</v>
      </c>
      <c r="AE143" s="88">
        <f t="shared" si="177"/>
        <v>0.61765160037941447</v>
      </c>
      <c r="AF143" s="88">
        <f t="shared" si="177"/>
        <v>0.61765160037941447</v>
      </c>
      <c r="AG143" s="88">
        <f t="shared" si="177"/>
        <v>0.61765160037941447</v>
      </c>
      <c r="AH143" s="88">
        <f t="shared" si="177"/>
        <v>0.61765160037941447</v>
      </c>
      <c r="AI143" s="88">
        <f t="shared" si="177"/>
        <v>0.61765160037941447</v>
      </c>
      <c r="AJ143" s="88">
        <f t="shared" si="177"/>
        <v>0.61765160037941447</v>
      </c>
      <c r="AK143" s="88">
        <f t="shared" si="177"/>
        <v>0.61765160037941447</v>
      </c>
      <c r="AL143" s="88">
        <f t="shared" si="177"/>
        <v>0.61765160037941447</v>
      </c>
      <c r="AM143" s="88">
        <f t="shared" si="177"/>
        <v>0.61765160037941447</v>
      </c>
      <c r="AN143" s="88">
        <f t="shared" si="177"/>
        <v>0.61765160037941447</v>
      </c>
      <c r="AO143" s="88">
        <f t="shared" si="177"/>
        <v>0.61765160037941447</v>
      </c>
      <c r="AP143" s="88">
        <f t="shared" si="177"/>
        <v>0.61765160037941447</v>
      </c>
      <c r="AQ143" s="88">
        <f t="shared" si="177"/>
        <v>0.61765160037941447</v>
      </c>
      <c r="AR143" s="88">
        <f t="shared" si="177"/>
        <v>0.61765160037941447</v>
      </c>
      <c r="AS143" s="88">
        <f t="shared" si="177"/>
        <v>0.61765160037941447</v>
      </c>
      <c r="AT143" s="88">
        <f t="shared" si="177"/>
        <v>0.61765160037941447</v>
      </c>
      <c r="AU143" s="88">
        <f t="shared" si="177"/>
        <v>0.61765160037941447</v>
      </c>
      <c r="AV143" s="88">
        <f t="shared" si="177"/>
        <v>0.61765160037941447</v>
      </c>
      <c r="AW143" s="88">
        <f t="shared" si="177"/>
        <v>0.61765160037941447</v>
      </c>
      <c r="AX143" s="88">
        <f t="shared" si="177"/>
        <v>0.61765160037941447</v>
      </c>
      <c r="AY143" s="88">
        <f t="shared" si="178"/>
        <v>0.61765160037941447</v>
      </c>
      <c r="AZ143" s="88">
        <f t="shared" si="178"/>
        <v>0.61765160037941447</v>
      </c>
      <c r="BA143" s="88">
        <f t="shared" si="178"/>
        <v>0.61765160037941447</v>
      </c>
      <c r="BB143" s="88">
        <f t="shared" si="178"/>
        <v>0.61765160037941447</v>
      </c>
      <c r="BC143" s="88">
        <f t="shared" si="178"/>
        <v>0.61765160037941447</v>
      </c>
      <c r="BD143" s="88">
        <f t="shared" si="178"/>
        <v>0.61765160037941447</v>
      </c>
      <c r="BE143" s="88">
        <f t="shared" si="178"/>
        <v>0.61765160037941447</v>
      </c>
      <c r="BF143" s="88">
        <f t="shared" si="178"/>
        <v>0.61765160037941447</v>
      </c>
      <c r="BG143" s="88">
        <f t="shared" si="178"/>
        <v>0.61765160037941447</v>
      </c>
      <c r="BH143" s="88">
        <f t="shared" si="178"/>
        <v>0.61765160037941447</v>
      </c>
      <c r="BI143" s="88">
        <f t="shared" si="178"/>
        <v>0.61765160037941447</v>
      </c>
      <c r="BJ143" s="88">
        <f t="shared" si="178"/>
        <v>0.61765160037941447</v>
      </c>
      <c r="BK143" s="88">
        <f t="shared" si="178"/>
        <v>0.61765160037941447</v>
      </c>
      <c r="BL143" s="88">
        <f t="shared" si="178"/>
        <v>0.61765160037941447</v>
      </c>
      <c r="BM143" s="88">
        <f t="shared" si="178"/>
        <v>0.61765160037941447</v>
      </c>
      <c r="BN143" s="88">
        <f t="shared" si="178"/>
        <v>0.61765160037941447</v>
      </c>
      <c r="BO143" s="88">
        <f t="shared" si="178"/>
        <v>0.61765160037941447</v>
      </c>
      <c r="BP143" s="88">
        <f t="shared" si="178"/>
        <v>0.61765160037941447</v>
      </c>
      <c r="BQ143" s="88">
        <f t="shared" si="178"/>
        <v>0.61765160037941447</v>
      </c>
      <c r="BR143" s="88">
        <f t="shared" si="178"/>
        <v>0.61765160037941447</v>
      </c>
    </row>
    <row r="144" spans="1:70">
      <c r="A144" t="s">
        <v>16</v>
      </c>
      <c r="B144" s="223" t="str">
        <f t="shared" si="176"/>
        <v>CNG</v>
      </c>
      <c r="C144" s="223" t="str">
        <f t="shared" si="176"/>
        <v>Commercial - Public lights</v>
      </c>
      <c r="E144" s="125">
        <f t="shared" si="179"/>
        <v>0.25925925925925924</v>
      </c>
      <c r="G144" s="299"/>
      <c r="I144" s="132"/>
      <c r="L144" s="304">
        <f t="shared" si="177"/>
        <v>0.61765160037941447</v>
      </c>
      <c r="M144" s="305">
        <f t="shared" si="177"/>
        <v>0.61765160037941447</v>
      </c>
      <c r="N144" s="305">
        <f t="shared" si="177"/>
        <v>0.61765160037941447</v>
      </c>
      <c r="O144" s="305">
        <f t="shared" si="177"/>
        <v>0.61765160037941447</v>
      </c>
      <c r="P144" s="88">
        <f t="shared" si="177"/>
        <v>0.61765160037941447</v>
      </c>
      <c r="Q144" s="88">
        <f t="shared" si="177"/>
        <v>0.61765160037941447</v>
      </c>
      <c r="R144" s="88">
        <f t="shared" si="177"/>
        <v>0.61765160037941447</v>
      </c>
      <c r="S144" s="88">
        <f t="shared" si="177"/>
        <v>0.61765160037941447</v>
      </c>
      <c r="T144" s="88">
        <f t="shared" si="177"/>
        <v>0.61765160037941447</v>
      </c>
      <c r="U144" s="88">
        <f t="shared" si="177"/>
        <v>0.61765160037941447</v>
      </c>
      <c r="V144" s="88">
        <f t="shared" si="177"/>
        <v>0.61765160037941447</v>
      </c>
      <c r="W144" s="88">
        <f t="shared" si="177"/>
        <v>0.61765160037941447</v>
      </c>
      <c r="X144" s="88">
        <f t="shared" si="177"/>
        <v>0.61765160037941447</v>
      </c>
      <c r="Y144" s="88">
        <f t="shared" si="177"/>
        <v>0.61765160037941447</v>
      </c>
      <c r="Z144" s="88">
        <f t="shared" si="177"/>
        <v>0.61765160037941447</v>
      </c>
      <c r="AA144" s="88">
        <f t="shared" si="177"/>
        <v>0.61765160037941447</v>
      </c>
      <c r="AB144" s="88">
        <f t="shared" si="177"/>
        <v>0.61765160037941447</v>
      </c>
      <c r="AC144" s="88">
        <f t="shared" si="177"/>
        <v>0.61765160037941447</v>
      </c>
      <c r="AD144" s="88">
        <f t="shared" si="177"/>
        <v>0.61765160037941447</v>
      </c>
      <c r="AE144" s="88">
        <f t="shared" si="177"/>
        <v>0.61765160037941447</v>
      </c>
      <c r="AF144" s="88">
        <f t="shared" si="177"/>
        <v>0.61765160037941447</v>
      </c>
      <c r="AG144" s="88">
        <f t="shared" ref="AG144:AX146" si="180">AG133*(1-$E144)</f>
        <v>0.61765160037941447</v>
      </c>
      <c r="AH144" s="88">
        <f t="shared" si="180"/>
        <v>0.61765160037941447</v>
      </c>
      <c r="AI144" s="88">
        <f t="shared" si="180"/>
        <v>0.61765160037941447</v>
      </c>
      <c r="AJ144" s="88">
        <f t="shared" si="180"/>
        <v>0.61765160037941447</v>
      </c>
      <c r="AK144" s="88">
        <f t="shared" si="180"/>
        <v>0.61765160037941447</v>
      </c>
      <c r="AL144" s="88">
        <f t="shared" si="180"/>
        <v>0.61765160037941447</v>
      </c>
      <c r="AM144" s="88">
        <f t="shared" si="180"/>
        <v>0.61765160037941447</v>
      </c>
      <c r="AN144" s="88">
        <f t="shared" si="180"/>
        <v>0.61765160037941447</v>
      </c>
      <c r="AO144" s="88">
        <f t="shared" si="180"/>
        <v>0.61765160037941447</v>
      </c>
      <c r="AP144" s="88">
        <f t="shared" si="180"/>
        <v>0.61765160037941447</v>
      </c>
      <c r="AQ144" s="88">
        <f t="shared" si="180"/>
        <v>0.61765160037941447</v>
      </c>
      <c r="AR144" s="88">
        <f t="shared" si="180"/>
        <v>0.61765160037941447</v>
      </c>
      <c r="AS144" s="88">
        <f t="shared" si="180"/>
        <v>0.61765160037941447</v>
      </c>
      <c r="AT144" s="88">
        <f t="shared" si="180"/>
        <v>0.61765160037941447</v>
      </c>
      <c r="AU144" s="88">
        <f t="shared" si="180"/>
        <v>0.61765160037941447</v>
      </c>
      <c r="AV144" s="88">
        <f t="shared" si="180"/>
        <v>0.61765160037941447</v>
      </c>
      <c r="AW144" s="88">
        <f t="shared" si="180"/>
        <v>0.61765160037941447</v>
      </c>
      <c r="AX144" s="88">
        <f t="shared" si="180"/>
        <v>0.61765160037941447</v>
      </c>
      <c r="AY144" s="88">
        <f t="shared" ref="AY144:BR144" si="181">AY133*(1-$E144)</f>
        <v>0.61765160037941447</v>
      </c>
      <c r="AZ144" s="88">
        <f t="shared" si="181"/>
        <v>0.61765160037941447</v>
      </c>
      <c r="BA144" s="88">
        <f t="shared" si="181"/>
        <v>0.61765160037941447</v>
      </c>
      <c r="BB144" s="88">
        <f t="shared" si="181"/>
        <v>0.61765160037941447</v>
      </c>
      <c r="BC144" s="88">
        <f t="shared" si="181"/>
        <v>0.61765160037941447</v>
      </c>
      <c r="BD144" s="88">
        <f t="shared" si="181"/>
        <v>0.61765160037941447</v>
      </c>
      <c r="BE144" s="88">
        <f t="shared" si="181"/>
        <v>0.61765160037941447</v>
      </c>
      <c r="BF144" s="88">
        <f t="shared" si="181"/>
        <v>0.61765160037941447</v>
      </c>
      <c r="BG144" s="88">
        <f t="shared" si="181"/>
        <v>0.61765160037941447</v>
      </c>
      <c r="BH144" s="88">
        <f t="shared" si="181"/>
        <v>0.61765160037941447</v>
      </c>
      <c r="BI144" s="88">
        <f t="shared" si="181"/>
        <v>0.61765160037941447</v>
      </c>
      <c r="BJ144" s="88">
        <f t="shared" si="181"/>
        <v>0.61765160037941447</v>
      </c>
      <c r="BK144" s="88">
        <f t="shared" si="181"/>
        <v>0.61765160037941447</v>
      </c>
      <c r="BL144" s="88">
        <f t="shared" si="181"/>
        <v>0.61765160037941447</v>
      </c>
      <c r="BM144" s="88">
        <f t="shared" si="181"/>
        <v>0.61765160037941447</v>
      </c>
      <c r="BN144" s="88">
        <f t="shared" si="181"/>
        <v>0.61765160037941447</v>
      </c>
      <c r="BO144" s="88">
        <f t="shared" si="181"/>
        <v>0.61765160037941447</v>
      </c>
      <c r="BP144" s="88">
        <f t="shared" si="181"/>
        <v>0.61765160037941447</v>
      </c>
      <c r="BQ144" s="88">
        <f t="shared" si="181"/>
        <v>0.61765160037941447</v>
      </c>
      <c r="BR144" s="88">
        <f t="shared" si="181"/>
        <v>0.61765160037941447</v>
      </c>
    </row>
    <row r="145" spans="1:70">
      <c r="A145" t="s">
        <v>16</v>
      </c>
      <c r="B145" s="223" t="str">
        <f t="shared" si="176"/>
        <v>CNT</v>
      </c>
      <c r="C145" s="223" t="str">
        <f t="shared" si="176"/>
        <v>Commercial - Public Water</v>
      </c>
      <c r="E145" s="125">
        <f t="shared" si="179"/>
        <v>0.25925925925925924</v>
      </c>
      <c r="F145" s="70" t="s">
        <v>776</v>
      </c>
      <c r="H145" s="197">
        <f>IF(N57=1,70%,0)</f>
        <v>0.7</v>
      </c>
      <c r="I145" s="132"/>
      <c r="L145" s="304">
        <f t="shared" ref="L145:AX146" si="182">L134*(1-$E145)</f>
        <v>0.61765160037941447</v>
      </c>
      <c r="M145" s="305">
        <f t="shared" si="182"/>
        <v>0.61765160037941447</v>
      </c>
      <c r="N145" s="305">
        <f t="shared" si="182"/>
        <v>0.61765160037941447</v>
      </c>
      <c r="O145" s="305">
        <f t="shared" si="182"/>
        <v>0.61765160037941447</v>
      </c>
      <c r="P145" s="88">
        <f t="shared" si="182"/>
        <v>0.61765160037941447</v>
      </c>
      <c r="Q145" s="88">
        <f t="shared" si="182"/>
        <v>0.61765160037941447</v>
      </c>
      <c r="R145" s="88">
        <f t="shared" si="182"/>
        <v>0.61765160037941447</v>
      </c>
      <c r="S145" s="88">
        <f t="shared" si="182"/>
        <v>0.61765160037941447</v>
      </c>
      <c r="T145" s="88">
        <f t="shared" si="182"/>
        <v>0.61765160037941447</v>
      </c>
      <c r="U145" s="88">
        <f t="shared" si="182"/>
        <v>0.61765160037941447</v>
      </c>
      <c r="V145" s="88">
        <f t="shared" si="182"/>
        <v>0.61765160037941447</v>
      </c>
      <c r="W145" s="88">
        <f t="shared" si="182"/>
        <v>0.61765160037941447</v>
      </c>
      <c r="X145" s="88">
        <f t="shared" si="182"/>
        <v>0.61765160037941447</v>
      </c>
      <c r="Y145" s="88">
        <f t="shared" si="182"/>
        <v>0.61765160037941447</v>
      </c>
      <c r="Z145" s="88">
        <f t="shared" si="182"/>
        <v>0.61765160037941447</v>
      </c>
      <c r="AA145" s="88">
        <f t="shared" si="182"/>
        <v>0.61765160037941447</v>
      </c>
      <c r="AB145" s="88">
        <f t="shared" si="182"/>
        <v>0.61765160037941447</v>
      </c>
      <c r="AC145" s="88">
        <f t="shared" si="182"/>
        <v>0.61765160037941447</v>
      </c>
      <c r="AD145" s="88">
        <f t="shared" si="182"/>
        <v>0.61765160037941447</v>
      </c>
      <c r="AE145" s="88">
        <f t="shared" si="182"/>
        <v>0.61765160037941447</v>
      </c>
      <c r="AF145" s="88">
        <f t="shared" si="182"/>
        <v>0.61765160037941447</v>
      </c>
      <c r="AG145" s="88">
        <f t="shared" si="182"/>
        <v>0.61765160037941447</v>
      </c>
      <c r="AH145" s="88">
        <f t="shared" si="182"/>
        <v>0.61765160037941447</v>
      </c>
      <c r="AI145" s="88">
        <f t="shared" si="182"/>
        <v>0.61765160037941447</v>
      </c>
      <c r="AJ145" s="88">
        <f t="shared" si="182"/>
        <v>0.61765160037941447</v>
      </c>
      <c r="AK145" s="88">
        <f t="shared" si="180"/>
        <v>0.61765160037941447</v>
      </c>
      <c r="AL145" s="88">
        <f t="shared" si="180"/>
        <v>0.61765160037941447</v>
      </c>
      <c r="AM145" s="88">
        <f t="shared" si="180"/>
        <v>0.61765160037941447</v>
      </c>
      <c r="AN145" s="88">
        <f t="shared" si="180"/>
        <v>0.61765160037941447</v>
      </c>
      <c r="AO145" s="88">
        <f t="shared" si="180"/>
        <v>0.61765160037941447</v>
      </c>
      <c r="AP145" s="88">
        <f t="shared" si="180"/>
        <v>0.61765160037941447</v>
      </c>
      <c r="AQ145" s="88">
        <f t="shared" si="180"/>
        <v>0.61765160037941447</v>
      </c>
      <c r="AR145" s="88">
        <f t="shared" si="180"/>
        <v>0.61765160037941447</v>
      </c>
      <c r="AS145" s="88">
        <f t="shared" si="180"/>
        <v>0.61765160037941447</v>
      </c>
      <c r="AT145" s="88">
        <f t="shared" si="180"/>
        <v>0.61765160037941447</v>
      </c>
      <c r="AU145" s="88">
        <f t="shared" si="182"/>
        <v>0.61765160037941447</v>
      </c>
      <c r="AV145" s="88">
        <f t="shared" si="182"/>
        <v>0.61765160037941447</v>
      </c>
      <c r="AW145" s="88">
        <f t="shared" si="182"/>
        <v>0.61765160037941447</v>
      </c>
      <c r="AX145" s="88">
        <f t="shared" si="182"/>
        <v>0.61765160037941447</v>
      </c>
      <c r="AY145" s="88">
        <f t="shared" ref="AY145:BR145" si="183">AY134*(1-$E145)</f>
        <v>0.61765160037941447</v>
      </c>
      <c r="AZ145" s="88">
        <f t="shared" si="183"/>
        <v>0.61765160037941447</v>
      </c>
      <c r="BA145" s="88">
        <f t="shared" si="183"/>
        <v>0.61765160037941447</v>
      </c>
      <c r="BB145" s="88">
        <f t="shared" si="183"/>
        <v>0.61765160037941447</v>
      </c>
      <c r="BC145" s="88">
        <f t="shared" si="183"/>
        <v>0.61765160037941447</v>
      </c>
      <c r="BD145" s="88">
        <f t="shared" si="183"/>
        <v>0.61765160037941447</v>
      </c>
      <c r="BE145" s="88">
        <f t="shared" si="183"/>
        <v>0.61765160037941447</v>
      </c>
      <c r="BF145" s="88">
        <f t="shared" si="183"/>
        <v>0.61765160037941447</v>
      </c>
      <c r="BG145" s="88">
        <f t="shared" si="183"/>
        <v>0.61765160037941447</v>
      </c>
      <c r="BH145" s="88">
        <f t="shared" si="183"/>
        <v>0.61765160037941447</v>
      </c>
      <c r="BI145" s="88">
        <f t="shared" si="183"/>
        <v>0.61765160037941447</v>
      </c>
      <c r="BJ145" s="88">
        <f t="shared" si="183"/>
        <v>0.61765160037941447</v>
      </c>
      <c r="BK145" s="88">
        <f t="shared" si="183"/>
        <v>0.61765160037941447</v>
      </c>
      <c r="BL145" s="88">
        <f t="shared" si="183"/>
        <v>0.61765160037941447</v>
      </c>
      <c r="BM145" s="88">
        <f t="shared" si="183"/>
        <v>0.61765160037941447</v>
      </c>
      <c r="BN145" s="88">
        <f t="shared" si="183"/>
        <v>0.61765160037941447</v>
      </c>
      <c r="BO145" s="88">
        <f t="shared" si="183"/>
        <v>0.61765160037941447</v>
      </c>
      <c r="BP145" s="88">
        <f t="shared" si="183"/>
        <v>0.61765160037941447</v>
      </c>
      <c r="BQ145" s="88">
        <f t="shared" si="183"/>
        <v>0.61765160037941447</v>
      </c>
      <c r="BR145" s="88">
        <f t="shared" si="183"/>
        <v>0.61765160037941447</v>
      </c>
    </row>
    <row r="146" spans="1:70">
      <c r="A146" t="s">
        <v>16</v>
      </c>
      <c r="B146" s="223" t="str">
        <f t="shared" si="176"/>
        <v>CNO</v>
      </c>
      <c r="C146" s="223" t="str">
        <f t="shared" si="176"/>
        <v>Commercial - Other</v>
      </c>
      <c r="E146" s="125">
        <f t="shared" si="179"/>
        <v>0.25925925925925924</v>
      </c>
      <c r="F146" s="70" t="s">
        <v>777</v>
      </c>
      <c r="G146" s="301"/>
      <c r="H146" s="124">
        <f>H145-H134</f>
        <v>0.15999999999999992</v>
      </c>
      <c r="I146" s="132"/>
      <c r="L146" s="304">
        <f t="shared" si="182"/>
        <v>0.61765160037941447</v>
      </c>
      <c r="M146" s="305">
        <f t="shared" si="182"/>
        <v>0.61765160037941447</v>
      </c>
      <c r="N146" s="305">
        <f t="shared" si="182"/>
        <v>0.61765160037941447</v>
      </c>
      <c r="O146" s="305">
        <f t="shared" si="182"/>
        <v>0.61765160037941447</v>
      </c>
      <c r="P146" s="88">
        <f t="shared" si="182"/>
        <v>0.61765160037941447</v>
      </c>
      <c r="Q146" s="88">
        <f t="shared" si="182"/>
        <v>0.61765160037941447</v>
      </c>
      <c r="R146" s="88">
        <f t="shared" si="182"/>
        <v>0.61765160037941447</v>
      </c>
      <c r="S146" s="88">
        <f t="shared" si="182"/>
        <v>0.61765160037941447</v>
      </c>
      <c r="T146" s="88">
        <f t="shared" si="182"/>
        <v>0.61765160037941447</v>
      </c>
      <c r="U146" s="88">
        <f t="shared" si="182"/>
        <v>0.61765160037941447</v>
      </c>
      <c r="V146" s="88">
        <f t="shared" si="182"/>
        <v>0.61765160037941447</v>
      </c>
      <c r="W146" s="88">
        <f t="shared" si="182"/>
        <v>0.61765160037941447</v>
      </c>
      <c r="X146" s="88">
        <f t="shared" si="182"/>
        <v>0.61765160037941447</v>
      </c>
      <c r="Y146" s="88">
        <f t="shared" si="182"/>
        <v>0.61765160037941447</v>
      </c>
      <c r="Z146" s="88">
        <f t="shared" si="182"/>
        <v>0.61765160037941447</v>
      </c>
      <c r="AA146" s="88">
        <f t="shared" si="182"/>
        <v>0.61765160037941447</v>
      </c>
      <c r="AB146" s="88">
        <f t="shared" si="182"/>
        <v>0.61765160037941447</v>
      </c>
      <c r="AC146" s="88">
        <f t="shared" si="182"/>
        <v>0.61765160037941447</v>
      </c>
      <c r="AD146" s="88">
        <f t="shared" si="182"/>
        <v>0.61765160037941447</v>
      </c>
      <c r="AE146" s="88">
        <f t="shared" si="182"/>
        <v>0.61765160037941447</v>
      </c>
      <c r="AF146" s="88">
        <f t="shared" si="182"/>
        <v>0.61765160037941447</v>
      </c>
      <c r="AG146" s="88">
        <f t="shared" si="182"/>
        <v>0.61765160037941447</v>
      </c>
      <c r="AH146" s="88">
        <f t="shared" si="182"/>
        <v>0.61765160037941447</v>
      </c>
      <c r="AI146" s="88">
        <f t="shared" si="182"/>
        <v>0.61765160037941447</v>
      </c>
      <c r="AJ146" s="88">
        <f t="shared" si="182"/>
        <v>0.61765160037941447</v>
      </c>
      <c r="AK146" s="88">
        <f t="shared" si="180"/>
        <v>0.61765160037941447</v>
      </c>
      <c r="AL146" s="88">
        <f t="shared" si="180"/>
        <v>0.61765160037941447</v>
      </c>
      <c r="AM146" s="88">
        <f t="shared" si="180"/>
        <v>0.61765160037941447</v>
      </c>
      <c r="AN146" s="88">
        <f t="shared" si="180"/>
        <v>0.61765160037941447</v>
      </c>
      <c r="AO146" s="88">
        <f t="shared" si="180"/>
        <v>0.61765160037941447</v>
      </c>
      <c r="AP146" s="88">
        <f t="shared" si="180"/>
        <v>0.61765160037941447</v>
      </c>
      <c r="AQ146" s="88">
        <f t="shared" si="180"/>
        <v>0.61765160037941447</v>
      </c>
      <c r="AR146" s="88">
        <f t="shared" si="180"/>
        <v>0.61765160037941447</v>
      </c>
      <c r="AS146" s="88">
        <f t="shared" si="180"/>
        <v>0.61765160037941447</v>
      </c>
      <c r="AT146" s="88">
        <f t="shared" si="180"/>
        <v>0.61765160037941447</v>
      </c>
      <c r="AU146" s="88">
        <f t="shared" si="182"/>
        <v>0.61765160037941447</v>
      </c>
      <c r="AV146" s="88">
        <f t="shared" si="182"/>
        <v>0.61765160037941447</v>
      </c>
      <c r="AW146" s="88">
        <f t="shared" si="182"/>
        <v>0.61765160037941447</v>
      </c>
      <c r="AX146" s="88">
        <f t="shared" si="182"/>
        <v>0.61765160037941447</v>
      </c>
      <c r="AY146" s="88">
        <f t="shared" ref="AY146:BR146" si="184">AY135*(1-$E146)</f>
        <v>0.61765160037941447</v>
      </c>
      <c r="AZ146" s="88">
        <f t="shared" si="184"/>
        <v>0.61765160037941447</v>
      </c>
      <c r="BA146" s="88">
        <f t="shared" si="184"/>
        <v>0.61765160037941447</v>
      </c>
      <c r="BB146" s="88">
        <f t="shared" si="184"/>
        <v>0.61765160037941447</v>
      </c>
      <c r="BC146" s="88">
        <f t="shared" si="184"/>
        <v>0.61765160037941447</v>
      </c>
      <c r="BD146" s="88">
        <f t="shared" si="184"/>
        <v>0.61765160037941447</v>
      </c>
      <c r="BE146" s="88">
        <f t="shared" si="184"/>
        <v>0.61765160037941447</v>
      </c>
      <c r="BF146" s="88">
        <f t="shared" si="184"/>
        <v>0.61765160037941447</v>
      </c>
      <c r="BG146" s="88">
        <f t="shared" si="184"/>
        <v>0.61765160037941447</v>
      </c>
      <c r="BH146" s="88">
        <f t="shared" si="184"/>
        <v>0.61765160037941447</v>
      </c>
      <c r="BI146" s="88">
        <f t="shared" si="184"/>
        <v>0.61765160037941447</v>
      </c>
      <c r="BJ146" s="88">
        <f t="shared" si="184"/>
        <v>0.61765160037941447</v>
      </c>
      <c r="BK146" s="88">
        <f t="shared" si="184"/>
        <v>0.61765160037941447</v>
      </c>
      <c r="BL146" s="88">
        <f t="shared" si="184"/>
        <v>0.61765160037941447</v>
      </c>
      <c r="BM146" s="88">
        <f t="shared" si="184"/>
        <v>0.61765160037941447</v>
      </c>
      <c r="BN146" s="88">
        <f t="shared" si="184"/>
        <v>0.61765160037941447</v>
      </c>
      <c r="BO146" s="88">
        <f t="shared" si="184"/>
        <v>0.61765160037941447</v>
      </c>
      <c r="BP146" s="88">
        <f t="shared" si="184"/>
        <v>0.61765160037941447</v>
      </c>
      <c r="BQ146" s="88">
        <f t="shared" si="184"/>
        <v>0.61765160037941447</v>
      </c>
      <c r="BR146" s="88">
        <f t="shared" si="184"/>
        <v>0.61765160037941447</v>
      </c>
    </row>
    <row r="147" spans="1:70">
      <c r="A147" t="s">
        <v>16</v>
      </c>
      <c r="E147" s="302">
        <f>((1/(1-H145))-1)</f>
        <v>2.333333333333333</v>
      </c>
      <c r="F147" s="70" t="s">
        <v>780</v>
      </c>
      <c r="I147" s="132"/>
      <c r="M147" s="70"/>
    </row>
    <row r="148" spans="1:70" ht="19.5" thickBot="1">
      <c r="A148" t="s">
        <v>16</v>
      </c>
      <c r="B148" s="140" t="s">
        <v>464</v>
      </c>
      <c r="C148" s="68"/>
      <c r="D148" s="68"/>
      <c r="E148" s="68"/>
      <c r="G148" s="68"/>
      <c r="H148" s="68"/>
      <c r="I148" s="133"/>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row>
    <row r="149" spans="1:70">
      <c r="A149" t="s">
        <v>16</v>
      </c>
      <c r="B149" s="139"/>
      <c r="C149" s="139"/>
      <c r="D149" s="139"/>
      <c r="E149" s="139"/>
      <c r="F149" s="139"/>
      <c r="G149" s="139"/>
      <c r="H149" s="139"/>
      <c r="I149" s="138"/>
      <c r="J149" s="139"/>
      <c r="K149" s="139"/>
      <c r="M149" s="70"/>
    </row>
    <row r="150" spans="1:70" ht="15.75" thickBot="1">
      <c r="A150" t="s">
        <v>16</v>
      </c>
      <c r="B150" s="68" t="s">
        <v>478</v>
      </c>
      <c r="C150" s="139"/>
      <c r="D150" s="139"/>
      <c r="E150" s="139"/>
      <c r="F150" s="139"/>
      <c r="G150" s="139"/>
      <c r="H150" s="139"/>
      <c r="I150" s="138"/>
      <c r="J150" s="139"/>
      <c r="K150" s="139"/>
      <c r="M150" s="70"/>
    </row>
    <row r="151" spans="1:70">
      <c r="A151" t="s">
        <v>16</v>
      </c>
      <c r="B151" s="70" t="str">
        <f>B92</f>
        <v>CEC</v>
      </c>
      <c r="C151" s="70" t="str">
        <f>C92</f>
        <v>Commercial - Cooling</v>
      </c>
      <c r="D151" s="139"/>
      <c r="E151" s="139"/>
      <c r="F151" s="139"/>
      <c r="G151" s="139"/>
      <c r="H151" s="139"/>
      <c r="I151" s="138"/>
      <c r="J151" s="139"/>
      <c r="K151" s="139"/>
      <c r="L151" s="137">
        <f t="shared" ref="L151:AX157" si="185">L92*L$34/1000</f>
        <v>27.932878870776872</v>
      </c>
      <c r="M151" s="137">
        <f t="shared" si="185"/>
        <v>27.490930572142364</v>
      </c>
      <c r="N151" s="137">
        <f t="shared" si="185"/>
        <v>27.116362938452365</v>
      </c>
      <c r="O151" s="137">
        <f t="shared" si="185"/>
        <v>26.687240817742442</v>
      </c>
      <c r="P151" s="137">
        <f t="shared" si="185"/>
        <v>26.232059419977539</v>
      </c>
      <c r="Q151" s="137">
        <f t="shared" si="185"/>
        <v>25.682543867083599</v>
      </c>
      <c r="R151" s="137">
        <f>R92*R$34/1000</f>
        <v>25.867296957823559</v>
      </c>
      <c r="S151" s="137">
        <f>S92*S$34/1000</f>
        <v>26.019629889666199</v>
      </c>
      <c r="T151" s="137">
        <f t="shared" si="185"/>
        <v>26.019629889666199</v>
      </c>
      <c r="U151" s="137">
        <f t="shared" si="185"/>
        <v>25.389119384071318</v>
      </c>
      <c r="V151" s="137">
        <f t="shared" si="185"/>
        <v>24.37522102152197</v>
      </c>
      <c r="W151" s="137">
        <f t="shared" si="185"/>
        <v>23.166880140992077</v>
      </c>
      <c r="X151" s="137">
        <f t="shared" si="185"/>
        <v>22.034154370507181</v>
      </c>
      <c r="Y151" s="137">
        <f t="shared" si="185"/>
        <v>20.900151142702132</v>
      </c>
      <c r="Z151" s="137">
        <f t="shared" si="185"/>
        <v>19.780704889673363</v>
      </c>
      <c r="AA151" s="137">
        <f t="shared" si="185"/>
        <v>18.662988466209001</v>
      </c>
      <c r="AB151" s="137">
        <f t="shared" si="185"/>
        <v>17.543853367929575</v>
      </c>
      <c r="AC151" s="137">
        <f t="shared" si="185"/>
        <v>16.434756754026132</v>
      </c>
      <c r="AD151" s="137">
        <f t="shared" si="185"/>
        <v>15.330446989835137</v>
      </c>
      <c r="AE151" s="137">
        <f t="shared" si="185"/>
        <v>15.53004888264212</v>
      </c>
      <c r="AF151" s="137">
        <f t="shared" si="185"/>
        <v>15.737061387977803</v>
      </c>
      <c r="AG151" s="137">
        <f t="shared" si="185"/>
        <v>15.953111421928252</v>
      </c>
      <c r="AH151" s="137">
        <f t="shared" si="185"/>
        <v>16.196082681187612</v>
      </c>
      <c r="AI151" s="137">
        <f t="shared" si="185"/>
        <v>16.448774984826553</v>
      </c>
      <c r="AJ151" s="137">
        <f t="shared" si="185"/>
        <v>16.711524252386891</v>
      </c>
      <c r="AK151" s="137">
        <f t="shared" si="185"/>
        <v>16.985606946652702</v>
      </c>
      <c r="AL151" s="137">
        <f t="shared" si="185"/>
        <v>17.266811425210484</v>
      </c>
      <c r="AM151" s="137">
        <f t="shared" si="185"/>
        <v>17.546622698193676</v>
      </c>
      <c r="AN151" s="137">
        <f t="shared" si="185"/>
        <v>17.821971887913353</v>
      </c>
      <c r="AO151" s="137">
        <f t="shared" si="185"/>
        <v>18.116277097252969</v>
      </c>
      <c r="AP151" s="137">
        <f t="shared" si="185"/>
        <v>18.404695439875006</v>
      </c>
      <c r="AQ151" s="137">
        <f t="shared" si="185"/>
        <v>18.687544725538306</v>
      </c>
      <c r="AR151" s="137">
        <f t="shared" si="185"/>
        <v>18.965115530264633</v>
      </c>
      <c r="AS151" s="137">
        <f t="shared" si="185"/>
        <v>19.237674337514424</v>
      </c>
      <c r="AT151" s="137">
        <f t="shared" si="185"/>
        <v>19.560390729590829</v>
      </c>
      <c r="AU151" s="137">
        <f t="shared" si="185"/>
        <v>19.876553423219594</v>
      </c>
      <c r="AV151" s="137">
        <f t="shared" si="185"/>
        <v>20.186521438556678</v>
      </c>
      <c r="AW151" s="137">
        <f t="shared" si="185"/>
        <v>20.490622592935242</v>
      </c>
      <c r="AX151" s="137">
        <f t="shared" si="185"/>
        <v>20.789157149359401</v>
      </c>
      <c r="AY151" s="137">
        <f t="shared" ref="AY151:BR156" si="186">AY92*AY$34/1000</f>
        <v>21.066154576496555</v>
      </c>
      <c r="AZ151" s="137">
        <f t="shared" si="186"/>
        <v>21.338650242986066</v>
      </c>
      <c r="BA151" s="137">
        <f t="shared" si="186"/>
        <v>21.606842904219999</v>
      </c>
      <c r="BB151" s="137">
        <f t="shared" si="186"/>
        <v>21.870917301259333</v>
      </c>
      <c r="BC151" s="137">
        <f t="shared" si="186"/>
        <v>22.131045498578114</v>
      </c>
      <c r="BD151" s="137">
        <f t="shared" si="186"/>
        <v>22.387388062486988</v>
      </c>
      <c r="BE151" s="137">
        <f t="shared" si="186"/>
        <v>22.640095102785232</v>
      </c>
      <c r="BF151" s="137">
        <f t="shared" si="186"/>
        <v>22.889307196518143</v>
      </c>
      <c r="BG151" s="137">
        <f t="shared" si="186"/>
        <v>23.135156209717199</v>
      </c>
      <c r="BH151" s="137">
        <f t="shared" si="186"/>
        <v>23.377766030536606</v>
      </c>
      <c r="BI151" s="137">
        <f t="shared" si="186"/>
        <v>23.470595683561339</v>
      </c>
      <c r="BJ151" s="137">
        <f t="shared" si="186"/>
        <v>23.562966319469766</v>
      </c>
      <c r="BK151" s="137">
        <f t="shared" si="186"/>
        <v>23.654884228334055</v>
      </c>
      <c r="BL151" s="137">
        <f t="shared" si="186"/>
        <v>23.746355559900316</v>
      </c>
      <c r="BM151" s="137">
        <f t="shared" si="186"/>
        <v>23.837386327905914</v>
      </c>
      <c r="BN151" s="137">
        <f t="shared" si="186"/>
        <v>23.927982414227994</v>
      </c>
      <c r="BO151" s="137">
        <f t="shared" si="186"/>
        <v>24.018149572871341</v>
      </c>
      <c r="BP151" s="137">
        <f t="shared" si="186"/>
        <v>24.107893433802975</v>
      </c>
      <c r="BQ151" s="137">
        <f t="shared" si="186"/>
        <v>24.197219506640703</v>
      </c>
      <c r="BR151" s="137">
        <f t="shared" si="186"/>
        <v>24.286133184202264</v>
      </c>
    </row>
    <row r="152" spans="1:70">
      <c r="A152" t="s">
        <v>16</v>
      </c>
      <c r="B152" s="70" t="str">
        <f t="shared" ref="B152:C159" si="187">B93</f>
        <v>CEH</v>
      </c>
      <c r="C152" s="70" t="str">
        <f t="shared" si="187"/>
        <v>Commercial - Space Heating</v>
      </c>
      <c r="D152" s="139"/>
      <c r="E152" s="139"/>
      <c r="F152" s="139"/>
      <c r="G152" s="139"/>
      <c r="H152" s="139"/>
      <c r="I152" s="138"/>
      <c r="J152" s="139"/>
      <c r="K152" s="139"/>
      <c r="L152" s="137">
        <f t="shared" si="185"/>
        <v>1.5703509815003798</v>
      </c>
      <c r="M152" s="137">
        <f t="shared" si="185"/>
        <v>1.7292973417451953</v>
      </c>
      <c r="N152" s="137">
        <f t="shared" si="185"/>
        <v>1.8963958124622828</v>
      </c>
      <c r="O152" s="137">
        <f t="shared" si="185"/>
        <v>2.0639865113263145</v>
      </c>
      <c r="P152" s="137">
        <f t="shared" si="185"/>
        <v>2.2336031445521205</v>
      </c>
      <c r="Q152" s="137">
        <f t="shared" si="185"/>
        <v>2.3985815155966002</v>
      </c>
      <c r="R152" s="137">
        <f t="shared" si="185"/>
        <v>2.4158362451394226</v>
      </c>
      <c r="S152" s="137">
        <f t="shared" si="185"/>
        <v>2.4300631440177187</v>
      </c>
      <c r="T152" s="137">
        <f t="shared" si="185"/>
        <v>2.4300631440177187</v>
      </c>
      <c r="U152" s="137">
        <f t="shared" si="185"/>
        <v>2.3373458884412632</v>
      </c>
      <c r="V152" s="137">
        <f t="shared" si="185"/>
        <v>2.2082498396554073</v>
      </c>
      <c r="W152" s="137">
        <f t="shared" si="185"/>
        <v>2.0611898473444277</v>
      </c>
      <c r="X152" s="137">
        <f t="shared" si="185"/>
        <v>1.9206469365509238</v>
      </c>
      <c r="Y152" s="137">
        <f t="shared" si="185"/>
        <v>1.7796026826015028</v>
      </c>
      <c r="Z152" s="137">
        <f t="shared" si="185"/>
        <v>1.6393036902168472</v>
      </c>
      <c r="AA152" s="137">
        <f t="shared" si="185"/>
        <v>1.4985140835982234</v>
      </c>
      <c r="AB152" s="137">
        <f t="shared" si="185"/>
        <v>1.35683853401659</v>
      </c>
      <c r="AC152" s="137">
        <f t="shared" si="185"/>
        <v>1.2149571318713286</v>
      </c>
      <c r="AD152" s="137">
        <f t="shared" si="185"/>
        <v>1.0721421431290834</v>
      </c>
      <c r="AE152" s="137">
        <f t="shared" si="185"/>
        <v>1.0861013969765803</v>
      </c>
      <c r="AF152" s="137">
        <f t="shared" si="185"/>
        <v>1.1005789155559327</v>
      </c>
      <c r="AG152" s="137">
        <f t="shared" si="185"/>
        <v>1.1156884780218108</v>
      </c>
      <c r="AH152" s="137">
        <f t="shared" si="185"/>
        <v>1.1326807892566904</v>
      </c>
      <c r="AI152" s="137">
        <f t="shared" si="185"/>
        <v>1.1503529463800488</v>
      </c>
      <c r="AJ152" s="137">
        <f t="shared" si="185"/>
        <v>1.16872844208572</v>
      </c>
      <c r="AK152" s="137">
        <f t="shared" si="185"/>
        <v>1.1878965464090696</v>
      </c>
      <c r="AL152" s="137">
        <f t="shared" si="185"/>
        <v>1.2075627161233866</v>
      </c>
      <c r="AM152" s="137">
        <f t="shared" si="185"/>
        <v>1.2271314513394433</v>
      </c>
      <c r="AN152" s="137">
        <f t="shared" si="185"/>
        <v>1.246388128628152</v>
      </c>
      <c r="AO152" s="137">
        <f t="shared" si="185"/>
        <v>1.2669705042160684</v>
      </c>
      <c r="AP152" s="137">
        <f t="shared" si="185"/>
        <v>1.287141178964271</v>
      </c>
      <c r="AQ152" s="137">
        <f t="shared" si="185"/>
        <v>1.3069223790502602</v>
      </c>
      <c r="AR152" s="137">
        <f t="shared" si="185"/>
        <v>1.3263344260471073</v>
      </c>
      <c r="AS152" s="137">
        <f t="shared" si="185"/>
        <v>1.3453959566030822</v>
      </c>
      <c r="AT152" s="137">
        <f t="shared" si="185"/>
        <v>1.3679652818453987</v>
      </c>
      <c r="AU152" s="137">
        <f t="shared" si="185"/>
        <v>1.3900762710519994</v>
      </c>
      <c r="AV152" s="137">
        <f t="shared" si="185"/>
        <v>1.4117540324692186</v>
      </c>
      <c r="AW152" s="137">
        <f t="shared" si="185"/>
        <v>1.4330214921590527</v>
      </c>
      <c r="AX152" s="137">
        <f t="shared" si="185"/>
        <v>1.453899649158318</v>
      </c>
      <c r="AY152" s="137">
        <f t="shared" si="186"/>
        <v>1.4732715967192067</v>
      </c>
      <c r="AZ152" s="137">
        <f t="shared" si="186"/>
        <v>1.4923287114959098</v>
      </c>
      <c r="BA152" s="137">
        <f t="shared" si="186"/>
        <v>1.5110848935418408</v>
      </c>
      <c r="BB152" s="137">
        <f t="shared" si="186"/>
        <v>1.5295530628114644</v>
      </c>
      <c r="BC152" s="137">
        <f t="shared" si="186"/>
        <v>1.5477452527160762</v>
      </c>
      <c r="BD152" s="137">
        <f t="shared" si="186"/>
        <v>1.5656726925374129</v>
      </c>
      <c r="BE152" s="137">
        <f t="shared" si="186"/>
        <v>1.5833458802760885</v>
      </c>
      <c r="BF152" s="137">
        <f t="shared" si="186"/>
        <v>1.6007746472550066</v>
      </c>
      <c r="BG152" s="137">
        <f t="shared" si="186"/>
        <v>1.6179682155881525</v>
      </c>
      <c r="BH152" s="137">
        <f t="shared" si="186"/>
        <v>1.6349352494528497</v>
      </c>
      <c r="BI152" s="137">
        <f t="shared" si="186"/>
        <v>1.6414273356396298</v>
      </c>
      <c r="BJ152" s="137">
        <f t="shared" si="186"/>
        <v>1.6478873202448221</v>
      </c>
      <c r="BK152" s="137">
        <f t="shared" si="186"/>
        <v>1.6543156431676336</v>
      </c>
      <c r="BL152" s="137">
        <f t="shared" si="186"/>
        <v>1.6607127344934998</v>
      </c>
      <c r="BM152" s="137">
        <f t="shared" si="186"/>
        <v>1.6670790147960195</v>
      </c>
      <c r="BN152" s="137">
        <f t="shared" si="186"/>
        <v>1.673414895427084</v>
      </c>
      <c r="BO152" s="137">
        <f t="shared" si="186"/>
        <v>1.6797207787957709</v>
      </c>
      <c r="BP152" s="137">
        <f t="shared" si="186"/>
        <v>1.6859970586365167</v>
      </c>
      <c r="BQ152" s="137">
        <f t="shared" si="186"/>
        <v>1.6922441202670775</v>
      </c>
      <c r="BR152" s="137">
        <f t="shared" si="186"/>
        <v>1.6984623408367416</v>
      </c>
    </row>
    <row r="153" spans="1:70">
      <c r="A153" t="s">
        <v>16</v>
      </c>
      <c r="B153" s="70" t="str">
        <f t="shared" si="187"/>
        <v>CEK</v>
      </c>
      <c r="C153" s="70" t="str">
        <f t="shared" si="187"/>
        <v>Commercial - Cooking</v>
      </c>
      <c r="D153" s="139"/>
      <c r="E153" s="139"/>
      <c r="F153" s="139"/>
      <c r="G153" s="139"/>
      <c r="H153" s="139"/>
      <c r="I153" s="138"/>
      <c r="J153" s="139"/>
      <c r="K153" s="139"/>
      <c r="L153" s="137">
        <f t="shared" si="185"/>
        <v>1.9788999513059524</v>
      </c>
      <c r="M153" s="137">
        <f t="shared" si="185"/>
        <v>1.9424161516034018</v>
      </c>
      <c r="N153" s="137">
        <f t="shared" si="185"/>
        <v>1.9105830681136839</v>
      </c>
      <c r="O153" s="137">
        <f t="shared" si="185"/>
        <v>1.8747848838224754</v>
      </c>
      <c r="P153" s="137">
        <f t="shared" si="185"/>
        <v>1.837042258512787</v>
      </c>
      <c r="Q153" s="137">
        <f t="shared" si="185"/>
        <v>1.792597823160518</v>
      </c>
      <c r="R153" s="137">
        <f t="shared" si="185"/>
        <v>1.8054932742496563</v>
      </c>
      <c r="S153" s="137">
        <f t="shared" si="185"/>
        <v>1.8161258534610465</v>
      </c>
      <c r="T153" s="137">
        <f t="shared" si="185"/>
        <v>1.8161258534610465</v>
      </c>
      <c r="U153" s="137">
        <f t="shared" si="185"/>
        <v>1.7730697116982772</v>
      </c>
      <c r="V153" s="137">
        <f t="shared" si="185"/>
        <v>1.703269877860754</v>
      </c>
      <c r="W153" s="137">
        <f t="shared" si="185"/>
        <v>1.6198927777137688</v>
      </c>
      <c r="X153" s="137">
        <f t="shared" si="185"/>
        <v>1.5418088225910409</v>
      </c>
      <c r="Y153" s="137">
        <f t="shared" si="185"/>
        <v>1.4636464580896786</v>
      </c>
      <c r="Z153" s="137">
        <f t="shared" si="185"/>
        <v>1.3865174381902476</v>
      </c>
      <c r="AA153" s="137">
        <f t="shared" si="185"/>
        <v>1.309527517072721</v>
      </c>
      <c r="AB153" s="137">
        <f t="shared" si="185"/>
        <v>1.232459785663774</v>
      </c>
      <c r="AC153" s="137">
        <f t="shared" si="185"/>
        <v>1.1561249114228302</v>
      </c>
      <c r="AD153" s="137">
        <f t="shared" si="185"/>
        <v>1.0801630186125954</v>
      </c>
      <c r="AE153" s="137">
        <f t="shared" si="185"/>
        <v>1.094226703983161</v>
      </c>
      <c r="AF153" s="137">
        <f t="shared" si="185"/>
        <v>1.1088125313111059</v>
      </c>
      <c r="AG153" s="137">
        <f t="shared" si="185"/>
        <v>1.1240351309520691</v>
      </c>
      <c r="AH153" s="137">
        <f t="shared" si="185"/>
        <v>1.1411545645218608</v>
      </c>
      <c r="AI153" s="137">
        <f t="shared" si="185"/>
        <v>1.1589589300214309</v>
      </c>
      <c r="AJ153" s="137">
        <f t="shared" si="185"/>
        <v>1.1774718958974033</v>
      </c>
      <c r="AK153" s="137">
        <f t="shared" si="185"/>
        <v>1.1967834000292743</v>
      </c>
      <c r="AL153" s="137">
        <f t="shared" si="185"/>
        <v>1.2165966956629737</v>
      </c>
      <c r="AM153" s="137">
        <f t="shared" si="185"/>
        <v>1.2363118278745628</v>
      </c>
      <c r="AN153" s="137">
        <f t="shared" si="185"/>
        <v>1.2557125676010261</v>
      </c>
      <c r="AO153" s="137">
        <f t="shared" si="185"/>
        <v>1.27644892339838</v>
      </c>
      <c r="AP153" s="137">
        <f t="shared" si="185"/>
        <v>1.2967704983528758</v>
      </c>
      <c r="AQ153" s="137">
        <f t="shared" si="185"/>
        <v>1.3166996849197816</v>
      </c>
      <c r="AR153" s="137">
        <f t="shared" si="185"/>
        <v>1.3362569567012708</v>
      </c>
      <c r="AS153" s="137">
        <f t="shared" si="185"/>
        <v>1.3554610897695101</v>
      </c>
      <c r="AT153" s="137">
        <f t="shared" si="185"/>
        <v>1.3781992599254194</v>
      </c>
      <c r="AU153" s="137">
        <f t="shared" si="185"/>
        <v>1.4004756651567327</v>
      </c>
      <c r="AV153" s="137">
        <f t="shared" si="185"/>
        <v>1.4223156015487937</v>
      </c>
      <c r="AW153" s="137">
        <f t="shared" si="185"/>
        <v>1.4437421666773198</v>
      </c>
      <c r="AX153" s="137">
        <f t="shared" si="185"/>
        <v>1.4647765166764493</v>
      </c>
      <c r="AY153" s="137">
        <f t="shared" si="186"/>
        <v>1.4842933890313637</v>
      </c>
      <c r="AZ153" s="137">
        <f t="shared" si="186"/>
        <v>1.5034930732851444</v>
      </c>
      <c r="BA153" s="137">
        <f t="shared" si="186"/>
        <v>1.5223895734798401</v>
      </c>
      <c r="BB153" s="137">
        <f t="shared" si="186"/>
        <v>1.540995906226265</v>
      </c>
      <c r="BC153" s="137">
        <f t="shared" si="186"/>
        <v>1.5593241949596865</v>
      </c>
      <c r="BD153" s="137">
        <f t="shared" si="186"/>
        <v>1.5773857529699844</v>
      </c>
      <c r="BE153" s="137">
        <f t="shared" si="186"/>
        <v>1.5951911567950781</v>
      </c>
      <c r="BF153" s="137">
        <f t="shared" si="186"/>
        <v>1.61275031130765</v>
      </c>
      <c r="BG153" s="137">
        <f t="shared" si="186"/>
        <v>1.6300725076138693</v>
      </c>
      <c r="BH153" s="137">
        <f t="shared" si="186"/>
        <v>1.6471664747092258</v>
      </c>
      <c r="BI153" s="137">
        <f t="shared" si="186"/>
        <v>1.6537071292833843</v>
      </c>
      <c r="BJ153" s="137">
        <f t="shared" si="186"/>
        <v>1.660215442118631</v>
      </c>
      <c r="BK153" s="137">
        <f t="shared" si="186"/>
        <v>1.6666918564051316</v>
      </c>
      <c r="BL153" s="137">
        <f t="shared" si="186"/>
        <v>1.6731368054458633</v>
      </c>
      <c r="BM153" s="137">
        <f t="shared" si="186"/>
        <v>1.6795507129608069</v>
      </c>
      <c r="BN153" s="137">
        <f t="shared" si="186"/>
        <v>1.685933993379247</v>
      </c>
      <c r="BO153" s="137">
        <f t="shared" si="186"/>
        <v>1.6922870521207496</v>
      </c>
      <c r="BP153" s="137">
        <f t="shared" si="186"/>
        <v>1.6986102858653456</v>
      </c>
      <c r="BQ153" s="137">
        <f t="shared" si="186"/>
        <v>1.7049040828134179</v>
      </c>
      <c r="BR153" s="137">
        <f t="shared" si="186"/>
        <v>1.711168822935772</v>
      </c>
    </row>
    <row r="154" spans="1:70">
      <c r="A154" t="s">
        <v>16</v>
      </c>
      <c r="B154" s="70" t="str">
        <f t="shared" si="187"/>
        <v>CEL</v>
      </c>
      <c r="C154" s="70" t="str">
        <f t="shared" si="187"/>
        <v>Commercial - Lighting</v>
      </c>
      <c r="D154" s="139"/>
      <c r="E154" s="139"/>
      <c r="F154" s="139"/>
      <c r="G154" s="139"/>
      <c r="H154" s="139"/>
      <c r="I154" s="138"/>
      <c r="J154" s="139"/>
      <c r="K154" s="139"/>
      <c r="L154" s="137">
        <f t="shared" si="185"/>
        <v>24.308054381137783</v>
      </c>
      <c r="M154" s="137">
        <f t="shared" si="185"/>
        <v>23.923457314485315</v>
      </c>
      <c r="N154" s="137">
        <f t="shared" si="185"/>
        <v>23.597496984679267</v>
      </c>
      <c r="O154" s="137">
        <f t="shared" si="185"/>
        <v>23.224061654414069</v>
      </c>
      <c r="P154" s="137">
        <f t="shared" si="185"/>
        <v>22.827948735966284</v>
      </c>
      <c r="Q154" s="137">
        <f t="shared" si="185"/>
        <v>22.349743320590999</v>
      </c>
      <c r="R154" s="137">
        <f t="shared" si="185"/>
        <v>22.510521169432373</v>
      </c>
      <c r="S154" s="137">
        <f t="shared" si="185"/>
        <v>22.643085994146627</v>
      </c>
      <c r="T154" s="137">
        <f t="shared" si="185"/>
        <v>22.643085994146627</v>
      </c>
      <c r="U154" s="137">
        <f t="shared" si="185"/>
        <v>22.094396268007682</v>
      </c>
      <c r="V154" s="137">
        <f t="shared" si="185"/>
        <v>21.212070581213535</v>
      </c>
      <c r="W154" s="137">
        <f t="shared" si="185"/>
        <v>20.160535006568502</v>
      </c>
      <c r="X154" s="137">
        <f t="shared" si="185"/>
        <v>19.174802037358905</v>
      </c>
      <c r="Y154" s="137">
        <f t="shared" si="185"/>
        <v>18.187957385313048</v>
      </c>
      <c r="Z154" s="137">
        <f t="shared" si="185"/>
        <v>17.213780662560257</v>
      </c>
      <c r="AA154" s="137">
        <f t="shared" si="185"/>
        <v>16.241109290949979</v>
      </c>
      <c r="AB154" s="137">
        <f t="shared" si="185"/>
        <v>15.267203344675435</v>
      </c>
      <c r="AC154" s="137">
        <f t="shared" si="185"/>
        <v>14.302033197716261</v>
      </c>
      <c r="AD154" s="137">
        <f t="shared" si="185"/>
        <v>13.341028715301116</v>
      </c>
      <c r="AE154" s="137">
        <f t="shared" si="185"/>
        <v>13.514728450562068</v>
      </c>
      <c r="AF154" s="137">
        <f t="shared" si="185"/>
        <v>13.694877129849825</v>
      </c>
      <c r="AG154" s="137">
        <f t="shared" si="185"/>
        <v>13.882890545817791</v>
      </c>
      <c r="AH154" s="137">
        <f t="shared" si="185"/>
        <v>14.094331643975023</v>
      </c>
      <c r="AI154" s="137">
        <f t="shared" si="185"/>
        <v>14.314232295353161</v>
      </c>
      <c r="AJ154" s="137">
        <f t="shared" si="185"/>
        <v>14.542884827518138</v>
      </c>
      <c r="AK154" s="137">
        <f t="shared" si="185"/>
        <v>14.781400057830194</v>
      </c>
      <c r="AL154" s="137">
        <f t="shared" si="185"/>
        <v>15.026112884912024</v>
      </c>
      <c r="AM154" s="137">
        <f t="shared" si="185"/>
        <v>15.269613301449708</v>
      </c>
      <c r="AN154" s="137">
        <f t="shared" si="185"/>
        <v>15.509230675243229</v>
      </c>
      <c r="AO154" s="137">
        <f t="shared" si="185"/>
        <v>15.765344163092989</v>
      </c>
      <c r="AP154" s="137">
        <f t="shared" si="185"/>
        <v>16.016334717607897</v>
      </c>
      <c r="AQ154" s="137">
        <f t="shared" si="185"/>
        <v>16.262478906661126</v>
      </c>
      <c r="AR154" s="137">
        <f t="shared" si="185"/>
        <v>16.504029598486255</v>
      </c>
      <c r="AS154" s="137">
        <f t="shared" si="185"/>
        <v>16.741218695225488</v>
      </c>
      <c r="AT154" s="137">
        <f t="shared" si="185"/>
        <v>17.022056472261241</v>
      </c>
      <c r="AU154" s="137">
        <f t="shared" si="185"/>
        <v>17.297191018384062</v>
      </c>
      <c r="AV154" s="137">
        <f t="shared" si="185"/>
        <v>17.566934764028197</v>
      </c>
      <c r="AW154" s="137">
        <f t="shared" si="185"/>
        <v>17.831572985967231</v>
      </c>
      <c r="AX154" s="137">
        <f t="shared" si="185"/>
        <v>18.091366982346148</v>
      </c>
      <c r="AY154" s="137">
        <f t="shared" si="186"/>
        <v>18.332418703274541</v>
      </c>
      <c r="AZ154" s="137">
        <f t="shared" si="186"/>
        <v>18.569552852972993</v>
      </c>
      <c r="BA154" s="137">
        <f t="shared" si="186"/>
        <v>18.802942394525648</v>
      </c>
      <c r="BB154" s="137">
        <f t="shared" si="186"/>
        <v>19.03274809531268</v>
      </c>
      <c r="BC154" s="137">
        <f t="shared" si="186"/>
        <v>19.259119691156588</v>
      </c>
      <c r="BD154" s="137">
        <f t="shared" si="186"/>
        <v>19.482196911822744</v>
      </c>
      <c r="BE154" s="137">
        <f t="shared" si="186"/>
        <v>19.702110387497196</v>
      </c>
      <c r="BF154" s="137">
        <f t="shared" si="186"/>
        <v>19.918982452668914</v>
      </c>
      <c r="BG154" s="137">
        <f t="shared" si="186"/>
        <v>20.132927861233437</v>
      </c>
      <c r="BH154" s="137">
        <f t="shared" si="186"/>
        <v>20.344054424490974</v>
      </c>
      <c r="BI154" s="137">
        <f t="shared" si="186"/>
        <v>20.424837657194857</v>
      </c>
      <c r="BJ154" s="137">
        <f t="shared" si="186"/>
        <v>20.505221439019486</v>
      </c>
      <c r="BK154" s="137">
        <f t="shared" si="186"/>
        <v>20.585211243780037</v>
      </c>
      <c r="BL154" s="137">
        <f t="shared" si="186"/>
        <v>20.664812423175622</v>
      </c>
      <c r="BM154" s="137">
        <f t="shared" si="186"/>
        <v>20.744030210546327</v>
      </c>
      <c r="BN154" s="137">
        <f t="shared" si="186"/>
        <v>20.822869724483404</v>
      </c>
      <c r="BO154" s="137">
        <f t="shared" si="186"/>
        <v>20.901335972299634</v>
      </c>
      <c r="BP154" s="137">
        <f t="shared" si="186"/>
        <v>20.979433853366299</v>
      </c>
      <c r="BQ154" s="137">
        <f t="shared" si="186"/>
        <v>21.05716816232307</v>
      </c>
      <c r="BR154" s="137">
        <f t="shared" si="186"/>
        <v>21.134543592166587</v>
      </c>
    </row>
    <row r="155" spans="1:70">
      <c r="A155" t="s">
        <v>16</v>
      </c>
      <c r="B155" s="70" t="str">
        <f t="shared" si="187"/>
        <v>CER</v>
      </c>
      <c r="C155" s="70" t="str">
        <f t="shared" si="187"/>
        <v>Commercial - Refrigeration</v>
      </c>
      <c r="D155" s="139"/>
      <c r="E155" s="139"/>
      <c r="F155" s="139"/>
      <c r="G155" s="139"/>
      <c r="H155" s="139"/>
      <c r="I155" s="138"/>
      <c r="J155" s="139"/>
      <c r="K155" s="139"/>
      <c r="L155" s="137">
        <f t="shared" si="185"/>
        <v>5.9132780747494111</v>
      </c>
      <c r="M155" s="137">
        <f t="shared" si="185"/>
        <v>5.8197193980165824</v>
      </c>
      <c r="N155" s="137">
        <f t="shared" si="185"/>
        <v>5.7404249369602596</v>
      </c>
      <c r="O155" s="137">
        <f t="shared" si="185"/>
        <v>5.6495815104905782</v>
      </c>
      <c r="P155" s="137">
        <f t="shared" si="185"/>
        <v>5.5532214399124999</v>
      </c>
      <c r="Q155" s="137">
        <f t="shared" si="185"/>
        <v>5.4368912082276806</v>
      </c>
      <c r="R155" s="137">
        <f t="shared" si="185"/>
        <v>5.4760026942212612</v>
      </c>
      <c r="S155" s="137">
        <f t="shared" si="185"/>
        <v>5.5082509630121219</v>
      </c>
      <c r="T155" s="137">
        <f t="shared" si="185"/>
        <v>5.5082509630121219</v>
      </c>
      <c r="U155" s="137">
        <f t="shared" si="185"/>
        <v>5.3747744257070469</v>
      </c>
      <c r="V155" s="137">
        <f t="shared" si="185"/>
        <v>5.1601362215669164</v>
      </c>
      <c r="W155" s="137">
        <f t="shared" si="185"/>
        <v>4.9043353186697889</v>
      </c>
      <c r="X155" s="137">
        <f t="shared" si="185"/>
        <v>4.6645418303473409</v>
      </c>
      <c r="Y155" s="137">
        <f t="shared" si="185"/>
        <v>4.4244779094498039</v>
      </c>
      <c r="Z155" s="137">
        <f t="shared" si="185"/>
        <v>4.1874956415454099</v>
      </c>
      <c r="AA155" s="137">
        <f t="shared" si="185"/>
        <v>3.9508795716001894</v>
      </c>
      <c r="AB155" s="137">
        <f t="shared" si="185"/>
        <v>3.7139631739043648</v>
      </c>
      <c r="AC155" s="137">
        <f t="shared" si="185"/>
        <v>3.4791718829631582</v>
      </c>
      <c r="AD155" s="137">
        <f t="shared" si="185"/>
        <v>3.2453939488471701</v>
      </c>
      <c r="AE155" s="137">
        <f t="shared" si="185"/>
        <v>3.2876488664972383</v>
      </c>
      <c r="AF155" s="137">
        <f t="shared" si="185"/>
        <v>3.3314725810045571</v>
      </c>
      <c r="AG155" s="137">
        <f t="shared" si="185"/>
        <v>3.377209503958984</v>
      </c>
      <c r="AH155" s="137">
        <f t="shared" si="185"/>
        <v>3.4286455419992929</v>
      </c>
      <c r="AI155" s="137">
        <f t="shared" si="185"/>
        <v>3.4821394860241366</v>
      </c>
      <c r="AJ155" s="137">
        <f t="shared" si="185"/>
        <v>3.5377624488490138</v>
      </c>
      <c r="AK155" s="137">
        <f t="shared" si="185"/>
        <v>3.5957846525097272</v>
      </c>
      <c r="AL155" s="137">
        <f t="shared" si="185"/>
        <v>3.6553145092520172</v>
      </c>
      <c r="AM155" s="137">
        <f t="shared" si="185"/>
        <v>3.7145494299794426</v>
      </c>
      <c r="AN155" s="137">
        <f t="shared" si="185"/>
        <v>3.7728397456322553</v>
      </c>
      <c r="AO155" s="137">
        <f t="shared" si="185"/>
        <v>3.8351429743729626</v>
      </c>
      <c r="AP155" s="137">
        <f t="shared" si="185"/>
        <v>3.8961999771141564</v>
      </c>
      <c r="AQ155" s="137">
        <f t="shared" si="185"/>
        <v>3.9560780329031409</v>
      </c>
      <c r="AR155" s="137">
        <f t="shared" si="185"/>
        <v>4.0148386555146516</v>
      </c>
      <c r="AS155" s="137">
        <f t="shared" si="185"/>
        <v>4.0725382584251193</v>
      </c>
      <c r="AT155" s="137">
        <f t="shared" si="185"/>
        <v>4.1408560202446543</v>
      </c>
      <c r="AU155" s="137">
        <f t="shared" si="185"/>
        <v>4.2077863904702806</v>
      </c>
      <c r="AV155" s="137">
        <f t="shared" si="185"/>
        <v>4.2734053722245742</v>
      </c>
      <c r="AW155" s="137">
        <f t="shared" si="185"/>
        <v>4.3377823631180554</v>
      </c>
      <c r="AX155" s="137">
        <f t="shared" si="185"/>
        <v>4.4009809276206537</v>
      </c>
      <c r="AY155" s="137">
        <f t="shared" si="186"/>
        <v>4.4596201685034025</v>
      </c>
      <c r="AZ155" s="137">
        <f t="shared" si="186"/>
        <v>4.5173064047689531</v>
      </c>
      <c r="BA155" s="137">
        <f t="shared" si="186"/>
        <v>4.5740817121341539</v>
      </c>
      <c r="BB155" s="137">
        <f t="shared" si="186"/>
        <v>4.6299851995383481</v>
      </c>
      <c r="BC155" s="137">
        <f t="shared" si="186"/>
        <v>4.6850532923384254</v>
      </c>
      <c r="BD155" s="137">
        <f t="shared" si="186"/>
        <v>4.7393199817763421</v>
      </c>
      <c r="BE155" s="137">
        <f t="shared" si="186"/>
        <v>4.7928170454926704</v>
      </c>
      <c r="BF155" s="137">
        <f t="shared" si="186"/>
        <v>4.845574243082317</v>
      </c>
      <c r="BG155" s="137">
        <f t="shared" si="186"/>
        <v>4.8976194900536072</v>
      </c>
      <c r="BH155" s="137">
        <f t="shared" si="186"/>
        <v>4.9489790130303515</v>
      </c>
      <c r="BI155" s="137">
        <f t="shared" si="186"/>
        <v>4.9686306770946684</v>
      </c>
      <c r="BJ155" s="137">
        <f t="shared" si="186"/>
        <v>4.9881851690822243</v>
      </c>
      <c r="BK155" s="137">
        <f t="shared" si="186"/>
        <v>5.0076438205759892</v>
      </c>
      <c r="BL155" s="137">
        <f t="shared" si="186"/>
        <v>5.0270079334524747</v>
      </c>
      <c r="BM155" s="137">
        <f t="shared" si="186"/>
        <v>5.0462787807956841</v>
      </c>
      <c r="BN155" s="137">
        <f t="shared" si="186"/>
        <v>5.065457607775345</v>
      </c>
      <c r="BO155" s="137">
        <f t="shared" si="186"/>
        <v>5.0845456324911202</v>
      </c>
      <c r="BP155" s="137">
        <f t="shared" si="186"/>
        <v>5.1035440467843785</v>
      </c>
      <c r="BQ155" s="137">
        <f t="shared" si="186"/>
        <v>5.1224540170190407</v>
      </c>
      <c r="BR155" s="137">
        <f t="shared" si="186"/>
        <v>5.141276684832925</v>
      </c>
    </row>
    <row r="156" spans="1:70">
      <c r="A156" t="s">
        <v>16</v>
      </c>
      <c r="B156" s="70" t="str">
        <f t="shared" si="187"/>
        <v>CEW</v>
      </c>
      <c r="C156" s="70" t="str">
        <f t="shared" si="187"/>
        <v>Commercial - Water Heating</v>
      </c>
      <c r="D156" s="139"/>
      <c r="E156" s="139"/>
      <c r="F156" s="139"/>
      <c r="G156" s="139"/>
      <c r="H156" s="139"/>
      <c r="I156" s="138"/>
      <c r="J156" s="139"/>
      <c r="K156" s="139"/>
      <c r="L156" s="137">
        <f t="shared" si="185"/>
        <v>1.9366218046150063</v>
      </c>
      <c r="M156" s="137">
        <f t="shared" si="185"/>
        <v>2.1173170492838458</v>
      </c>
      <c r="N156" s="137">
        <f t="shared" si="185"/>
        <v>2.3077019533343761</v>
      </c>
      <c r="O156" s="137">
        <f t="shared" si="185"/>
        <v>2.4983971381046683</v>
      </c>
      <c r="P156" s="137">
        <f t="shared" si="185"/>
        <v>2.6912997247099155</v>
      </c>
      <c r="Q156" s="137">
        <f t="shared" si="185"/>
        <v>2.87842676194686</v>
      </c>
      <c r="R156" s="137">
        <f t="shared" si="185"/>
        <v>2.8991333649800541</v>
      </c>
      <c r="S156" s="137">
        <f t="shared" si="185"/>
        <v>2.9162064084453343</v>
      </c>
      <c r="T156" s="137">
        <f t="shared" si="185"/>
        <v>2.9162064084453343</v>
      </c>
      <c r="U156" s="137">
        <f t="shared" si="185"/>
        <v>2.8066386998018453</v>
      </c>
      <c r="V156" s="137">
        <f t="shared" si="185"/>
        <v>2.6534432358023241</v>
      </c>
      <c r="W156" s="137">
        <f t="shared" si="185"/>
        <v>2.478680251101181</v>
      </c>
      <c r="X156" s="137">
        <f t="shared" si="185"/>
        <v>2.3117654613432652</v>
      </c>
      <c r="Y156" s="137">
        <f t="shared" si="185"/>
        <v>2.1442682069373737</v>
      </c>
      <c r="Z156" s="137">
        <f t="shared" si="185"/>
        <v>1.9776961358562724</v>
      </c>
      <c r="AA156" s="137">
        <f t="shared" si="185"/>
        <v>1.8105680330897642</v>
      </c>
      <c r="AB156" s="137">
        <f t="shared" si="185"/>
        <v>1.6424145660132374</v>
      </c>
      <c r="AC156" s="137">
        <f t="shared" si="185"/>
        <v>1.474071450064051</v>
      </c>
      <c r="AD156" s="137">
        <f t="shared" si="185"/>
        <v>1.304677273431966</v>
      </c>
      <c r="AE156" s="137">
        <f t="shared" si="185"/>
        <v>1.3216641266823603</v>
      </c>
      <c r="AF156" s="137">
        <f t="shared" si="185"/>
        <v>1.3392816502422902</v>
      </c>
      <c r="AG156" s="137">
        <f t="shared" si="185"/>
        <v>1.3576683006384758</v>
      </c>
      <c r="AH156" s="137">
        <f t="shared" si="185"/>
        <v>1.3783460460599251</v>
      </c>
      <c r="AI156" s="137">
        <f t="shared" si="185"/>
        <v>1.3998510880164639</v>
      </c>
      <c r="AJ156" s="137">
        <f t="shared" si="185"/>
        <v>1.4222120144933086</v>
      </c>
      <c r="AK156" s="137">
        <f t="shared" si="185"/>
        <v>1.445537457155659</v>
      </c>
      <c r="AL156" s="137">
        <f t="shared" si="185"/>
        <v>1.4694689897851307</v>
      </c>
      <c r="AM156" s="137">
        <f t="shared" si="185"/>
        <v>1.4932819555096983</v>
      </c>
      <c r="AN156" s="137">
        <f t="shared" si="185"/>
        <v>1.5167151815808859</v>
      </c>
      <c r="AO156" s="137">
        <f t="shared" si="185"/>
        <v>1.5417616344555234</v>
      </c>
      <c r="AP156" s="137">
        <f t="shared" si="185"/>
        <v>1.566307093378501</v>
      </c>
      <c r="AQ156" s="137">
        <f t="shared" si="185"/>
        <v>1.5903786051260747</v>
      </c>
      <c r="AR156" s="137">
        <f t="shared" si="185"/>
        <v>1.6140008987835774</v>
      </c>
      <c r="AS156" s="137">
        <f t="shared" si="185"/>
        <v>1.6371966530709969</v>
      </c>
      <c r="AT156" s="137">
        <f t="shared" si="185"/>
        <v>1.6646610018134191</v>
      </c>
      <c r="AU156" s="137">
        <f t="shared" si="185"/>
        <v>1.6915676067779049</v>
      </c>
      <c r="AV156" s="137">
        <f t="shared" si="185"/>
        <v>1.7179470218966713</v>
      </c>
      <c r="AW156" s="137">
        <f t="shared" si="185"/>
        <v>1.743827145627258</v>
      </c>
      <c r="AX156" s="137">
        <f t="shared" si="185"/>
        <v>1.7692335314527299</v>
      </c>
      <c r="AY156" s="137">
        <f t="shared" si="186"/>
        <v>1.7928070285741509</v>
      </c>
      <c r="AZ156" s="137">
        <f t="shared" si="186"/>
        <v>1.8159974093512596</v>
      </c>
      <c r="BA156" s="137">
        <f t="shared" si="186"/>
        <v>1.8388215885969892</v>
      </c>
      <c r="BB156" s="137">
        <f t="shared" si="186"/>
        <v>1.8612952884532885</v>
      </c>
      <c r="BC156" s="137">
        <f t="shared" si="186"/>
        <v>1.883433152238061</v>
      </c>
      <c r="BD156" s="137">
        <f t="shared" si="186"/>
        <v>1.9052488447333249</v>
      </c>
      <c r="BE156" s="137">
        <f t="shared" si="186"/>
        <v>1.9267551408336268</v>
      </c>
      <c r="BF156" s="137">
        <f t="shared" si="186"/>
        <v>1.947964004161181</v>
      </c>
      <c r="BG156" s="137">
        <f t="shared" si="186"/>
        <v>1.968886656998972</v>
      </c>
      <c r="BH156" s="137">
        <f t="shared" si="186"/>
        <v>1.9895336426833656</v>
      </c>
      <c r="BI156" s="137">
        <f t="shared" si="186"/>
        <v>1.9974337866701815</v>
      </c>
      <c r="BJ156" s="137">
        <f t="shared" si="186"/>
        <v>2.0052948666166492</v>
      </c>
      <c r="BK156" s="137">
        <f t="shared" si="186"/>
        <v>2.0131174178309843</v>
      </c>
      <c r="BL156" s="137">
        <f t="shared" si="186"/>
        <v>2.0209019636791381</v>
      </c>
      <c r="BM156" s="137">
        <f t="shared" si="186"/>
        <v>2.0286490159522197</v>
      </c>
      <c r="BN156" s="137">
        <f t="shared" si="186"/>
        <v>2.0363590752195502</v>
      </c>
      <c r="BO156" s="137">
        <f t="shared" si="186"/>
        <v>2.0440326311680432</v>
      </c>
      <c r="BP156" s="137">
        <f t="shared" si="186"/>
        <v>2.0516701629285445</v>
      </c>
      <c r="BQ156" s="137">
        <f t="shared" si="186"/>
        <v>2.0592721393897389</v>
      </c>
      <c r="BR156" s="137">
        <f t="shared" si="186"/>
        <v>2.0668390195001969</v>
      </c>
    </row>
    <row r="157" spans="1:70">
      <c r="A157" t="s">
        <v>16</v>
      </c>
      <c r="B157" s="70" t="str">
        <f t="shared" si="187"/>
        <v>CEG</v>
      </c>
      <c r="C157" s="70" t="str">
        <f t="shared" si="187"/>
        <v>Commercial - Public lights</v>
      </c>
      <c r="D157" s="139"/>
      <c r="E157" s="139"/>
      <c r="F157" s="139"/>
      <c r="G157" s="139"/>
      <c r="H157" s="139"/>
      <c r="I157" s="138"/>
      <c r="J157" s="139"/>
      <c r="K157" s="139"/>
      <c r="L157" s="137">
        <f t="shared" si="185"/>
        <v>10.30055287377321</v>
      </c>
      <c r="M157" s="137">
        <f t="shared" si="185"/>
        <v>10.137579632145703</v>
      </c>
      <c r="N157" s="137">
        <f t="shared" si="185"/>
        <v>9.9994537435297453</v>
      </c>
      <c r="O157" s="137">
        <f t="shared" si="185"/>
        <v>9.8412102945058564</v>
      </c>
      <c r="P157" s="137">
        <f t="shared" si="185"/>
        <v>9.6733572036545379</v>
      </c>
      <c r="Q157" s="137">
        <f t="shared" si="185"/>
        <v>9.4707173671475111</v>
      </c>
      <c r="R157" s="137">
        <f t="shared" si="185"/>
        <v>9.5388470786807869</v>
      </c>
      <c r="S157" s="137">
        <f t="shared" si="185"/>
        <v>9.5950215040281002</v>
      </c>
      <c r="T157" s="137">
        <f t="shared" si="185"/>
        <v>9.5950215040281002</v>
      </c>
      <c r="U157" s="137">
        <f t="shared" si="185"/>
        <v>9.6816157767045059</v>
      </c>
      <c r="V157" s="137">
        <f t="shared" si="185"/>
        <v>9.6322350001341945</v>
      </c>
      <c r="W157" s="137">
        <f t="shared" si="185"/>
        <v>9.5093054380631052</v>
      </c>
      <c r="X157" s="137">
        <f t="shared" si="185"/>
        <v>9.4193990507318315</v>
      </c>
      <c r="Y157" s="137">
        <f t="shared" si="185"/>
        <v>9.3326249745505656</v>
      </c>
      <c r="Z157" s="137">
        <f t="shared" si="185"/>
        <v>9.2570127081242788</v>
      </c>
      <c r="AA157" s="137">
        <f t="shared" si="185"/>
        <v>9.188189617735059</v>
      </c>
      <c r="AB157" s="137">
        <f t="shared" si="185"/>
        <v>9.1259499257437575</v>
      </c>
      <c r="AC157" s="137">
        <f t="shared" si="185"/>
        <v>9.0781964496864234</v>
      </c>
      <c r="AD157" s="137">
        <f t="shared" si="185"/>
        <v>9.045230491445281</v>
      </c>
      <c r="AE157" s="137">
        <f t="shared" si="185"/>
        <v>9.162999081504335</v>
      </c>
      <c r="AF157" s="137">
        <f t="shared" si="185"/>
        <v>9.2851400619085158</v>
      </c>
      <c r="AG157" s="137">
        <f t="shared" si="185"/>
        <v>9.4126133414588207</v>
      </c>
      <c r="AH157" s="137">
        <f t="shared" si="185"/>
        <v>9.5559706124017243</v>
      </c>
      <c r="AI157" s="137">
        <f t="shared" ref="M157:AX159" si="188">AI98*AI$34/1000</f>
        <v>9.7050634686859549</v>
      </c>
      <c r="AJ157" s="137">
        <f t="shared" si="188"/>
        <v>9.8600901086865704</v>
      </c>
      <c r="AK157" s="137">
        <f t="shared" si="188"/>
        <v>10.021803667658098</v>
      </c>
      <c r="AL157" s="137">
        <f t="shared" si="188"/>
        <v>10.187719203289143</v>
      </c>
      <c r="AM157" s="137">
        <f t="shared" si="188"/>
        <v>10.352812723387796</v>
      </c>
      <c r="AN157" s="137">
        <f t="shared" si="188"/>
        <v>10.515273536715586</v>
      </c>
      <c r="AO157" s="137">
        <f t="shared" si="188"/>
        <v>10.688918731475722</v>
      </c>
      <c r="AP157" s="137">
        <f t="shared" si="188"/>
        <v>10.859090572434223</v>
      </c>
      <c r="AQ157" s="137">
        <f t="shared" si="188"/>
        <v>11.025976572879062</v>
      </c>
      <c r="AR157" s="137">
        <f t="shared" si="188"/>
        <v>11.189748177719435</v>
      </c>
      <c r="AS157" s="137">
        <f t="shared" si="188"/>
        <v>11.350562616834122</v>
      </c>
      <c r="AT157" s="137">
        <f t="shared" si="188"/>
        <v>11.540970903796282</v>
      </c>
      <c r="AU157" s="137">
        <f t="shared" si="188"/>
        <v>11.727512394632429</v>
      </c>
      <c r="AV157" s="137">
        <f t="shared" si="188"/>
        <v>11.910398917481947</v>
      </c>
      <c r="AW157" s="137">
        <f t="shared" si="188"/>
        <v>12.089823890275794</v>
      </c>
      <c r="AX157" s="137">
        <f t="shared" si="188"/>
        <v>12.265964473411325</v>
      </c>
      <c r="AY157" s="137">
        <f t="shared" ref="AY157:BR157" si="189">AY98*AY$34/1000</f>
        <v>12.429397775496655</v>
      </c>
      <c r="AZ157" s="137">
        <f t="shared" si="189"/>
        <v>12.590174960464054</v>
      </c>
      <c r="BA157" s="137">
        <f t="shared" si="189"/>
        <v>12.748413297453411</v>
      </c>
      <c r="BB157" s="137">
        <f t="shared" si="189"/>
        <v>12.904221786905412</v>
      </c>
      <c r="BC157" s="137">
        <f t="shared" si="189"/>
        <v>13.057701949853868</v>
      </c>
      <c r="BD157" s="137">
        <f t="shared" si="189"/>
        <v>13.208948523216094</v>
      </c>
      <c r="BE157" s="137">
        <f t="shared" si="189"/>
        <v>13.358050074385746</v>
      </c>
      <c r="BF157" s="137">
        <f t="shared" si="189"/>
        <v>13.50508954626576</v>
      </c>
      <c r="BG157" s="137">
        <f t="shared" si="189"/>
        <v>13.650144742109315</v>
      </c>
      <c r="BH157" s="137">
        <f t="shared" si="189"/>
        <v>13.7932887580832</v>
      </c>
      <c r="BI157" s="137">
        <f t="shared" si="189"/>
        <v>13.848059868710724</v>
      </c>
      <c r="BJ157" s="137">
        <f t="shared" si="189"/>
        <v>13.902560151252196</v>
      </c>
      <c r="BK157" s="137">
        <f t="shared" si="189"/>
        <v>13.956793316959654</v>
      </c>
      <c r="BL157" s="137">
        <f t="shared" si="189"/>
        <v>14.010762994290319</v>
      </c>
      <c r="BM157" s="137">
        <f t="shared" si="189"/>
        <v>14.064472731453879</v>
      </c>
      <c r="BN157" s="137">
        <f t="shared" si="189"/>
        <v>14.117925998860199</v>
      </c>
      <c r="BO157" s="137">
        <f t="shared" si="189"/>
        <v>14.171126191472231</v>
      </c>
      <c r="BP157" s="137">
        <f t="shared" si="189"/>
        <v>14.224076631068485</v>
      </c>
      <c r="BQ157" s="137">
        <f t="shared" si="189"/>
        <v>14.276780568419342</v>
      </c>
      <c r="BR157" s="137">
        <f t="shared" si="189"/>
        <v>14.329241185381104</v>
      </c>
    </row>
    <row r="158" spans="1:70">
      <c r="A158" t="s">
        <v>16</v>
      </c>
      <c r="B158" s="70" t="str">
        <f t="shared" si="187"/>
        <v>CET</v>
      </c>
      <c r="C158" s="70" t="str">
        <f t="shared" si="187"/>
        <v>Commercial - Public Water</v>
      </c>
      <c r="D158" s="139"/>
      <c r="E158" s="139"/>
      <c r="F158" s="139"/>
      <c r="G158" s="139"/>
      <c r="H158" s="139"/>
      <c r="I158" s="138"/>
      <c r="J158" s="139"/>
      <c r="K158" s="139"/>
      <c r="L158" s="137">
        <f t="shared" ref="L158:L159" si="190">L99*L$34/1000</f>
        <v>3.5593512487513528</v>
      </c>
      <c r="M158" s="137">
        <f t="shared" si="188"/>
        <v>3.5030359210006554</v>
      </c>
      <c r="N158" s="137">
        <f t="shared" si="188"/>
        <v>3.4553065845121358</v>
      </c>
      <c r="O158" s="137">
        <f t="shared" si="188"/>
        <v>3.4006256343930392</v>
      </c>
      <c r="P158" s="137">
        <f t="shared" si="188"/>
        <v>3.3426240770155102</v>
      </c>
      <c r="Q158" s="137">
        <f t="shared" si="188"/>
        <v>3.2726019758762099</v>
      </c>
      <c r="R158" s="137">
        <f t="shared" si="188"/>
        <v>3.2961441659697601</v>
      </c>
      <c r="S158" s="137">
        <f t="shared" si="188"/>
        <v>3.3155552124891114</v>
      </c>
      <c r="T158" s="137">
        <f t="shared" si="188"/>
        <v>3.3155552124891114</v>
      </c>
      <c r="U158" s="137">
        <f t="shared" si="188"/>
        <v>3.3454778230870588</v>
      </c>
      <c r="V158" s="137">
        <f t="shared" si="188"/>
        <v>3.3284143187389215</v>
      </c>
      <c r="W158" s="137">
        <f t="shared" si="188"/>
        <v>3.2859360658113284</v>
      </c>
      <c r="X158" s="137">
        <f t="shared" si="188"/>
        <v>3.2548689555367836</v>
      </c>
      <c r="Y158" s="137">
        <f t="shared" si="188"/>
        <v>3.2248842139214635</v>
      </c>
      <c r="Z158" s="137">
        <f t="shared" si="188"/>
        <v>3.1987564304691238</v>
      </c>
      <c r="AA158" s="137">
        <f t="shared" si="188"/>
        <v>3.1749746436347963</v>
      </c>
      <c r="AB158" s="137">
        <f t="shared" si="188"/>
        <v>3.1534677470511006</v>
      </c>
      <c r="AC158" s="137">
        <f t="shared" si="188"/>
        <v>3.136966555637418</v>
      </c>
      <c r="AD158" s="137">
        <f t="shared" si="188"/>
        <v>3.1255751841188411</v>
      </c>
      <c r="AE158" s="137">
        <f t="shared" si="188"/>
        <v>3.1662700655710467</v>
      </c>
      <c r="AF158" s="137">
        <f t="shared" si="188"/>
        <v>3.2084758244708684</v>
      </c>
      <c r="AG158" s="137">
        <f t="shared" si="188"/>
        <v>3.2525241568574779</v>
      </c>
      <c r="AH158" s="137">
        <f t="shared" si="188"/>
        <v>3.3020611950729126</v>
      </c>
      <c r="AI158" s="137">
        <f t="shared" si="188"/>
        <v>3.3535801621320847</v>
      </c>
      <c r="AJ158" s="137">
        <f t="shared" si="188"/>
        <v>3.407149545391198</v>
      </c>
      <c r="AK158" s="137">
        <f t="shared" si="188"/>
        <v>3.4630295903867321</v>
      </c>
      <c r="AL158" s="137">
        <f t="shared" si="188"/>
        <v>3.5203616264601791</v>
      </c>
      <c r="AM158" s="137">
        <f t="shared" si="188"/>
        <v>3.5774096154492057</v>
      </c>
      <c r="AN158" s="137">
        <f t="shared" si="188"/>
        <v>3.6335478738395635</v>
      </c>
      <c r="AO158" s="137">
        <f t="shared" si="188"/>
        <v>3.6935508900255054</v>
      </c>
      <c r="AP158" s="137">
        <f t="shared" si="188"/>
        <v>3.7523536904227703</v>
      </c>
      <c r="AQ158" s="137">
        <f t="shared" si="188"/>
        <v>3.8100210701606954</v>
      </c>
      <c r="AR158" s="137">
        <f t="shared" si="188"/>
        <v>3.8666122719478153</v>
      </c>
      <c r="AS158" s="137">
        <f t="shared" si="188"/>
        <v>3.9221816264955223</v>
      </c>
      <c r="AT158" s="137">
        <f t="shared" si="188"/>
        <v>3.9879771213856046</v>
      </c>
      <c r="AU158" s="137">
        <f t="shared" si="188"/>
        <v>4.0524364466750411</v>
      </c>
      <c r="AV158" s="137">
        <f t="shared" si="188"/>
        <v>4.1156327994787487</v>
      </c>
      <c r="AW158" s="137">
        <f t="shared" si="188"/>
        <v>4.1776330152727006</v>
      </c>
      <c r="AX158" s="137">
        <f t="shared" si="188"/>
        <v>4.2384983117497033</v>
      </c>
      <c r="AY158" s="137">
        <f t="shared" ref="AY158:BR158" si="191">AY99*AY$34/1000</f>
        <v>4.2949726131773591</v>
      </c>
      <c r="AZ158" s="137">
        <f t="shared" si="191"/>
        <v>4.3505290945718196</v>
      </c>
      <c r="BA158" s="137">
        <f t="shared" si="191"/>
        <v>4.4052082782297637</v>
      </c>
      <c r="BB158" s="137">
        <f t="shared" si="191"/>
        <v>4.45904782920271</v>
      </c>
      <c r="BC158" s="137">
        <f t="shared" si="191"/>
        <v>4.5120828280366156</v>
      </c>
      <c r="BD158" s="137">
        <f t="shared" si="191"/>
        <v>4.5643460110291416</v>
      </c>
      <c r="BE158" s="137">
        <f t="shared" si="191"/>
        <v>4.6158679826019231</v>
      </c>
      <c r="BF158" s="137">
        <f t="shared" si="191"/>
        <v>4.6666774036364416</v>
      </c>
      <c r="BG158" s="137">
        <f t="shared" si="191"/>
        <v>4.7168011590106032</v>
      </c>
      <c r="BH158" s="137">
        <f t="shared" si="191"/>
        <v>4.7662645070708027</v>
      </c>
      <c r="BI158" s="137">
        <f t="shared" si="191"/>
        <v>4.7851906388422289</v>
      </c>
      <c r="BJ158" s="137">
        <f t="shared" si="191"/>
        <v>4.8040231860946401</v>
      </c>
      <c r="BK158" s="137">
        <f t="shared" si="191"/>
        <v>4.8227634312494496</v>
      </c>
      <c r="BL158" s="137">
        <f t="shared" si="191"/>
        <v>4.8414126281183583</v>
      </c>
      <c r="BM158" s="137">
        <f t="shared" si="191"/>
        <v>4.8599720027835751</v>
      </c>
      <c r="BN158" s="137">
        <f t="shared" si="191"/>
        <v>4.8784427544436095</v>
      </c>
      <c r="BO158" s="137">
        <f t="shared" si="191"/>
        <v>4.8968260562263302</v>
      </c>
      <c r="BP158" s="137">
        <f t="shared" si="191"/>
        <v>4.9151230559707555</v>
      </c>
      <c r="BQ158" s="137">
        <f t="shared" si="191"/>
        <v>4.9333348769790746</v>
      </c>
      <c r="BR158" s="137">
        <f t="shared" si="191"/>
        <v>4.9514626187402522</v>
      </c>
    </row>
    <row r="159" spans="1:70">
      <c r="A159" t="s">
        <v>16</v>
      </c>
      <c r="B159" s="70" t="str">
        <f t="shared" si="187"/>
        <v>CEO</v>
      </c>
      <c r="C159" s="70" t="str">
        <f t="shared" si="187"/>
        <v>Commercial - Other</v>
      </c>
      <c r="D159" s="139"/>
      <c r="E159" s="139"/>
      <c r="F159" s="139"/>
      <c r="G159" s="139"/>
      <c r="H159" s="139"/>
      <c r="I159" s="138"/>
      <c r="J159" s="139"/>
      <c r="K159" s="139"/>
      <c r="L159" s="137">
        <f t="shared" si="190"/>
        <v>3.7520368714157861</v>
      </c>
      <c r="M159" s="137">
        <f t="shared" si="188"/>
        <v>3.8062559588704841</v>
      </c>
      <c r="N159" s="137">
        <f t="shared" si="188"/>
        <v>3.8722228149511202</v>
      </c>
      <c r="O159" s="137">
        <f t="shared" si="188"/>
        <v>3.933061315126785</v>
      </c>
      <c r="P159" s="137">
        <f t="shared" si="188"/>
        <v>3.9925568469937165</v>
      </c>
      <c r="Q159" s="137">
        <f t="shared" si="188"/>
        <v>4.0397921227646005</v>
      </c>
      <c r="R159" s="137">
        <f t="shared" si="188"/>
        <v>4.0688532657919581</v>
      </c>
      <c r="S159" s="137">
        <f t="shared" si="188"/>
        <v>4.0928148087481553</v>
      </c>
      <c r="T159" s="137">
        <f t="shared" si="188"/>
        <v>4.0928148087481553</v>
      </c>
      <c r="U159" s="137">
        <f t="shared" si="188"/>
        <v>3.9727293736368496</v>
      </c>
      <c r="V159" s="137">
        <f t="shared" si="188"/>
        <v>3.7919840677106698</v>
      </c>
      <c r="W159" s="137">
        <f t="shared" si="188"/>
        <v>3.5807744504417767</v>
      </c>
      <c r="X159" s="137">
        <f t="shared" si="188"/>
        <v>3.3811221466881238</v>
      </c>
      <c r="Y159" s="137">
        <f t="shared" si="188"/>
        <v>3.1810328046317902</v>
      </c>
      <c r="Z159" s="137">
        <f t="shared" si="188"/>
        <v>2.9828536199912885</v>
      </c>
      <c r="AA159" s="137">
        <f t="shared" si="188"/>
        <v>2.7845434939905251</v>
      </c>
      <c r="AB159" s="137">
        <f t="shared" si="188"/>
        <v>2.5855445855529089</v>
      </c>
      <c r="AC159" s="137">
        <f t="shared" si="188"/>
        <v>2.3874180959558262</v>
      </c>
      <c r="AD159" s="137">
        <f t="shared" si="188"/>
        <v>2.1891913282093873</v>
      </c>
      <c r="AE159" s="137">
        <f t="shared" si="188"/>
        <v>2.2176945240468577</v>
      </c>
      <c r="AF159" s="137">
        <f t="shared" si="188"/>
        <v>2.2472559570443602</v>
      </c>
      <c r="AG159" s="137">
        <f t="shared" si="188"/>
        <v>2.2781079511902109</v>
      </c>
      <c r="AH159" s="137">
        <f t="shared" si="188"/>
        <v>2.3128043024529878</v>
      </c>
      <c r="AI159" s="137">
        <f t="shared" si="188"/>
        <v>2.3488888210712915</v>
      </c>
      <c r="AJ159" s="137">
        <f t="shared" si="188"/>
        <v>2.386409476432342</v>
      </c>
      <c r="AK159" s="137">
        <f t="shared" si="188"/>
        <v>2.4255485477129657</v>
      </c>
      <c r="AL159" s="137">
        <f t="shared" si="188"/>
        <v>2.4657046114155126</v>
      </c>
      <c r="AM159" s="137">
        <f t="shared" si="188"/>
        <v>2.5056617250441109</v>
      </c>
      <c r="AN159" s="137">
        <f t="shared" si="188"/>
        <v>2.5449816521645316</v>
      </c>
      <c r="AO159" s="137">
        <f t="shared" si="188"/>
        <v>2.5870085032120147</v>
      </c>
      <c r="AP159" s="137">
        <f t="shared" si="188"/>
        <v>2.6281947083489778</v>
      </c>
      <c r="AQ159" s="137">
        <f t="shared" si="188"/>
        <v>2.6685856508815</v>
      </c>
      <c r="AR159" s="137">
        <f t="shared" si="188"/>
        <v>2.7082228251317932</v>
      </c>
      <c r="AS159" s="137">
        <f t="shared" si="188"/>
        <v>2.7471442849988126</v>
      </c>
      <c r="AT159" s="137">
        <f t="shared" si="188"/>
        <v>2.7932282594238975</v>
      </c>
      <c r="AU159" s="137">
        <f t="shared" si="188"/>
        <v>2.8383763642152542</v>
      </c>
      <c r="AV159" s="137">
        <f t="shared" si="188"/>
        <v>2.882639867533074</v>
      </c>
      <c r="AW159" s="137">
        <f t="shared" si="188"/>
        <v>2.9260655817673316</v>
      </c>
      <c r="AX159" s="137">
        <f t="shared" si="188"/>
        <v>2.9686963845435286</v>
      </c>
      <c r="AY159" s="137">
        <f t="shared" ref="AY159:BR159" si="192">AY100*AY$34/1000</f>
        <v>3.008251680343256</v>
      </c>
      <c r="AZ159" s="137">
        <f t="shared" si="192"/>
        <v>3.0471641236953002</v>
      </c>
      <c r="BA159" s="137">
        <f t="shared" si="192"/>
        <v>3.0854620969149993</v>
      </c>
      <c r="BB159" s="137">
        <f t="shared" si="192"/>
        <v>3.1231719810680141</v>
      </c>
      <c r="BC159" s="137">
        <f t="shared" si="192"/>
        <v>3.1603183470005018</v>
      </c>
      <c r="BD159" s="137">
        <f t="shared" si="192"/>
        <v>3.1969241236182588</v>
      </c>
      <c r="BE159" s="137">
        <f t="shared" si="192"/>
        <v>3.2330107466348736</v>
      </c>
      <c r="BF159" s="137">
        <f t="shared" si="192"/>
        <v>3.2685982904844915</v>
      </c>
      <c r="BG159" s="137">
        <f t="shared" si="192"/>
        <v>3.3037055856664952</v>
      </c>
      <c r="BH159" s="137">
        <f t="shared" si="192"/>
        <v>3.3383503234375742</v>
      </c>
      <c r="BI159" s="137">
        <f t="shared" si="192"/>
        <v>3.3516064190711323</v>
      </c>
      <c r="BJ159" s="137">
        <f t="shared" si="192"/>
        <v>3.3647969669557432</v>
      </c>
      <c r="BK159" s="137">
        <f t="shared" si="192"/>
        <v>3.3779228653151496</v>
      </c>
      <c r="BL159" s="137">
        <f t="shared" si="192"/>
        <v>3.3909849923344986</v>
      </c>
      <c r="BM159" s="137">
        <f t="shared" si="192"/>
        <v>3.4039842067768586</v>
      </c>
      <c r="BN159" s="137">
        <f t="shared" si="192"/>
        <v>3.4169213485756273</v>
      </c>
      <c r="BO159" s="137">
        <f t="shared" si="192"/>
        <v>3.4297972394040017</v>
      </c>
      <c r="BP159" s="137">
        <f t="shared" si="192"/>
        <v>3.4426126832225563</v>
      </c>
      <c r="BQ159" s="137">
        <f t="shared" si="192"/>
        <v>3.4553684668059717</v>
      </c>
      <c r="BR159" s="137">
        <f t="shared" si="192"/>
        <v>3.4680653602498506</v>
      </c>
    </row>
    <row r="160" spans="1:70">
      <c r="A160" t="s">
        <v>16</v>
      </c>
      <c r="B160" s="139"/>
      <c r="C160" s="139"/>
      <c r="D160" s="139"/>
      <c r="E160" s="139"/>
      <c r="F160" s="139"/>
      <c r="G160" s="139"/>
      <c r="H160" s="139"/>
      <c r="I160" s="138"/>
      <c r="J160" s="139"/>
      <c r="K160" s="139"/>
      <c r="M160" s="70"/>
    </row>
    <row r="161" spans="1:70" ht="15.75" thickBot="1">
      <c r="A161" t="s">
        <v>16</v>
      </c>
      <c r="B161" s="68" t="s">
        <v>463</v>
      </c>
      <c r="C161" s="68"/>
      <c r="D161" s="68"/>
      <c r="E161" s="68"/>
      <c r="F161" s="68"/>
      <c r="G161" s="68"/>
      <c r="H161" s="68"/>
      <c r="I161" s="132"/>
      <c r="M161" s="70"/>
    </row>
    <row r="162" spans="1:70">
      <c r="A162" t="s">
        <v>16</v>
      </c>
      <c r="B162" s="70" t="str">
        <f t="shared" ref="B162:B170" si="193">B70</f>
        <v>CEC</v>
      </c>
      <c r="C162" s="70" t="str">
        <f t="shared" ref="C162:C170" si="194">C138</f>
        <v>Commercial - Cooling</v>
      </c>
      <c r="E162" s="89"/>
      <c r="F162" s="89"/>
      <c r="I162" s="132"/>
      <c r="L162" s="137">
        <f t="shared" ref="L162:AX168" si="195">L$35*L70/1000</f>
        <v>111.73151548310749</v>
      </c>
      <c r="M162" s="137">
        <f t="shared" si="195"/>
        <v>109.96372228856943</v>
      </c>
      <c r="N162" s="137">
        <f t="shared" si="195"/>
        <v>108.46545175380945</v>
      </c>
      <c r="O162" s="137">
        <f t="shared" si="195"/>
        <v>106.74896327096975</v>
      </c>
      <c r="P162" s="137">
        <f t="shared" si="195"/>
        <v>104.92823767991015</v>
      </c>
      <c r="Q162" s="137">
        <f t="shared" si="195"/>
        <v>102.73017546833439</v>
      </c>
      <c r="R162" s="137">
        <f t="shared" si="195"/>
        <v>101.70287371365104</v>
      </c>
      <c r="S162" s="137">
        <f>S$35*S70/1000</f>
        <v>100.67557195896771</v>
      </c>
      <c r="T162" s="137">
        <f t="shared" si="195"/>
        <v>99.648270204284358</v>
      </c>
      <c r="U162" s="137">
        <f t="shared" si="195"/>
        <v>95.494318359591105</v>
      </c>
      <c r="V162" s="137">
        <f t="shared" si="195"/>
        <v>91.405505058439743</v>
      </c>
      <c r="W162" s="137">
        <f t="shared" si="195"/>
        <v>87.381830300830245</v>
      </c>
      <c r="X162" s="137">
        <f t="shared" si="195"/>
        <v>83.423294086762638</v>
      </c>
      <c r="Y162" s="137">
        <f t="shared" si="195"/>
        <v>79.529896416236866</v>
      </c>
      <c r="Z162" s="137">
        <f t="shared" si="195"/>
        <v>75.701637289252986</v>
      </c>
      <c r="AA162" s="137">
        <f t="shared" si="195"/>
        <v>71.938516705810983</v>
      </c>
      <c r="AB162" s="137">
        <f t="shared" si="195"/>
        <v>68.240534665910843</v>
      </c>
      <c r="AC162" s="137">
        <f t="shared" si="195"/>
        <v>64.607691169552595</v>
      </c>
      <c r="AD162" s="137">
        <f t="shared" si="195"/>
        <v>61.039986216736217</v>
      </c>
      <c r="AE162" s="137">
        <f t="shared" si="195"/>
        <v>60.33837717976224</v>
      </c>
      <c r="AF162" s="137">
        <f t="shared" si="195"/>
        <v>59.636768142788249</v>
      </c>
      <c r="AG162" s="137">
        <f t="shared" si="195"/>
        <v>58.935159105814279</v>
      </c>
      <c r="AH162" s="137">
        <f t="shared" si="195"/>
        <v>58.233550068840287</v>
      </c>
      <c r="AI162" s="137">
        <f t="shared" si="195"/>
        <v>57.531941031866317</v>
      </c>
      <c r="AJ162" s="137">
        <f t="shared" si="195"/>
        <v>56.83033199489234</v>
      </c>
      <c r="AK162" s="137">
        <f t="shared" si="195"/>
        <v>56.128722957918356</v>
      </c>
      <c r="AL162" s="137">
        <f t="shared" si="195"/>
        <v>55.427113920944372</v>
      </c>
      <c r="AM162" s="137">
        <f t="shared" si="195"/>
        <v>54.725504883970395</v>
      </c>
      <c r="AN162" s="137">
        <f t="shared" si="195"/>
        <v>54.02389584699641</v>
      </c>
      <c r="AO162" s="137">
        <f t="shared" si="195"/>
        <v>53.322286810022426</v>
      </c>
      <c r="AP162" s="137">
        <f t="shared" si="195"/>
        <v>52.620677773048449</v>
      </c>
      <c r="AQ162" s="137">
        <f t="shared" si="195"/>
        <v>51.919068736074472</v>
      </c>
      <c r="AR162" s="137">
        <f t="shared" si="195"/>
        <v>51.217459699100488</v>
      </c>
      <c r="AS162" s="137">
        <f t="shared" si="195"/>
        <v>50.515850662126503</v>
      </c>
      <c r="AT162" s="137">
        <f t="shared" si="195"/>
        <v>49.814241625152533</v>
      </c>
      <c r="AU162" s="137">
        <f t="shared" si="195"/>
        <v>49.112632588178542</v>
      </c>
      <c r="AV162" s="137">
        <f t="shared" si="195"/>
        <v>48.411023551204572</v>
      </c>
      <c r="AW162" s="137">
        <f t="shared" si="195"/>
        <v>47.709414514230595</v>
      </c>
      <c r="AX162" s="137">
        <f t="shared" si="195"/>
        <v>47.007805477256611</v>
      </c>
      <c r="AY162" s="137">
        <f t="shared" ref="AY162:BR167" si="196">AY$35*AY70/1000</f>
        <v>46.306196440282626</v>
      </c>
      <c r="AZ162" s="137">
        <f t="shared" si="196"/>
        <v>45.604587403308649</v>
      </c>
      <c r="BA162" s="137">
        <f t="shared" si="196"/>
        <v>44.902978366334665</v>
      </c>
      <c r="BB162" s="137">
        <f t="shared" si="196"/>
        <v>44.201369329360695</v>
      </c>
      <c r="BC162" s="137">
        <f t="shared" si="196"/>
        <v>43.499760292386711</v>
      </c>
      <c r="BD162" s="137">
        <f t="shared" si="196"/>
        <v>42.798151255412733</v>
      </c>
      <c r="BE162" s="137">
        <f t="shared" si="196"/>
        <v>42.096542218438749</v>
      </c>
      <c r="BF162" s="137">
        <f t="shared" si="196"/>
        <v>41.394933181464772</v>
      </c>
      <c r="BG162" s="137">
        <f t="shared" si="196"/>
        <v>40.693324144490788</v>
      </c>
      <c r="BH162" s="137">
        <f t="shared" si="196"/>
        <v>39.991715107516811</v>
      </c>
      <c r="BI162" s="137">
        <f t="shared" si="196"/>
        <v>39.290106070542834</v>
      </c>
      <c r="BJ162" s="137">
        <f t="shared" si="196"/>
        <v>38.588497033568849</v>
      </c>
      <c r="BK162" s="137">
        <f t="shared" si="196"/>
        <v>37.886887996594865</v>
      </c>
      <c r="BL162" s="137">
        <f t="shared" si="196"/>
        <v>37.185278959620888</v>
      </c>
      <c r="BM162" s="137">
        <f t="shared" si="196"/>
        <v>36.483669922646904</v>
      </c>
      <c r="BN162" s="137">
        <f t="shared" si="196"/>
        <v>35.782060885672927</v>
      </c>
      <c r="BO162" s="137">
        <f t="shared" si="196"/>
        <v>35.080451848698956</v>
      </c>
      <c r="BP162" s="137">
        <f t="shared" si="196"/>
        <v>34.378842811724965</v>
      </c>
      <c r="BQ162" s="137">
        <f t="shared" si="196"/>
        <v>33.677233774750988</v>
      </c>
      <c r="BR162" s="137">
        <f t="shared" si="196"/>
        <v>32.975624737777004</v>
      </c>
    </row>
    <row r="163" spans="1:70">
      <c r="A163" t="s">
        <v>16</v>
      </c>
      <c r="B163" s="70" t="str">
        <f t="shared" si="193"/>
        <v>CEH</v>
      </c>
      <c r="C163" s="70" t="str">
        <f t="shared" si="194"/>
        <v>Commercial - Space Heating</v>
      </c>
      <c r="E163" s="89"/>
      <c r="F163" s="89"/>
      <c r="I163" s="132"/>
      <c r="L163" s="137">
        <f t="shared" si="195"/>
        <v>6.2814039260015191</v>
      </c>
      <c r="M163" s="137">
        <f t="shared" si="195"/>
        <v>6.9171893669807805</v>
      </c>
      <c r="N163" s="137">
        <f t="shared" si="195"/>
        <v>7.5855832498491305</v>
      </c>
      <c r="O163" s="137">
        <f t="shared" si="195"/>
        <v>8.2559460453052562</v>
      </c>
      <c r="P163" s="137">
        <f t="shared" si="195"/>
        <v>8.934412578208482</v>
      </c>
      <c r="Q163" s="137">
        <f t="shared" si="195"/>
        <v>9.5943260623864006</v>
      </c>
      <c r="R163" s="137">
        <f t="shared" si="195"/>
        <v>9.4983828017625367</v>
      </c>
      <c r="S163" s="137">
        <f t="shared" si="195"/>
        <v>9.4024395411386728</v>
      </c>
      <c r="T163" s="137">
        <f t="shared" si="195"/>
        <v>9.3064962805148088</v>
      </c>
      <c r="U163" s="137">
        <f t="shared" si="195"/>
        <v>8.760544408423808</v>
      </c>
      <c r="V163" s="137">
        <f t="shared" si="195"/>
        <v>8.2239677157383717</v>
      </c>
      <c r="W163" s="137">
        <f t="shared" si="195"/>
        <v>7.6967662024585035</v>
      </c>
      <c r="X163" s="137">
        <f t="shared" si="195"/>
        <v>7.1789398685841981</v>
      </c>
      <c r="Y163" s="137">
        <f t="shared" si="195"/>
        <v>6.6704887141154581</v>
      </c>
      <c r="Z163" s="137">
        <f t="shared" si="195"/>
        <v>6.1714127390522844</v>
      </c>
      <c r="AA163" s="137">
        <f t="shared" si="195"/>
        <v>5.6817119433946734</v>
      </c>
      <c r="AB163" s="137">
        <f t="shared" si="195"/>
        <v>5.2013863271426306</v>
      </c>
      <c r="AC163" s="137">
        <f t="shared" si="195"/>
        <v>4.7304358902961523</v>
      </c>
      <c r="AD163" s="137">
        <f t="shared" si="195"/>
        <v>4.2688606328552359</v>
      </c>
      <c r="AE163" s="137">
        <f t="shared" si="195"/>
        <v>4.2197932692591991</v>
      </c>
      <c r="AF163" s="137">
        <f t="shared" si="195"/>
        <v>4.1707259056631623</v>
      </c>
      <c r="AG163" s="137">
        <f t="shared" si="195"/>
        <v>4.1216585420671255</v>
      </c>
      <c r="AH163" s="137">
        <f t="shared" si="195"/>
        <v>4.0725911784710869</v>
      </c>
      <c r="AI163" s="137">
        <f t="shared" si="195"/>
        <v>4.0235238148750501</v>
      </c>
      <c r="AJ163" s="137">
        <f t="shared" si="195"/>
        <v>3.9744564512790128</v>
      </c>
      <c r="AK163" s="137">
        <f t="shared" si="195"/>
        <v>3.925389087682976</v>
      </c>
      <c r="AL163" s="137">
        <f t="shared" si="195"/>
        <v>3.8763217240869383</v>
      </c>
      <c r="AM163" s="137">
        <f t="shared" si="195"/>
        <v>3.8272543604909011</v>
      </c>
      <c r="AN163" s="137">
        <f t="shared" si="195"/>
        <v>3.7781869968948638</v>
      </c>
      <c r="AO163" s="137">
        <f t="shared" si="195"/>
        <v>3.7291196332988266</v>
      </c>
      <c r="AP163" s="137">
        <f t="shared" si="195"/>
        <v>3.6800522697027889</v>
      </c>
      <c r="AQ163" s="137">
        <f t="shared" si="195"/>
        <v>3.6309849061067521</v>
      </c>
      <c r="AR163" s="137">
        <f t="shared" si="195"/>
        <v>3.5819175425107148</v>
      </c>
      <c r="AS163" s="137">
        <f t="shared" si="195"/>
        <v>3.5328501789146771</v>
      </c>
      <c r="AT163" s="137">
        <f t="shared" si="195"/>
        <v>3.4837828153186408</v>
      </c>
      <c r="AU163" s="137">
        <f t="shared" si="195"/>
        <v>3.4347154517226026</v>
      </c>
      <c r="AV163" s="137">
        <f t="shared" si="195"/>
        <v>3.3856480881265663</v>
      </c>
      <c r="AW163" s="137">
        <f t="shared" si="195"/>
        <v>3.3365807245305286</v>
      </c>
      <c r="AX163" s="137">
        <f t="shared" si="195"/>
        <v>3.2875133609344918</v>
      </c>
      <c r="AY163" s="137">
        <f t="shared" si="196"/>
        <v>3.2384459973384541</v>
      </c>
      <c r="AZ163" s="137">
        <f t="shared" si="196"/>
        <v>3.1893786337424168</v>
      </c>
      <c r="BA163" s="137">
        <f t="shared" si="196"/>
        <v>3.1403112701463796</v>
      </c>
      <c r="BB163" s="137">
        <f t="shared" si="196"/>
        <v>3.0912439065503428</v>
      </c>
      <c r="BC163" s="137">
        <f t="shared" si="196"/>
        <v>3.0421765429543046</v>
      </c>
      <c r="BD163" s="137">
        <f t="shared" si="196"/>
        <v>2.9931091793582683</v>
      </c>
      <c r="BE163" s="137">
        <f t="shared" si="196"/>
        <v>2.9440418157622306</v>
      </c>
      <c r="BF163" s="137">
        <f t="shared" si="196"/>
        <v>2.8949744521661938</v>
      </c>
      <c r="BG163" s="137">
        <f t="shared" si="196"/>
        <v>2.8459070885701561</v>
      </c>
      <c r="BH163" s="137">
        <f t="shared" si="196"/>
        <v>2.7968397249741188</v>
      </c>
      <c r="BI163" s="137">
        <f t="shared" si="196"/>
        <v>2.7477723613780816</v>
      </c>
      <c r="BJ163" s="137">
        <f t="shared" si="196"/>
        <v>2.6987049977820448</v>
      </c>
      <c r="BK163" s="137">
        <f t="shared" si="196"/>
        <v>2.6496376341860066</v>
      </c>
      <c r="BL163" s="137">
        <f t="shared" si="196"/>
        <v>2.6005702705899703</v>
      </c>
      <c r="BM163" s="137">
        <f t="shared" si="196"/>
        <v>2.5515029069939326</v>
      </c>
      <c r="BN163" s="137">
        <f t="shared" si="196"/>
        <v>2.5024355433978953</v>
      </c>
      <c r="BO163" s="137">
        <f t="shared" si="196"/>
        <v>2.4533681798018585</v>
      </c>
      <c r="BP163" s="137">
        <f t="shared" si="196"/>
        <v>2.4043008162058208</v>
      </c>
      <c r="BQ163" s="137">
        <f t="shared" si="196"/>
        <v>2.355233452609784</v>
      </c>
      <c r="BR163" s="137">
        <f t="shared" si="196"/>
        <v>2.3061660890137463</v>
      </c>
    </row>
    <row r="164" spans="1:70">
      <c r="A164" t="s">
        <v>16</v>
      </c>
      <c r="B164" s="70" t="str">
        <f t="shared" si="193"/>
        <v>CEK</v>
      </c>
      <c r="C164" s="70" t="str">
        <f t="shared" si="194"/>
        <v>Commercial - Cooking</v>
      </c>
      <c r="E164" s="89"/>
      <c r="F164" s="89"/>
      <c r="I164" s="132"/>
      <c r="L164" s="137">
        <f t="shared" si="195"/>
        <v>7.9155998052238097</v>
      </c>
      <c r="M164" s="137">
        <f t="shared" si="195"/>
        <v>7.7696646064136061</v>
      </c>
      <c r="N164" s="137">
        <f t="shared" si="195"/>
        <v>7.6423322724547349</v>
      </c>
      <c r="O164" s="137">
        <f t="shared" si="195"/>
        <v>7.4991395352899008</v>
      </c>
      <c r="P164" s="137">
        <f t="shared" si="195"/>
        <v>7.3481690340511481</v>
      </c>
      <c r="Q164" s="137">
        <f t="shared" si="195"/>
        <v>7.1703912926420719</v>
      </c>
      <c r="R164" s="137">
        <f t="shared" si="195"/>
        <v>7.09868737971565</v>
      </c>
      <c r="S164" s="137">
        <f t="shared" si="195"/>
        <v>7.026983466789229</v>
      </c>
      <c r="T164" s="137">
        <f t="shared" si="195"/>
        <v>6.9552795538628089</v>
      </c>
      <c r="U164" s="137">
        <f t="shared" si="195"/>
        <v>6.6697887467883392</v>
      </c>
      <c r="V164" s="137">
        <f t="shared" si="195"/>
        <v>6.3887518333419546</v>
      </c>
      <c r="W164" s="137">
        <f t="shared" si="195"/>
        <v>6.1121688135236552</v>
      </c>
      <c r="X164" s="137">
        <f t="shared" si="195"/>
        <v>5.840039687333439</v>
      </c>
      <c r="Y164" s="137">
        <f t="shared" si="195"/>
        <v>5.5723644547713072</v>
      </c>
      <c r="Z164" s="137">
        <f t="shared" si="195"/>
        <v>5.3091431158372604</v>
      </c>
      <c r="AA164" s="137">
        <f t="shared" si="195"/>
        <v>5.050375670531297</v>
      </c>
      <c r="AB164" s="137">
        <f t="shared" si="195"/>
        <v>4.7960621188534187</v>
      </c>
      <c r="AC164" s="137">
        <f t="shared" si="195"/>
        <v>4.5462024608036247</v>
      </c>
      <c r="AD164" s="137">
        <f t="shared" si="195"/>
        <v>4.3007966963819122</v>
      </c>
      <c r="AE164" s="137">
        <f t="shared" si="195"/>
        <v>4.2513622515959142</v>
      </c>
      <c r="AF164" s="137">
        <f t="shared" si="195"/>
        <v>4.2019278068099144</v>
      </c>
      <c r="AG164" s="137">
        <f t="shared" si="195"/>
        <v>4.1524933620239164</v>
      </c>
      <c r="AH164" s="137">
        <f t="shared" si="195"/>
        <v>4.1030589172379157</v>
      </c>
      <c r="AI164" s="137">
        <f t="shared" si="195"/>
        <v>4.0536244724519177</v>
      </c>
      <c r="AJ164" s="137">
        <f t="shared" si="195"/>
        <v>4.0041900276659188</v>
      </c>
      <c r="AK164" s="137">
        <f t="shared" si="195"/>
        <v>3.9547555828799195</v>
      </c>
      <c r="AL164" s="137">
        <f t="shared" si="195"/>
        <v>3.9053211380939206</v>
      </c>
      <c r="AM164" s="137">
        <f t="shared" si="195"/>
        <v>3.8558866933079212</v>
      </c>
      <c r="AN164" s="137">
        <f t="shared" si="195"/>
        <v>3.8064522485219223</v>
      </c>
      <c r="AO164" s="137">
        <f t="shared" si="195"/>
        <v>3.7570178037359234</v>
      </c>
      <c r="AP164" s="137">
        <f t="shared" si="195"/>
        <v>3.7075833589499241</v>
      </c>
      <c r="AQ164" s="137">
        <f t="shared" si="195"/>
        <v>3.6581489141639247</v>
      </c>
      <c r="AR164" s="137">
        <f t="shared" si="195"/>
        <v>3.6087144693779258</v>
      </c>
      <c r="AS164" s="137">
        <f t="shared" si="195"/>
        <v>3.5592800245919265</v>
      </c>
      <c r="AT164" s="137">
        <f t="shared" si="195"/>
        <v>3.509845579805928</v>
      </c>
      <c r="AU164" s="137">
        <f t="shared" si="195"/>
        <v>3.4604111350199287</v>
      </c>
      <c r="AV164" s="137">
        <f t="shared" si="195"/>
        <v>3.4109766902339302</v>
      </c>
      <c r="AW164" s="137">
        <f t="shared" si="195"/>
        <v>3.3615422454479309</v>
      </c>
      <c r="AX164" s="137">
        <f t="shared" si="195"/>
        <v>3.312107800661932</v>
      </c>
      <c r="AY164" s="137">
        <f t="shared" si="196"/>
        <v>3.2626733558759331</v>
      </c>
      <c r="AZ164" s="137">
        <f t="shared" si="196"/>
        <v>3.2132389110899333</v>
      </c>
      <c r="BA164" s="137">
        <f t="shared" si="196"/>
        <v>3.1638044663039344</v>
      </c>
      <c r="BB164" s="137">
        <f t="shared" si="196"/>
        <v>3.114370021517936</v>
      </c>
      <c r="BC164" s="137">
        <f t="shared" si="196"/>
        <v>3.0649355767319362</v>
      </c>
      <c r="BD164" s="137">
        <f t="shared" si="196"/>
        <v>3.0155011319459377</v>
      </c>
      <c r="BE164" s="137">
        <f t="shared" si="196"/>
        <v>2.9660666871599388</v>
      </c>
      <c r="BF164" s="137">
        <f t="shared" si="196"/>
        <v>2.9166322423739399</v>
      </c>
      <c r="BG164" s="137">
        <f t="shared" si="196"/>
        <v>2.8671977975879406</v>
      </c>
      <c r="BH164" s="137">
        <f t="shared" si="196"/>
        <v>2.8177633528019408</v>
      </c>
      <c r="BI164" s="137">
        <f t="shared" si="196"/>
        <v>2.7683289080159423</v>
      </c>
      <c r="BJ164" s="137">
        <f t="shared" si="196"/>
        <v>2.7188944632299434</v>
      </c>
      <c r="BK164" s="137">
        <f t="shared" si="196"/>
        <v>2.6694600184439441</v>
      </c>
      <c r="BL164" s="137">
        <f t="shared" si="196"/>
        <v>2.6200255736579452</v>
      </c>
      <c r="BM164" s="137">
        <f t="shared" si="196"/>
        <v>2.5705911288719459</v>
      </c>
      <c r="BN164" s="137">
        <f t="shared" si="196"/>
        <v>2.521156684085947</v>
      </c>
      <c r="BO164" s="137">
        <f t="shared" si="196"/>
        <v>2.4717222392999485</v>
      </c>
      <c r="BP164" s="137">
        <f t="shared" si="196"/>
        <v>2.4222877945139492</v>
      </c>
      <c r="BQ164" s="137">
        <f t="shared" si="196"/>
        <v>2.3728533497279498</v>
      </c>
      <c r="BR164" s="137">
        <f t="shared" si="196"/>
        <v>2.3234189049419505</v>
      </c>
    </row>
    <row r="165" spans="1:70">
      <c r="A165" t="s">
        <v>16</v>
      </c>
      <c r="B165" s="70" t="str">
        <f t="shared" si="193"/>
        <v>CEL</v>
      </c>
      <c r="C165" s="70" t="str">
        <f t="shared" si="194"/>
        <v>Commercial - Lighting</v>
      </c>
      <c r="E165" s="89"/>
      <c r="F165" s="89"/>
      <c r="I165" s="132"/>
      <c r="L165" s="137">
        <f t="shared" si="195"/>
        <v>97.232217524551132</v>
      </c>
      <c r="M165" s="137">
        <f t="shared" si="195"/>
        <v>95.693829257941246</v>
      </c>
      <c r="N165" s="137">
        <f t="shared" si="195"/>
        <v>94.389987938717056</v>
      </c>
      <c r="O165" s="137">
        <f t="shared" si="195"/>
        <v>92.89624661765626</v>
      </c>
      <c r="P165" s="137">
        <f t="shared" si="195"/>
        <v>91.311794943865138</v>
      </c>
      <c r="Q165" s="137">
        <f t="shared" si="195"/>
        <v>89.398973282363997</v>
      </c>
      <c r="R165" s="137">
        <f t="shared" si="195"/>
        <v>88.504983549540356</v>
      </c>
      <c r="S165" s="137">
        <f t="shared" si="195"/>
        <v>87.610993816716714</v>
      </c>
      <c r="T165" s="137">
        <f t="shared" si="195"/>
        <v>86.717004083893073</v>
      </c>
      <c r="U165" s="137">
        <f t="shared" si="195"/>
        <v>83.102106822334079</v>
      </c>
      <c r="V165" s="137">
        <f t="shared" si="195"/>
        <v>79.543895134290423</v>
      </c>
      <c r="W165" s="137">
        <f t="shared" si="195"/>
        <v>76.042369019762077</v>
      </c>
      <c r="X165" s="137">
        <f t="shared" si="195"/>
        <v>72.597528478749055</v>
      </c>
      <c r="Y165" s="137">
        <f t="shared" si="195"/>
        <v>69.209373511251329</v>
      </c>
      <c r="Z165" s="137">
        <f t="shared" si="195"/>
        <v>65.87790411726894</v>
      </c>
      <c r="AA165" s="137">
        <f t="shared" si="195"/>
        <v>62.603120296801869</v>
      </c>
      <c r="AB165" s="137">
        <f t="shared" si="195"/>
        <v>59.385022049850129</v>
      </c>
      <c r="AC165" s="137">
        <f t="shared" si="195"/>
        <v>56.223609376413698</v>
      </c>
      <c r="AD165" s="137">
        <f t="shared" si="195"/>
        <v>53.118882276492542</v>
      </c>
      <c r="AE165" s="137">
        <f t="shared" si="195"/>
        <v>52.508320411245506</v>
      </c>
      <c r="AF165" s="137">
        <f t="shared" si="195"/>
        <v>51.897758545998457</v>
      </c>
      <c r="AG165" s="137">
        <f t="shared" si="195"/>
        <v>51.287196680751428</v>
      </c>
      <c r="AH165" s="137">
        <f t="shared" si="195"/>
        <v>50.676634815504372</v>
      </c>
      <c r="AI165" s="137">
        <f t="shared" si="195"/>
        <v>50.066072950257336</v>
      </c>
      <c r="AJ165" s="137">
        <f t="shared" si="195"/>
        <v>49.455511085010293</v>
      </c>
      <c r="AK165" s="137">
        <f t="shared" si="195"/>
        <v>48.844949219763258</v>
      </c>
      <c r="AL165" s="137">
        <f t="shared" si="195"/>
        <v>48.234387354516215</v>
      </c>
      <c r="AM165" s="137">
        <f t="shared" si="195"/>
        <v>47.623825489269173</v>
      </c>
      <c r="AN165" s="137">
        <f t="shared" si="195"/>
        <v>47.013263624022123</v>
      </c>
      <c r="AO165" s="137">
        <f t="shared" si="195"/>
        <v>46.402701758775088</v>
      </c>
      <c r="AP165" s="137">
        <f t="shared" si="195"/>
        <v>45.792139893528045</v>
      </c>
      <c r="AQ165" s="137">
        <f t="shared" si="195"/>
        <v>45.181578028281002</v>
      </c>
      <c r="AR165" s="137">
        <f t="shared" si="195"/>
        <v>44.57101616303396</v>
      </c>
      <c r="AS165" s="137">
        <f t="shared" si="195"/>
        <v>43.960454297786917</v>
      </c>
      <c r="AT165" s="137">
        <f t="shared" si="195"/>
        <v>43.349892432539882</v>
      </c>
      <c r="AU165" s="137">
        <f t="shared" si="195"/>
        <v>42.739330567292832</v>
      </c>
      <c r="AV165" s="137">
        <f t="shared" si="195"/>
        <v>42.128768702045804</v>
      </c>
      <c r="AW165" s="137">
        <f t="shared" si="195"/>
        <v>41.518206836798761</v>
      </c>
      <c r="AX165" s="137">
        <f t="shared" si="195"/>
        <v>40.907644971551719</v>
      </c>
      <c r="AY165" s="137">
        <f t="shared" si="196"/>
        <v>40.297083106304669</v>
      </c>
      <c r="AZ165" s="137">
        <f t="shared" si="196"/>
        <v>39.686521241057633</v>
      </c>
      <c r="BA165" s="137">
        <f t="shared" si="196"/>
        <v>39.075959375810591</v>
      </c>
      <c r="BB165" s="137">
        <f t="shared" si="196"/>
        <v>38.465397510563555</v>
      </c>
      <c r="BC165" s="137">
        <f t="shared" si="196"/>
        <v>37.854835645316506</v>
      </c>
      <c r="BD165" s="137">
        <f t="shared" si="196"/>
        <v>37.244273780069477</v>
      </c>
      <c r="BE165" s="137">
        <f t="shared" si="196"/>
        <v>36.633711914822428</v>
      </c>
      <c r="BF165" s="137">
        <f t="shared" si="196"/>
        <v>36.023150049575385</v>
      </c>
      <c r="BG165" s="137">
        <f t="shared" si="196"/>
        <v>35.412588184328342</v>
      </c>
      <c r="BH165" s="137">
        <f t="shared" si="196"/>
        <v>34.8020263190813</v>
      </c>
      <c r="BI165" s="137">
        <f t="shared" si="196"/>
        <v>34.191464453834264</v>
      </c>
      <c r="BJ165" s="137">
        <f t="shared" si="196"/>
        <v>33.580902588587222</v>
      </c>
      <c r="BK165" s="137">
        <f t="shared" si="196"/>
        <v>32.970340723340172</v>
      </c>
      <c r="BL165" s="137">
        <f t="shared" si="196"/>
        <v>32.359778858093136</v>
      </c>
      <c r="BM165" s="137">
        <f t="shared" si="196"/>
        <v>31.749216992846094</v>
      </c>
      <c r="BN165" s="137">
        <f t="shared" si="196"/>
        <v>31.138655127599051</v>
      </c>
      <c r="BO165" s="137">
        <f t="shared" si="196"/>
        <v>30.528093262352016</v>
      </c>
      <c r="BP165" s="137">
        <f t="shared" si="196"/>
        <v>29.917531397104973</v>
      </c>
      <c r="BQ165" s="137">
        <f t="shared" si="196"/>
        <v>29.306969531857934</v>
      </c>
      <c r="BR165" s="137">
        <f t="shared" si="196"/>
        <v>28.696407666610888</v>
      </c>
    </row>
    <row r="166" spans="1:70">
      <c r="A166" t="s">
        <v>16</v>
      </c>
      <c r="B166" s="70" t="str">
        <f t="shared" si="193"/>
        <v>CER</v>
      </c>
      <c r="C166" s="70" t="str">
        <f t="shared" si="194"/>
        <v>Commercial - Refrigeration</v>
      </c>
      <c r="E166" s="89"/>
      <c r="F166" s="89"/>
      <c r="I166" s="132"/>
      <c r="L166" s="137">
        <f t="shared" si="195"/>
        <v>23.653112298997645</v>
      </c>
      <c r="M166" s="137">
        <f t="shared" si="195"/>
        <v>23.278877592066326</v>
      </c>
      <c r="N166" s="137">
        <f t="shared" si="195"/>
        <v>22.961699747841035</v>
      </c>
      <c r="O166" s="137">
        <f t="shared" si="195"/>
        <v>22.598326041962306</v>
      </c>
      <c r="P166" s="137">
        <f t="shared" si="195"/>
        <v>22.21288575965</v>
      </c>
      <c r="Q166" s="137">
        <f t="shared" si="195"/>
        <v>21.747564832910722</v>
      </c>
      <c r="R166" s="137">
        <f t="shared" si="195"/>
        <v>21.530089184581612</v>
      </c>
      <c r="S166" s="137">
        <f t="shared" si="195"/>
        <v>21.312613536252506</v>
      </c>
      <c r="T166" s="137">
        <f t="shared" si="195"/>
        <v>21.095137887923396</v>
      </c>
      <c r="U166" s="137">
        <f t="shared" si="195"/>
        <v>20.21576299497287</v>
      </c>
      <c r="V166" s="137">
        <f t="shared" si="195"/>
        <v>19.350177669618621</v>
      </c>
      <c r="W166" s="137">
        <f t="shared" si="195"/>
        <v>18.498381911860651</v>
      </c>
      <c r="X166" s="137">
        <f t="shared" si="195"/>
        <v>17.660375721698962</v>
      </c>
      <c r="Y166" s="137">
        <f t="shared" si="195"/>
        <v>16.83615909913355</v>
      </c>
      <c r="Z166" s="137">
        <f t="shared" si="195"/>
        <v>16.025732044164421</v>
      </c>
      <c r="AA166" s="137">
        <f t="shared" si="195"/>
        <v>15.229094556791567</v>
      </c>
      <c r="AB166" s="137">
        <f t="shared" si="195"/>
        <v>14.446246637014999</v>
      </c>
      <c r="AC166" s="137">
        <f t="shared" si="195"/>
        <v>13.677188284834706</v>
      </c>
      <c r="AD166" s="137">
        <f t="shared" si="195"/>
        <v>12.921919500250704</v>
      </c>
      <c r="AE166" s="137">
        <f t="shared" si="195"/>
        <v>12.773391689902995</v>
      </c>
      <c r="AF166" s="137">
        <f t="shared" si="195"/>
        <v>12.624863879555285</v>
      </c>
      <c r="AG166" s="137">
        <f t="shared" si="195"/>
        <v>12.476336069207576</v>
      </c>
      <c r="AH166" s="137">
        <f t="shared" si="195"/>
        <v>12.327808258859866</v>
      </c>
      <c r="AI166" s="137">
        <f t="shared" si="195"/>
        <v>12.179280448512158</v>
      </c>
      <c r="AJ166" s="137">
        <f t="shared" si="195"/>
        <v>12.030752638164447</v>
      </c>
      <c r="AK166" s="137">
        <f t="shared" si="195"/>
        <v>11.882224827816739</v>
      </c>
      <c r="AL166" s="137">
        <f t="shared" si="195"/>
        <v>11.733697017469028</v>
      </c>
      <c r="AM166" s="137">
        <f t="shared" si="195"/>
        <v>11.58516920712132</v>
      </c>
      <c r="AN166" s="137">
        <f t="shared" si="195"/>
        <v>11.436641396773609</v>
      </c>
      <c r="AO166" s="137">
        <f t="shared" si="195"/>
        <v>11.288113586425901</v>
      </c>
      <c r="AP166" s="137">
        <f t="shared" si="195"/>
        <v>11.13958577607819</v>
      </c>
      <c r="AQ166" s="137">
        <f t="shared" si="195"/>
        <v>10.99105796573048</v>
      </c>
      <c r="AR166" s="137">
        <f t="shared" si="195"/>
        <v>10.842530155382772</v>
      </c>
      <c r="AS166" s="137">
        <f t="shared" si="195"/>
        <v>10.694002345035061</v>
      </c>
      <c r="AT166" s="137">
        <f t="shared" si="195"/>
        <v>10.545474534687354</v>
      </c>
      <c r="AU166" s="137">
        <f t="shared" si="195"/>
        <v>10.396946724339642</v>
      </c>
      <c r="AV166" s="137">
        <f t="shared" si="195"/>
        <v>10.248418913991934</v>
      </c>
      <c r="AW166" s="137">
        <f t="shared" si="195"/>
        <v>10.099891103644225</v>
      </c>
      <c r="AX166" s="137">
        <f t="shared" si="195"/>
        <v>9.9513632932965148</v>
      </c>
      <c r="AY166" s="137">
        <f t="shared" si="196"/>
        <v>9.8028354829488062</v>
      </c>
      <c r="AZ166" s="137">
        <f t="shared" si="196"/>
        <v>9.6543076726010959</v>
      </c>
      <c r="BA166" s="137">
        <f t="shared" si="196"/>
        <v>9.5057798622533891</v>
      </c>
      <c r="BB166" s="137">
        <f t="shared" si="196"/>
        <v>9.3572520519056805</v>
      </c>
      <c r="BC166" s="137">
        <f t="shared" si="196"/>
        <v>9.2087242415579684</v>
      </c>
      <c r="BD166" s="137">
        <f t="shared" si="196"/>
        <v>9.0601964312102616</v>
      </c>
      <c r="BE166" s="137">
        <f t="shared" si="196"/>
        <v>8.9116686208625513</v>
      </c>
      <c r="BF166" s="137">
        <f t="shared" si="196"/>
        <v>8.7631408105148427</v>
      </c>
      <c r="BG166" s="137">
        <f t="shared" si="196"/>
        <v>8.6146130001671324</v>
      </c>
      <c r="BH166" s="137">
        <f t="shared" si="196"/>
        <v>8.466085189819422</v>
      </c>
      <c r="BI166" s="137">
        <f t="shared" si="196"/>
        <v>8.3175573794717135</v>
      </c>
      <c r="BJ166" s="137">
        <f t="shared" si="196"/>
        <v>8.1690295691240049</v>
      </c>
      <c r="BK166" s="137">
        <f t="shared" si="196"/>
        <v>8.0205017587762946</v>
      </c>
      <c r="BL166" s="137">
        <f t="shared" si="196"/>
        <v>7.871973948428586</v>
      </c>
      <c r="BM166" s="137">
        <f t="shared" si="196"/>
        <v>7.7234461380808748</v>
      </c>
      <c r="BN166" s="137">
        <f t="shared" si="196"/>
        <v>7.5749183277331653</v>
      </c>
      <c r="BO166" s="137">
        <f t="shared" si="196"/>
        <v>7.4263905173854576</v>
      </c>
      <c r="BP166" s="137">
        <f t="shared" si="196"/>
        <v>7.2778627070377473</v>
      </c>
      <c r="BQ166" s="137">
        <f t="shared" si="196"/>
        <v>7.1293348966900387</v>
      </c>
      <c r="BR166" s="137">
        <f t="shared" si="196"/>
        <v>6.9808070863423284</v>
      </c>
    </row>
    <row r="167" spans="1:70">
      <c r="A167" t="s">
        <v>16</v>
      </c>
      <c r="B167" s="70" t="str">
        <f t="shared" si="193"/>
        <v>CEW</v>
      </c>
      <c r="C167" s="70" t="str">
        <f t="shared" si="194"/>
        <v>Commercial - Water Heating</v>
      </c>
      <c r="E167" s="89"/>
      <c r="F167" s="89"/>
      <c r="I167" s="132"/>
      <c r="L167" s="137">
        <f t="shared" si="195"/>
        <v>7.7464872184600253</v>
      </c>
      <c r="M167" s="137">
        <f t="shared" si="195"/>
        <v>8.4692681971353831</v>
      </c>
      <c r="N167" s="137">
        <f t="shared" si="195"/>
        <v>9.2308078133375027</v>
      </c>
      <c r="O167" s="137">
        <f t="shared" si="195"/>
        <v>9.9935885524186716</v>
      </c>
      <c r="P167" s="137">
        <f t="shared" si="195"/>
        <v>10.765198898839662</v>
      </c>
      <c r="Q167" s="137">
        <f t="shared" si="195"/>
        <v>11.51370704778744</v>
      </c>
      <c r="R167" s="137">
        <f t="shared" si="195"/>
        <v>11.398569977309565</v>
      </c>
      <c r="S167" s="137">
        <f t="shared" si="195"/>
        <v>11.283432906831692</v>
      </c>
      <c r="T167" s="137">
        <f t="shared" si="195"/>
        <v>11.168295836353817</v>
      </c>
      <c r="U167" s="137">
        <f t="shared" si="195"/>
        <v>10.521054114859346</v>
      </c>
      <c r="V167" s="137">
        <f t="shared" si="195"/>
        <v>9.8848979069277192</v>
      </c>
      <c r="W167" s="137">
        <f t="shared" si="195"/>
        <v>9.2598272125589407</v>
      </c>
      <c r="X167" s="137">
        <f t="shared" si="195"/>
        <v>8.6458420317530074</v>
      </c>
      <c r="Y167" s="137">
        <f t="shared" si="195"/>
        <v>8.0429423645099192</v>
      </c>
      <c r="Z167" s="137">
        <f t="shared" si="195"/>
        <v>7.4511282108296779</v>
      </c>
      <c r="AA167" s="137">
        <f t="shared" si="195"/>
        <v>6.87039957071228</v>
      </c>
      <c r="AB167" s="137">
        <f t="shared" si="195"/>
        <v>6.3007564441577308</v>
      </c>
      <c r="AC167" s="137">
        <f t="shared" si="195"/>
        <v>5.7421988311660259</v>
      </c>
      <c r="AD167" s="137">
        <f t="shared" si="195"/>
        <v>5.1947267317371688</v>
      </c>
      <c r="AE167" s="137">
        <f t="shared" si="195"/>
        <v>5.1350172290735232</v>
      </c>
      <c r="AF167" s="137">
        <f t="shared" si="195"/>
        <v>5.0753077264098776</v>
      </c>
      <c r="AG167" s="137">
        <f t="shared" si="195"/>
        <v>5.015598223746232</v>
      </c>
      <c r="AH167" s="137">
        <f t="shared" si="195"/>
        <v>4.9558887210825864</v>
      </c>
      <c r="AI167" s="137">
        <f t="shared" si="195"/>
        <v>4.8961792184189408</v>
      </c>
      <c r="AJ167" s="137">
        <f t="shared" si="195"/>
        <v>4.8364697157552952</v>
      </c>
      <c r="AK167" s="137">
        <f t="shared" si="195"/>
        <v>4.7767602130916496</v>
      </c>
      <c r="AL167" s="137">
        <f t="shared" si="195"/>
        <v>4.7170507104280039</v>
      </c>
      <c r="AM167" s="137">
        <f t="shared" si="195"/>
        <v>4.6573412077643583</v>
      </c>
      <c r="AN167" s="137">
        <f t="shared" si="195"/>
        <v>4.5976317051007118</v>
      </c>
      <c r="AO167" s="137">
        <f t="shared" si="195"/>
        <v>4.5379222024370662</v>
      </c>
      <c r="AP167" s="137">
        <f t="shared" si="195"/>
        <v>4.4782126997734206</v>
      </c>
      <c r="AQ167" s="137">
        <f t="shared" si="195"/>
        <v>4.418503197109775</v>
      </c>
      <c r="AR167" s="137">
        <f t="shared" si="195"/>
        <v>4.3587936944461285</v>
      </c>
      <c r="AS167" s="137">
        <f t="shared" si="195"/>
        <v>4.2990841917824838</v>
      </c>
      <c r="AT167" s="137">
        <f t="shared" si="195"/>
        <v>4.2393746891188382</v>
      </c>
      <c r="AU167" s="137">
        <f t="shared" si="195"/>
        <v>4.1796651864551926</v>
      </c>
      <c r="AV167" s="137">
        <f t="shared" si="195"/>
        <v>4.119955683791547</v>
      </c>
      <c r="AW167" s="137">
        <f t="shared" si="195"/>
        <v>4.0602461811279014</v>
      </c>
      <c r="AX167" s="137">
        <f t="shared" si="195"/>
        <v>4.0005366784642558</v>
      </c>
      <c r="AY167" s="137">
        <f t="shared" si="196"/>
        <v>3.9408271758006097</v>
      </c>
      <c r="AZ167" s="137">
        <f t="shared" si="196"/>
        <v>3.8811176731369641</v>
      </c>
      <c r="BA167" s="137">
        <f t="shared" si="196"/>
        <v>3.821408170473318</v>
      </c>
      <c r="BB167" s="137">
        <f t="shared" si="196"/>
        <v>3.7616986678096733</v>
      </c>
      <c r="BC167" s="137">
        <f t="shared" si="196"/>
        <v>3.7019891651460268</v>
      </c>
      <c r="BD167" s="137">
        <f t="shared" si="196"/>
        <v>3.6422796624823817</v>
      </c>
      <c r="BE167" s="137">
        <f t="shared" si="196"/>
        <v>3.5825701598187361</v>
      </c>
      <c r="BF167" s="137">
        <f t="shared" si="196"/>
        <v>3.5228606571550904</v>
      </c>
      <c r="BG167" s="137">
        <f t="shared" si="196"/>
        <v>3.4631511544914448</v>
      </c>
      <c r="BH167" s="137">
        <f t="shared" si="196"/>
        <v>3.4034416518277983</v>
      </c>
      <c r="BI167" s="137">
        <f t="shared" si="196"/>
        <v>3.3437321491641527</v>
      </c>
      <c r="BJ167" s="137">
        <f t="shared" si="196"/>
        <v>3.2840226465005076</v>
      </c>
      <c r="BK167" s="137">
        <f t="shared" si="196"/>
        <v>3.2243131438368615</v>
      </c>
      <c r="BL167" s="137">
        <f t="shared" si="196"/>
        <v>3.1646036411732164</v>
      </c>
      <c r="BM167" s="137">
        <f t="shared" si="196"/>
        <v>3.1048941385095699</v>
      </c>
      <c r="BN167" s="137">
        <f t="shared" si="196"/>
        <v>3.0451846358459242</v>
      </c>
      <c r="BO167" s="137">
        <f t="shared" si="196"/>
        <v>2.9854751331822791</v>
      </c>
      <c r="BP167" s="137">
        <f t="shared" si="196"/>
        <v>2.925765630518633</v>
      </c>
      <c r="BQ167" s="137">
        <f t="shared" si="196"/>
        <v>2.8660561278549874</v>
      </c>
      <c r="BR167" s="137">
        <f t="shared" si="196"/>
        <v>2.8063466251913414</v>
      </c>
    </row>
    <row r="168" spans="1:70">
      <c r="A168" t="s">
        <v>16</v>
      </c>
      <c r="B168" s="70" t="str">
        <f t="shared" si="193"/>
        <v>CEG</v>
      </c>
      <c r="C168" s="70" t="str">
        <f t="shared" si="194"/>
        <v>Commercial - Public lights</v>
      </c>
      <c r="E168" s="89"/>
      <c r="F168" s="89"/>
      <c r="I168" s="132"/>
      <c r="L168" s="137">
        <f t="shared" si="195"/>
        <v>0</v>
      </c>
      <c r="M168" s="137">
        <f t="shared" si="195"/>
        <v>0</v>
      </c>
      <c r="N168" s="137">
        <f t="shared" si="195"/>
        <v>0</v>
      </c>
      <c r="O168" s="137">
        <f t="shared" si="195"/>
        <v>0</v>
      </c>
      <c r="P168" s="137">
        <f t="shared" si="195"/>
        <v>0</v>
      </c>
      <c r="Q168" s="137">
        <f t="shared" si="195"/>
        <v>0</v>
      </c>
      <c r="R168" s="137">
        <f t="shared" si="195"/>
        <v>0</v>
      </c>
      <c r="S168" s="137">
        <f t="shared" si="195"/>
        <v>0</v>
      </c>
      <c r="T168" s="137">
        <f t="shared" si="195"/>
        <v>0</v>
      </c>
      <c r="U168" s="137">
        <f t="shared" si="195"/>
        <v>0</v>
      </c>
      <c r="V168" s="137">
        <f t="shared" si="195"/>
        <v>0</v>
      </c>
      <c r="W168" s="137">
        <f t="shared" si="195"/>
        <v>0</v>
      </c>
      <c r="X168" s="137">
        <f t="shared" si="195"/>
        <v>0</v>
      </c>
      <c r="Y168" s="137">
        <f t="shared" si="195"/>
        <v>0</v>
      </c>
      <c r="Z168" s="137">
        <f t="shared" si="195"/>
        <v>0</v>
      </c>
      <c r="AA168" s="137">
        <f t="shared" si="195"/>
        <v>0</v>
      </c>
      <c r="AB168" s="137">
        <f t="shared" si="195"/>
        <v>0</v>
      </c>
      <c r="AC168" s="137">
        <f t="shared" si="195"/>
        <v>0</v>
      </c>
      <c r="AD168" s="137">
        <f t="shared" si="195"/>
        <v>0</v>
      </c>
      <c r="AE168" s="137">
        <f t="shared" si="195"/>
        <v>0</v>
      </c>
      <c r="AF168" s="137">
        <f t="shared" si="195"/>
        <v>0</v>
      </c>
      <c r="AG168" s="137">
        <f t="shared" si="195"/>
        <v>0</v>
      </c>
      <c r="AH168" s="137">
        <f t="shared" ref="AH168:AX168" si="197">AH$35*AH76/1000</f>
        <v>0</v>
      </c>
      <c r="AI168" s="137">
        <f t="shared" si="197"/>
        <v>0</v>
      </c>
      <c r="AJ168" s="137">
        <f t="shared" si="197"/>
        <v>0</v>
      </c>
      <c r="AK168" s="137">
        <f t="shared" si="197"/>
        <v>0</v>
      </c>
      <c r="AL168" s="137">
        <f t="shared" si="197"/>
        <v>0</v>
      </c>
      <c r="AM168" s="137">
        <f t="shared" si="197"/>
        <v>0</v>
      </c>
      <c r="AN168" s="137">
        <f t="shared" si="197"/>
        <v>0</v>
      </c>
      <c r="AO168" s="137">
        <f t="shared" si="197"/>
        <v>0</v>
      </c>
      <c r="AP168" s="137">
        <f t="shared" si="197"/>
        <v>0</v>
      </c>
      <c r="AQ168" s="137">
        <f t="shared" si="197"/>
        <v>0</v>
      </c>
      <c r="AR168" s="137">
        <f t="shared" si="197"/>
        <v>0</v>
      </c>
      <c r="AS168" s="137">
        <f t="shared" si="197"/>
        <v>0</v>
      </c>
      <c r="AT168" s="137">
        <f t="shared" si="197"/>
        <v>0</v>
      </c>
      <c r="AU168" s="137">
        <f t="shared" si="197"/>
        <v>0</v>
      </c>
      <c r="AV168" s="137">
        <f t="shared" si="197"/>
        <v>0</v>
      </c>
      <c r="AW168" s="137">
        <f t="shared" si="197"/>
        <v>0</v>
      </c>
      <c r="AX168" s="137">
        <f t="shared" si="197"/>
        <v>0</v>
      </c>
      <c r="AY168" s="137">
        <f t="shared" ref="AY168:BR168" si="198">AY$35*AY76/1000</f>
        <v>0</v>
      </c>
      <c r="AZ168" s="137">
        <f t="shared" si="198"/>
        <v>0</v>
      </c>
      <c r="BA168" s="137">
        <f t="shared" si="198"/>
        <v>0</v>
      </c>
      <c r="BB168" s="137">
        <f t="shared" si="198"/>
        <v>0</v>
      </c>
      <c r="BC168" s="137">
        <f t="shared" si="198"/>
        <v>0</v>
      </c>
      <c r="BD168" s="137">
        <f t="shared" si="198"/>
        <v>0</v>
      </c>
      <c r="BE168" s="137">
        <f t="shared" si="198"/>
        <v>0</v>
      </c>
      <c r="BF168" s="137">
        <f t="shared" si="198"/>
        <v>0</v>
      </c>
      <c r="BG168" s="137">
        <f t="shared" si="198"/>
        <v>0</v>
      </c>
      <c r="BH168" s="137">
        <f t="shared" si="198"/>
        <v>0</v>
      </c>
      <c r="BI168" s="137">
        <f t="shared" si="198"/>
        <v>0</v>
      </c>
      <c r="BJ168" s="137">
        <f t="shared" si="198"/>
        <v>0</v>
      </c>
      <c r="BK168" s="137">
        <f t="shared" si="198"/>
        <v>0</v>
      </c>
      <c r="BL168" s="137">
        <f t="shared" si="198"/>
        <v>0</v>
      </c>
      <c r="BM168" s="137">
        <f t="shared" si="198"/>
        <v>0</v>
      </c>
      <c r="BN168" s="137">
        <f t="shared" si="198"/>
        <v>0</v>
      </c>
      <c r="BO168" s="137">
        <f t="shared" si="198"/>
        <v>0</v>
      </c>
      <c r="BP168" s="137">
        <f t="shared" si="198"/>
        <v>0</v>
      </c>
      <c r="BQ168" s="137">
        <f t="shared" si="198"/>
        <v>0</v>
      </c>
      <c r="BR168" s="137">
        <f t="shared" si="198"/>
        <v>0</v>
      </c>
    </row>
    <row r="169" spans="1:70">
      <c r="A169" t="s">
        <v>16</v>
      </c>
      <c r="B169" s="70" t="str">
        <f t="shared" si="193"/>
        <v>CET</v>
      </c>
      <c r="C169" s="70" t="str">
        <f t="shared" si="194"/>
        <v>Commercial - Public Water</v>
      </c>
      <c r="E169" s="89"/>
      <c r="F169" s="89"/>
      <c r="I169" s="132"/>
      <c r="L169" s="137">
        <f t="shared" ref="L169:AX170" si="199">L$35*L77/1000</f>
        <v>0</v>
      </c>
      <c r="M169" s="137">
        <f t="shared" si="199"/>
        <v>0</v>
      </c>
      <c r="N169" s="137">
        <f t="shared" si="199"/>
        <v>0</v>
      </c>
      <c r="O169" s="137">
        <f t="shared" si="199"/>
        <v>0</v>
      </c>
      <c r="P169" s="137">
        <f t="shared" si="199"/>
        <v>0</v>
      </c>
      <c r="Q169" s="137">
        <f t="shared" si="199"/>
        <v>0</v>
      </c>
      <c r="R169" s="137">
        <f t="shared" si="199"/>
        <v>0</v>
      </c>
      <c r="S169" s="137">
        <f t="shared" si="199"/>
        <v>0</v>
      </c>
      <c r="T169" s="137">
        <f t="shared" si="199"/>
        <v>0</v>
      </c>
      <c r="U169" s="137">
        <f t="shared" si="199"/>
        <v>0</v>
      </c>
      <c r="V169" s="137">
        <f t="shared" si="199"/>
        <v>0</v>
      </c>
      <c r="W169" s="137">
        <f t="shared" si="199"/>
        <v>0</v>
      </c>
      <c r="X169" s="137">
        <f t="shared" si="199"/>
        <v>0</v>
      </c>
      <c r="Y169" s="137">
        <f t="shared" si="199"/>
        <v>0</v>
      </c>
      <c r="Z169" s="137">
        <f t="shared" si="199"/>
        <v>0</v>
      </c>
      <c r="AA169" s="137">
        <f t="shared" si="199"/>
        <v>0</v>
      </c>
      <c r="AB169" s="137">
        <f t="shared" si="199"/>
        <v>0</v>
      </c>
      <c r="AC169" s="137">
        <f t="shared" si="199"/>
        <v>0</v>
      </c>
      <c r="AD169" s="137">
        <f t="shared" si="199"/>
        <v>0</v>
      </c>
      <c r="AE169" s="137">
        <f t="shared" si="199"/>
        <v>0</v>
      </c>
      <c r="AF169" s="137">
        <f t="shared" si="199"/>
        <v>0</v>
      </c>
      <c r="AG169" s="137">
        <f t="shared" si="199"/>
        <v>0</v>
      </c>
      <c r="AH169" s="137">
        <f t="shared" si="199"/>
        <v>0</v>
      </c>
      <c r="AI169" s="137">
        <f t="shared" si="199"/>
        <v>0</v>
      </c>
      <c r="AJ169" s="137">
        <f t="shared" si="199"/>
        <v>0</v>
      </c>
      <c r="AK169" s="137">
        <f t="shared" si="199"/>
        <v>0</v>
      </c>
      <c r="AL169" s="137">
        <f t="shared" si="199"/>
        <v>0</v>
      </c>
      <c r="AM169" s="137">
        <f t="shared" si="199"/>
        <v>0</v>
      </c>
      <c r="AN169" s="137">
        <f t="shared" si="199"/>
        <v>0</v>
      </c>
      <c r="AO169" s="137">
        <f t="shared" si="199"/>
        <v>0</v>
      </c>
      <c r="AP169" s="137">
        <f t="shared" si="199"/>
        <v>0</v>
      </c>
      <c r="AQ169" s="137">
        <f t="shared" si="199"/>
        <v>0</v>
      </c>
      <c r="AR169" s="137">
        <f t="shared" si="199"/>
        <v>0</v>
      </c>
      <c r="AS169" s="137">
        <f t="shared" si="199"/>
        <v>0</v>
      </c>
      <c r="AT169" s="137">
        <f t="shared" si="199"/>
        <v>0</v>
      </c>
      <c r="AU169" s="137">
        <f t="shared" si="199"/>
        <v>0</v>
      </c>
      <c r="AV169" s="137">
        <f t="shared" si="199"/>
        <v>0</v>
      </c>
      <c r="AW169" s="137">
        <f t="shared" si="199"/>
        <v>0</v>
      </c>
      <c r="AX169" s="137">
        <f t="shared" si="199"/>
        <v>0</v>
      </c>
      <c r="AY169" s="137">
        <f t="shared" ref="AY169:BR169" si="200">AY$35*AY77/1000</f>
        <v>0</v>
      </c>
      <c r="AZ169" s="137">
        <f t="shared" si="200"/>
        <v>0</v>
      </c>
      <c r="BA169" s="137">
        <f t="shared" si="200"/>
        <v>0</v>
      </c>
      <c r="BB169" s="137">
        <f t="shared" si="200"/>
        <v>0</v>
      </c>
      <c r="BC169" s="137">
        <f t="shared" si="200"/>
        <v>0</v>
      </c>
      <c r="BD169" s="137">
        <f t="shared" si="200"/>
        <v>0</v>
      </c>
      <c r="BE169" s="137">
        <f t="shared" si="200"/>
        <v>0</v>
      </c>
      <c r="BF169" s="137">
        <f t="shared" si="200"/>
        <v>0</v>
      </c>
      <c r="BG169" s="137">
        <f t="shared" si="200"/>
        <v>0</v>
      </c>
      <c r="BH169" s="137">
        <f t="shared" si="200"/>
        <v>0</v>
      </c>
      <c r="BI169" s="137">
        <f t="shared" si="200"/>
        <v>0</v>
      </c>
      <c r="BJ169" s="137">
        <f t="shared" si="200"/>
        <v>0</v>
      </c>
      <c r="BK169" s="137">
        <f t="shared" si="200"/>
        <v>0</v>
      </c>
      <c r="BL169" s="137">
        <f t="shared" si="200"/>
        <v>0</v>
      </c>
      <c r="BM169" s="137">
        <f t="shared" si="200"/>
        <v>0</v>
      </c>
      <c r="BN169" s="137">
        <f t="shared" si="200"/>
        <v>0</v>
      </c>
      <c r="BO169" s="137">
        <f t="shared" si="200"/>
        <v>0</v>
      </c>
      <c r="BP169" s="137">
        <f t="shared" si="200"/>
        <v>0</v>
      </c>
      <c r="BQ169" s="137">
        <f t="shared" si="200"/>
        <v>0</v>
      </c>
      <c r="BR169" s="137">
        <f t="shared" si="200"/>
        <v>0</v>
      </c>
    </row>
    <row r="170" spans="1:70">
      <c r="A170" t="s">
        <v>16</v>
      </c>
      <c r="B170" s="70" t="str">
        <f t="shared" si="193"/>
        <v>CEO</v>
      </c>
      <c r="C170" s="70" t="str">
        <f t="shared" si="194"/>
        <v>Commercial - Other</v>
      </c>
      <c r="E170" s="89"/>
      <c r="F170" s="89"/>
      <c r="I170" s="132"/>
      <c r="L170" s="137">
        <f t="shared" si="199"/>
        <v>15.008147485663144</v>
      </c>
      <c r="M170" s="137">
        <f t="shared" si="199"/>
        <v>15.225023835481934</v>
      </c>
      <c r="N170" s="137">
        <f t="shared" si="199"/>
        <v>15.488891259804479</v>
      </c>
      <c r="O170" s="137">
        <f t="shared" si="199"/>
        <v>15.732245260507138</v>
      </c>
      <c r="P170" s="137">
        <f t="shared" si="199"/>
        <v>15.970227387974866</v>
      </c>
      <c r="Q170" s="137">
        <f t="shared" si="199"/>
        <v>16.159168491058402</v>
      </c>
      <c r="R170" s="137">
        <f t="shared" si="199"/>
        <v>15.997576806147817</v>
      </c>
      <c r="S170" s="137">
        <f t="shared" si="199"/>
        <v>15.835985121237234</v>
      </c>
      <c r="T170" s="137">
        <f t="shared" si="199"/>
        <v>15.67439343632665</v>
      </c>
      <c r="U170" s="137">
        <f t="shared" si="199"/>
        <v>14.923344909757811</v>
      </c>
      <c r="V170" s="137">
        <f t="shared" si="199"/>
        <v>14.184576734056851</v>
      </c>
      <c r="W170" s="137">
        <f t="shared" si="199"/>
        <v>13.458088909223774</v>
      </c>
      <c r="X170" s="137">
        <f t="shared" si="199"/>
        <v>12.743881435258576</v>
      </c>
      <c r="Y170" s="137">
        <f t="shared" si="199"/>
        <v>12.041954312161256</v>
      </c>
      <c r="Z170" s="137">
        <f t="shared" si="199"/>
        <v>11.352307539931818</v>
      </c>
      <c r="AA170" s="137">
        <f t="shared" si="199"/>
        <v>10.674941118570262</v>
      </c>
      <c r="AB170" s="137">
        <f t="shared" si="199"/>
        <v>10.009855048076584</v>
      </c>
      <c r="AC170" s="137">
        <f t="shared" si="199"/>
        <v>9.3570493284507883</v>
      </c>
      <c r="AD170" s="137">
        <f t="shared" si="199"/>
        <v>8.7165239596928714</v>
      </c>
      <c r="AE170" s="137">
        <f t="shared" si="199"/>
        <v>8.6163340291216901</v>
      </c>
      <c r="AF170" s="137">
        <f t="shared" si="199"/>
        <v>8.516144098550507</v>
      </c>
      <c r="AG170" s="137">
        <f t="shared" si="199"/>
        <v>8.4159541679793257</v>
      </c>
      <c r="AH170" s="137">
        <f t="shared" si="199"/>
        <v>8.3157642374081409</v>
      </c>
      <c r="AI170" s="137">
        <f t="shared" si="199"/>
        <v>8.2155743068369596</v>
      </c>
      <c r="AJ170" s="137">
        <f t="shared" si="199"/>
        <v>8.1153843762657765</v>
      </c>
      <c r="AK170" s="137">
        <f t="shared" si="199"/>
        <v>8.0151944456945934</v>
      </c>
      <c r="AL170" s="137">
        <f t="shared" si="199"/>
        <v>7.9150045151234121</v>
      </c>
      <c r="AM170" s="137">
        <f t="shared" si="199"/>
        <v>7.814814584552229</v>
      </c>
      <c r="AN170" s="137">
        <f t="shared" si="199"/>
        <v>7.7146246539810459</v>
      </c>
      <c r="AO170" s="137">
        <f t="shared" si="199"/>
        <v>7.6144347234098628</v>
      </c>
      <c r="AP170" s="137">
        <f t="shared" si="199"/>
        <v>7.5142447928386806</v>
      </c>
      <c r="AQ170" s="137">
        <f t="shared" si="199"/>
        <v>7.4140548622674984</v>
      </c>
      <c r="AR170" s="137">
        <f t="shared" si="199"/>
        <v>7.3138649316963154</v>
      </c>
      <c r="AS170" s="137">
        <f t="shared" si="199"/>
        <v>7.2136750011251332</v>
      </c>
      <c r="AT170" s="137">
        <f t="shared" si="199"/>
        <v>7.1134850705539519</v>
      </c>
      <c r="AU170" s="137">
        <f t="shared" si="199"/>
        <v>7.0132951399827679</v>
      </c>
      <c r="AV170" s="137">
        <f t="shared" si="199"/>
        <v>6.9131052094115866</v>
      </c>
      <c r="AW170" s="137">
        <f t="shared" si="199"/>
        <v>6.8129152788404035</v>
      </c>
      <c r="AX170" s="137">
        <f t="shared" si="199"/>
        <v>6.7127253482692213</v>
      </c>
      <c r="AY170" s="137">
        <f t="shared" ref="AY170:BR170" si="201">AY$35*AY78/1000</f>
        <v>6.6125354176980382</v>
      </c>
      <c r="AZ170" s="137">
        <f t="shared" si="201"/>
        <v>6.512345487126856</v>
      </c>
      <c r="BA170" s="137">
        <f t="shared" si="201"/>
        <v>6.4121555565556729</v>
      </c>
      <c r="BB170" s="137">
        <f t="shared" si="201"/>
        <v>6.3119656259844916</v>
      </c>
      <c r="BC170" s="137">
        <f t="shared" si="201"/>
        <v>6.2117756954133077</v>
      </c>
      <c r="BD170" s="137">
        <f t="shared" si="201"/>
        <v>6.1115857648421263</v>
      </c>
      <c r="BE170" s="137">
        <f t="shared" si="201"/>
        <v>6.0113958342709441</v>
      </c>
      <c r="BF170" s="137">
        <f t="shared" si="201"/>
        <v>5.9112059036997611</v>
      </c>
      <c r="BG170" s="137">
        <f t="shared" si="201"/>
        <v>5.8110159731285789</v>
      </c>
      <c r="BH170" s="137">
        <f t="shared" si="201"/>
        <v>5.7108260425573949</v>
      </c>
      <c r="BI170" s="137">
        <f t="shared" si="201"/>
        <v>5.6106361119862127</v>
      </c>
      <c r="BJ170" s="137">
        <f t="shared" si="201"/>
        <v>5.5104461814150305</v>
      </c>
      <c r="BK170" s="137">
        <f t="shared" si="201"/>
        <v>5.4102562508438474</v>
      </c>
      <c r="BL170" s="137">
        <f t="shared" si="201"/>
        <v>5.3100663202726652</v>
      </c>
      <c r="BM170" s="137">
        <f t="shared" si="201"/>
        <v>5.2098763897014821</v>
      </c>
      <c r="BN170" s="137">
        <f t="shared" si="201"/>
        <v>5.1096864591303</v>
      </c>
      <c r="BO170" s="137">
        <f t="shared" si="201"/>
        <v>5.0094965285591186</v>
      </c>
      <c r="BP170" s="137">
        <f t="shared" si="201"/>
        <v>4.9093065979879347</v>
      </c>
      <c r="BQ170" s="137">
        <f t="shared" si="201"/>
        <v>4.8091166674167534</v>
      </c>
      <c r="BR170" s="137">
        <f t="shared" si="201"/>
        <v>4.7089267368455703</v>
      </c>
    </row>
    <row r="171" spans="1:70">
      <c r="A171" t="s">
        <v>16</v>
      </c>
      <c r="E171" s="89"/>
      <c r="F171" s="89"/>
      <c r="I171" s="132"/>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c r="BG171" s="77"/>
      <c r="BH171" s="77"/>
      <c r="BI171" s="77"/>
      <c r="BJ171" s="77"/>
      <c r="BK171" s="77"/>
      <c r="BL171" s="77"/>
      <c r="BM171" s="77"/>
      <c r="BN171" s="77"/>
      <c r="BO171" s="77"/>
      <c r="BP171" s="77"/>
      <c r="BQ171" s="77"/>
      <c r="BR171" s="77"/>
    </row>
    <row r="172" spans="1:70">
      <c r="A172" t="s">
        <v>16</v>
      </c>
      <c r="E172" s="89"/>
      <c r="F172" s="89"/>
      <c r="I172" s="135"/>
      <c r="J172" s="90"/>
      <c r="K172" s="90"/>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row>
    <row r="173" spans="1:70" ht="15.75" thickBot="1">
      <c r="A173" t="s">
        <v>16</v>
      </c>
      <c r="B173" s="136" t="s">
        <v>467</v>
      </c>
      <c r="C173" s="68"/>
      <c r="D173" s="68"/>
      <c r="I173" s="135" t="s">
        <v>97</v>
      </c>
      <c r="J173" s="90"/>
      <c r="K173" s="90"/>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row>
    <row r="174" spans="1:70">
      <c r="A174" t="s">
        <v>16</v>
      </c>
      <c r="B174" s="70" t="str">
        <f t="shared" ref="B174:B182" si="202">B105</f>
        <v>CNC</v>
      </c>
      <c r="C174" s="70" t="str">
        <f t="shared" ref="C174:C182" si="203">C162</f>
        <v>Commercial - Cooling</v>
      </c>
      <c r="E174" s="89"/>
      <c r="F174" s="89"/>
      <c r="I174" s="135"/>
      <c r="J174" s="90"/>
      <c r="K174" s="90"/>
      <c r="L174" s="137">
        <f t="shared" ref="L174:AA182" si="204">INDEX(L$49:L$52,MATCH($I$173,$B$49:$B$52,0),1)*INDEX(L$81:L$89,MATCH($B174,$B$81:$B$89,0))*INDEX(L$105:L$113,MATCH($B174,$B$105:$B$113,0))/1000</f>
        <v>0</v>
      </c>
      <c r="M174" s="137">
        <f t="shared" si="204"/>
        <v>0</v>
      </c>
      <c r="N174" s="137">
        <f t="shared" si="204"/>
        <v>0</v>
      </c>
      <c r="O174" s="137">
        <f t="shared" si="204"/>
        <v>0</v>
      </c>
      <c r="P174" s="137">
        <f t="shared" si="204"/>
        <v>0</v>
      </c>
      <c r="Q174" s="137">
        <f t="shared" si="204"/>
        <v>0</v>
      </c>
      <c r="R174" s="137">
        <f t="shared" si="204"/>
        <v>0</v>
      </c>
      <c r="S174" s="137">
        <f t="shared" si="204"/>
        <v>0</v>
      </c>
      <c r="T174" s="137">
        <f t="shared" si="204"/>
        <v>0</v>
      </c>
      <c r="U174" s="137">
        <f t="shared" si="204"/>
        <v>0</v>
      </c>
      <c r="V174" s="137">
        <f t="shared" si="204"/>
        <v>0</v>
      </c>
      <c r="W174" s="137">
        <f t="shared" si="204"/>
        <v>0</v>
      </c>
      <c r="X174" s="137">
        <f t="shared" si="204"/>
        <v>0</v>
      </c>
      <c r="Y174" s="137">
        <f t="shared" si="204"/>
        <v>0</v>
      </c>
      <c r="Z174" s="137">
        <f t="shared" si="204"/>
        <v>0</v>
      </c>
      <c r="AA174" s="137">
        <f t="shared" si="204"/>
        <v>0</v>
      </c>
      <c r="AB174" s="137">
        <f t="shared" ref="AB174:AQ182" si="205">INDEX(AB$49:AB$52,MATCH($I$173,$B$49:$B$52,0),1)*INDEX(AB$81:AB$89,MATCH($B174,$B$81:$B$89,0))*INDEX(AB$105:AB$113,MATCH($B174,$B$105:$B$113,0))/1000</f>
        <v>0</v>
      </c>
      <c r="AC174" s="137">
        <f t="shared" si="205"/>
        <v>0</v>
      </c>
      <c r="AD174" s="137">
        <f t="shared" si="205"/>
        <v>0</v>
      </c>
      <c r="AE174" s="137">
        <f t="shared" si="205"/>
        <v>0</v>
      </c>
      <c r="AF174" s="137">
        <f t="shared" si="205"/>
        <v>0</v>
      </c>
      <c r="AG174" s="137">
        <f t="shared" si="205"/>
        <v>0</v>
      </c>
      <c r="AH174" s="137">
        <f t="shared" si="205"/>
        <v>0</v>
      </c>
      <c r="AI174" s="137">
        <f t="shared" si="205"/>
        <v>0</v>
      </c>
      <c r="AJ174" s="137">
        <f t="shared" si="205"/>
        <v>0</v>
      </c>
      <c r="AK174" s="137">
        <f t="shared" si="205"/>
        <v>0</v>
      </c>
      <c r="AL174" s="137">
        <f t="shared" si="205"/>
        <v>0</v>
      </c>
      <c r="AM174" s="137">
        <f t="shared" si="205"/>
        <v>0</v>
      </c>
      <c r="AN174" s="137">
        <f t="shared" si="205"/>
        <v>0</v>
      </c>
      <c r="AO174" s="137">
        <f t="shared" si="205"/>
        <v>0</v>
      </c>
      <c r="AP174" s="137">
        <f t="shared" si="205"/>
        <v>0</v>
      </c>
      <c r="AQ174" s="137">
        <f t="shared" si="205"/>
        <v>0</v>
      </c>
      <c r="AR174" s="137">
        <f t="shared" ref="AP174:BE182" si="206">INDEX(AR$49:AR$52,MATCH($I$173,$B$49:$B$52,0),1)*INDEX(AR$81:AR$89,MATCH($B174,$B$81:$B$89,0))*INDEX(AR$105:AR$113,MATCH($B174,$B$105:$B$113,0))/1000</f>
        <v>0</v>
      </c>
      <c r="AS174" s="137">
        <f t="shared" si="206"/>
        <v>0</v>
      </c>
      <c r="AT174" s="137">
        <f t="shared" si="206"/>
        <v>0</v>
      </c>
      <c r="AU174" s="137">
        <f t="shared" si="206"/>
        <v>0</v>
      </c>
      <c r="AV174" s="137">
        <f t="shared" si="206"/>
        <v>0</v>
      </c>
      <c r="AW174" s="137">
        <f t="shared" si="206"/>
        <v>0</v>
      </c>
      <c r="AX174" s="137">
        <f t="shared" si="206"/>
        <v>0</v>
      </c>
      <c r="AY174" s="137">
        <f t="shared" si="206"/>
        <v>0</v>
      </c>
      <c r="AZ174" s="137">
        <f t="shared" si="206"/>
        <v>0</v>
      </c>
      <c r="BA174" s="137">
        <f t="shared" si="206"/>
        <v>0</v>
      </c>
      <c r="BB174" s="137">
        <f t="shared" si="206"/>
        <v>0</v>
      </c>
      <c r="BC174" s="137">
        <f t="shared" si="206"/>
        <v>0</v>
      </c>
      <c r="BD174" s="137">
        <f t="shared" si="206"/>
        <v>0</v>
      </c>
      <c r="BE174" s="137">
        <f t="shared" si="206"/>
        <v>0</v>
      </c>
      <c r="BF174" s="137">
        <f t="shared" ref="AY174:BR180" si="207">INDEX(BF$49:BF$52,MATCH($I$173,$B$49:$B$52,0),1)*INDEX(BF$81:BF$89,MATCH($B174,$B$81:$B$89,0))*INDEX(BF$105:BF$113,MATCH($B174,$B$105:$B$113,0))/1000</f>
        <v>0</v>
      </c>
      <c r="BG174" s="137">
        <f t="shared" si="207"/>
        <v>0</v>
      </c>
      <c r="BH174" s="137">
        <f t="shared" si="207"/>
        <v>0</v>
      </c>
      <c r="BI174" s="137">
        <f t="shared" si="207"/>
        <v>0</v>
      </c>
      <c r="BJ174" s="137">
        <f t="shared" si="207"/>
        <v>0</v>
      </c>
      <c r="BK174" s="137">
        <f t="shared" si="207"/>
        <v>0</v>
      </c>
      <c r="BL174" s="137">
        <f t="shared" si="207"/>
        <v>0</v>
      </c>
      <c r="BM174" s="137">
        <f t="shared" si="207"/>
        <v>0</v>
      </c>
      <c r="BN174" s="137">
        <f t="shared" si="207"/>
        <v>0</v>
      </c>
      <c r="BO174" s="137">
        <f t="shared" si="207"/>
        <v>0</v>
      </c>
      <c r="BP174" s="137">
        <f t="shared" si="207"/>
        <v>0</v>
      </c>
      <c r="BQ174" s="137">
        <f t="shared" si="207"/>
        <v>0</v>
      </c>
      <c r="BR174" s="137">
        <f t="shared" si="207"/>
        <v>0</v>
      </c>
    </row>
    <row r="175" spans="1:70">
      <c r="A175" t="s">
        <v>16</v>
      </c>
      <c r="B175" s="70" t="str">
        <f t="shared" si="202"/>
        <v>CNH</v>
      </c>
      <c r="C175" s="70" t="str">
        <f t="shared" si="203"/>
        <v>Commercial - Space Heating</v>
      </c>
      <c r="E175" s="89"/>
      <c r="F175" s="89"/>
      <c r="I175" s="135"/>
      <c r="J175" s="90"/>
      <c r="K175" s="90"/>
      <c r="L175" s="137">
        <f t="shared" si="204"/>
        <v>0</v>
      </c>
      <c r="M175" s="137">
        <f t="shared" si="204"/>
        <v>0</v>
      </c>
      <c r="N175" s="137">
        <f t="shared" si="204"/>
        <v>0</v>
      </c>
      <c r="O175" s="137">
        <f t="shared" si="204"/>
        <v>0</v>
      </c>
      <c r="P175" s="137">
        <f t="shared" si="204"/>
        <v>0</v>
      </c>
      <c r="Q175" s="137">
        <f t="shared" si="204"/>
        <v>0</v>
      </c>
      <c r="R175" s="137">
        <f t="shared" si="204"/>
        <v>0</v>
      </c>
      <c r="S175" s="137">
        <f t="shared" si="204"/>
        <v>0</v>
      </c>
      <c r="T175" s="137">
        <f t="shared" si="204"/>
        <v>0</v>
      </c>
      <c r="U175" s="137">
        <f t="shared" si="204"/>
        <v>0</v>
      </c>
      <c r="V175" s="137">
        <f t="shared" si="204"/>
        <v>0</v>
      </c>
      <c r="W175" s="137">
        <f t="shared" si="204"/>
        <v>0</v>
      </c>
      <c r="X175" s="137">
        <f t="shared" si="204"/>
        <v>0</v>
      </c>
      <c r="Y175" s="137">
        <f t="shared" si="204"/>
        <v>0</v>
      </c>
      <c r="Z175" s="137">
        <f t="shared" si="204"/>
        <v>0</v>
      </c>
      <c r="AA175" s="137">
        <f t="shared" si="204"/>
        <v>0</v>
      </c>
      <c r="AB175" s="137">
        <f t="shared" si="205"/>
        <v>0</v>
      </c>
      <c r="AC175" s="137">
        <f t="shared" si="205"/>
        <v>0</v>
      </c>
      <c r="AD175" s="137">
        <f t="shared" si="205"/>
        <v>0</v>
      </c>
      <c r="AE175" s="137">
        <f t="shared" si="205"/>
        <v>0</v>
      </c>
      <c r="AF175" s="137">
        <f t="shared" si="205"/>
        <v>0</v>
      </c>
      <c r="AG175" s="137">
        <f t="shared" si="205"/>
        <v>0</v>
      </c>
      <c r="AH175" s="137">
        <f t="shared" si="205"/>
        <v>0</v>
      </c>
      <c r="AI175" s="137">
        <f t="shared" si="205"/>
        <v>0</v>
      </c>
      <c r="AJ175" s="137">
        <f t="shared" si="205"/>
        <v>0</v>
      </c>
      <c r="AK175" s="137">
        <f t="shared" si="205"/>
        <v>0</v>
      </c>
      <c r="AL175" s="137">
        <f t="shared" si="205"/>
        <v>0</v>
      </c>
      <c r="AM175" s="137">
        <f t="shared" si="205"/>
        <v>0</v>
      </c>
      <c r="AN175" s="137">
        <f t="shared" si="205"/>
        <v>0</v>
      </c>
      <c r="AO175" s="137">
        <f t="shared" si="205"/>
        <v>0</v>
      </c>
      <c r="AP175" s="137">
        <f t="shared" si="206"/>
        <v>0</v>
      </c>
      <c r="AQ175" s="137">
        <f t="shared" si="206"/>
        <v>0</v>
      </c>
      <c r="AR175" s="137">
        <f t="shared" si="206"/>
        <v>0</v>
      </c>
      <c r="AS175" s="137">
        <f t="shared" si="206"/>
        <v>0</v>
      </c>
      <c r="AT175" s="137">
        <f t="shared" si="206"/>
        <v>0</v>
      </c>
      <c r="AU175" s="137">
        <f t="shared" si="206"/>
        <v>0</v>
      </c>
      <c r="AV175" s="137">
        <f t="shared" si="206"/>
        <v>0</v>
      </c>
      <c r="AW175" s="137">
        <f t="shared" si="206"/>
        <v>0</v>
      </c>
      <c r="AX175" s="137">
        <f t="shared" si="206"/>
        <v>0</v>
      </c>
      <c r="AY175" s="137">
        <f t="shared" si="207"/>
        <v>0</v>
      </c>
      <c r="AZ175" s="137">
        <f t="shared" si="207"/>
        <v>0</v>
      </c>
      <c r="BA175" s="137">
        <f t="shared" si="207"/>
        <v>0</v>
      </c>
      <c r="BB175" s="137">
        <f t="shared" si="207"/>
        <v>0</v>
      </c>
      <c r="BC175" s="137">
        <f t="shared" si="207"/>
        <v>0</v>
      </c>
      <c r="BD175" s="137">
        <f t="shared" si="207"/>
        <v>0</v>
      </c>
      <c r="BE175" s="137">
        <f t="shared" si="207"/>
        <v>0</v>
      </c>
      <c r="BF175" s="137">
        <f t="shared" si="207"/>
        <v>0</v>
      </c>
      <c r="BG175" s="137">
        <f t="shared" si="207"/>
        <v>0</v>
      </c>
      <c r="BH175" s="137">
        <f t="shared" si="207"/>
        <v>0</v>
      </c>
      <c r="BI175" s="137">
        <f t="shared" si="207"/>
        <v>0</v>
      </c>
      <c r="BJ175" s="137">
        <f t="shared" si="207"/>
        <v>0</v>
      </c>
      <c r="BK175" s="137">
        <f t="shared" si="207"/>
        <v>0</v>
      </c>
      <c r="BL175" s="137">
        <f t="shared" si="207"/>
        <v>0</v>
      </c>
      <c r="BM175" s="137">
        <f t="shared" si="207"/>
        <v>0</v>
      </c>
      <c r="BN175" s="137">
        <f t="shared" si="207"/>
        <v>0</v>
      </c>
      <c r="BO175" s="137">
        <f t="shared" si="207"/>
        <v>0</v>
      </c>
      <c r="BP175" s="137">
        <f t="shared" si="207"/>
        <v>0</v>
      </c>
      <c r="BQ175" s="137">
        <f t="shared" si="207"/>
        <v>0</v>
      </c>
      <c r="BR175" s="137">
        <f t="shared" si="207"/>
        <v>0</v>
      </c>
    </row>
    <row r="176" spans="1:70">
      <c r="A176" t="s">
        <v>16</v>
      </c>
      <c r="B176" s="70" t="str">
        <f t="shared" si="202"/>
        <v>CNK</v>
      </c>
      <c r="C176" s="70" t="str">
        <f t="shared" si="203"/>
        <v>Commercial - Cooking</v>
      </c>
      <c r="E176" s="89"/>
      <c r="F176" s="89"/>
      <c r="I176" s="135"/>
      <c r="J176" s="90"/>
      <c r="K176" s="90"/>
      <c r="L176" s="137">
        <f t="shared" si="204"/>
        <v>0</v>
      </c>
      <c r="M176" s="137">
        <f t="shared" si="204"/>
        <v>0</v>
      </c>
      <c r="N176" s="137">
        <f t="shared" si="204"/>
        <v>0</v>
      </c>
      <c r="O176" s="137">
        <f t="shared" si="204"/>
        <v>0</v>
      </c>
      <c r="P176" s="137">
        <f t="shared" si="204"/>
        <v>0</v>
      </c>
      <c r="Q176" s="137">
        <f t="shared" si="204"/>
        <v>0</v>
      </c>
      <c r="R176" s="137">
        <f t="shared" si="204"/>
        <v>0</v>
      </c>
      <c r="S176" s="137">
        <f t="shared" si="204"/>
        <v>0</v>
      </c>
      <c r="T176" s="137">
        <f t="shared" si="204"/>
        <v>0</v>
      </c>
      <c r="U176" s="137">
        <f t="shared" si="204"/>
        <v>0</v>
      </c>
      <c r="V176" s="137">
        <f t="shared" si="204"/>
        <v>0</v>
      </c>
      <c r="W176" s="137">
        <f t="shared" si="204"/>
        <v>0</v>
      </c>
      <c r="X176" s="137">
        <f t="shared" si="204"/>
        <v>0</v>
      </c>
      <c r="Y176" s="137">
        <f t="shared" si="204"/>
        <v>0</v>
      </c>
      <c r="Z176" s="137">
        <f t="shared" si="204"/>
        <v>0</v>
      </c>
      <c r="AA176" s="137">
        <f t="shared" si="204"/>
        <v>0</v>
      </c>
      <c r="AB176" s="137">
        <f t="shared" si="205"/>
        <v>0</v>
      </c>
      <c r="AC176" s="137">
        <f t="shared" si="205"/>
        <v>0</v>
      </c>
      <c r="AD176" s="137">
        <f t="shared" si="205"/>
        <v>0</v>
      </c>
      <c r="AE176" s="137">
        <f t="shared" si="205"/>
        <v>0</v>
      </c>
      <c r="AF176" s="137">
        <f t="shared" si="205"/>
        <v>0</v>
      </c>
      <c r="AG176" s="137">
        <f t="shared" si="205"/>
        <v>0</v>
      </c>
      <c r="AH176" s="137">
        <f t="shared" si="205"/>
        <v>0</v>
      </c>
      <c r="AI176" s="137">
        <f t="shared" si="205"/>
        <v>0</v>
      </c>
      <c r="AJ176" s="137">
        <f t="shared" si="205"/>
        <v>0</v>
      </c>
      <c r="AK176" s="137">
        <f t="shared" si="205"/>
        <v>0</v>
      </c>
      <c r="AL176" s="137">
        <f t="shared" si="205"/>
        <v>0</v>
      </c>
      <c r="AM176" s="137">
        <f t="shared" si="205"/>
        <v>0</v>
      </c>
      <c r="AN176" s="137">
        <f t="shared" si="205"/>
        <v>0</v>
      </c>
      <c r="AO176" s="137">
        <f t="shared" si="205"/>
        <v>0</v>
      </c>
      <c r="AP176" s="137">
        <f t="shared" si="206"/>
        <v>0</v>
      </c>
      <c r="AQ176" s="137">
        <f t="shared" si="206"/>
        <v>0</v>
      </c>
      <c r="AR176" s="137">
        <f t="shared" si="206"/>
        <v>0</v>
      </c>
      <c r="AS176" s="137">
        <f t="shared" si="206"/>
        <v>0</v>
      </c>
      <c r="AT176" s="137">
        <f t="shared" si="206"/>
        <v>0</v>
      </c>
      <c r="AU176" s="137">
        <f t="shared" si="206"/>
        <v>0</v>
      </c>
      <c r="AV176" s="137">
        <f t="shared" si="206"/>
        <v>0</v>
      </c>
      <c r="AW176" s="137">
        <f t="shared" si="206"/>
        <v>0</v>
      </c>
      <c r="AX176" s="137">
        <f t="shared" si="206"/>
        <v>0</v>
      </c>
      <c r="AY176" s="137">
        <f t="shared" si="207"/>
        <v>0</v>
      </c>
      <c r="AZ176" s="137">
        <f t="shared" si="207"/>
        <v>0</v>
      </c>
      <c r="BA176" s="137">
        <f t="shared" si="207"/>
        <v>0</v>
      </c>
      <c r="BB176" s="137">
        <f t="shared" si="207"/>
        <v>0</v>
      </c>
      <c r="BC176" s="137">
        <f t="shared" si="207"/>
        <v>0</v>
      </c>
      <c r="BD176" s="137">
        <f t="shared" si="207"/>
        <v>0</v>
      </c>
      <c r="BE176" s="137">
        <f t="shared" si="207"/>
        <v>0</v>
      </c>
      <c r="BF176" s="137">
        <f t="shared" si="207"/>
        <v>0</v>
      </c>
      <c r="BG176" s="137">
        <f t="shared" si="207"/>
        <v>0</v>
      </c>
      <c r="BH176" s="137">
        <f t="shared" si="207"/>
        <v>0</v>
      </c>
      <c r="BI176" s="137">
        <f t="shared" si="207"/>
        <v>0</v>
      </c>
      <c r="BJ176" s="137">
        <f t="shared" si="207"/>
        <v>0</v>
      </c>
      <c r="BK176" s="137">
        <f t="shared" si="207"/>
        <v>0</v>
      </c>
      <c r="BL176" s="137">
        <f t="shared" si="207"/>
        <v>0</v>
      </c>
      <c r="BM176" s="137">
        <f t="shared" si="207"/>
        <v>0</v>
      </c>
      <c r="BN176" s="137">
        <f t="shared" si="207"/>
        <v>0</v>
      </c>
      <c r="BO176" s="137">
        <f t="shared" si="207"/>
        <v>0</v>
      </c>
      <c r="BP176" s="137">
        <f t="shared" si="207"/>
        <v>0</v>
      </c>
      <c r="BQ176" s="137">
        <f t="shared" si="207"/>
        <v>0</v>
      </c>
      <c r="BR176" s="137">
        <f t="shared" si="207"/>
        <v>0</v>
      </c>
    </row>
    <row r="177" spans="1:70">
      <c r="A177" t="s">
        <v>16</v>
      </c>
      <c r="B177" s="70" t="str">
        <f t="shared" si="202"/>
        <v>CNL</v>
      </c>
      <c r="C177" s="70" t="str">
        <f t="shared" si="203"/>
        <v>Commercial - Lighting</v>
      </c>
      <c r="E177" s="89"/>
      <c r="F177" s="89"/>
      <c r="I177" s="135"/>
      <c r="J177" s="90"/>
      <c r="K177" s="90"/>
      <c r="L177" s="137">
        <f t="shared" si="204"/>
        <v>0</v>
      </c>
      <c r="M177" s="137">
        <f t="shared" si="204"/>
        <v>0</v>
      </c>
      <c r="N177" s="137">
        <f t="shared" si="204"/>
        <v>0</v>
      </c>
      <c r="O177" s="137">
        <f t="shared" si="204"/>
        <v>0</v>
      </c>
      <c r="P177" s="137">
        <f t="shared" si="204"/>
        <v>0</v>
      </c>
      <c r="Q177" s="137">
        <f t="shared" si="204"/>
        <v>0</v>
      </c>
      <c r="R177" s="137">
        <f t="shared" si="204"/>
        <v>0</v>
      </c>
      <c r="S177" s="137">
        <f t="shared" si="204"/>
        <v>0</v>
      </c>
      <c r="T177" s="137">
        <f t="shared" si="204"/>
        <v>0</v>
      </c>
      <c r="U177" s="137">
        <f t="shared" si="204"/>
        <v>0</v>
      </c>
      <c r="V177" s="137">
        <f t="shared" si="204"/>
        <v>0</v>
      </c>
      <c r="W177" s="137">
        <f t="shared" si="204"/>
        <v>0</v>
      </c>
      <c r="X177" s="137">
        <f t="shared" si="204"/>
        <v>0</v>
      </c>
      <c r="Y177" s="137">
        <f t="shared" si="204"/>
        <v>0</v>
      </c>
      <c r="Z177" s="137">
        <f t="shared" si="204"/>
        <v>0</v>
      </c>
      <c r="AA177" s="137">
        <f t="shared" si="204"/>
        <v>0</v>
      </c>
      <c r="AB177" s="137">
        <f t="shared" si="205"/>
        <v>0</v>
      </c>
      <c r="AC177" s="137">
        <f t="shared" si="205"/>
        <v>0</v>
      </c>
      <c r="AD177" s="137">
        <f t="shared" si="205"/>
        <v>0</v>
      </c>
      <c r="AE177" s="137">
        <f t="shared" si="205"/>
        <v>0</v>
      </c>
      <c r="AF177" s="137">
        <f t="shared" si="205"/>
        <v>0</v>
      </c>
      <c r="AG177" s="137">
        <f t="shared" si="205"/>
        <v>0</v>
      </c>
      <c r="AH177" s="137">
        <f t="shared" si="205"/>
        <v>0</v>
      </c>
      <c r="AI177" s="137">
        <f t="shared" si="205"/>
        <v>0</v>
      </c>
      <c r="AJ177" s="137">
        <f t="shared" si="205"/>
        <v>0</v>
      </c>
      <c r="AK177" s="137">
        <f t="shared" si="205"/>
        <v>0</v>
      </c>
      <c r="AL177" s="137">
        <f t="shared" si="205"/>
        <v>0</v>
      </c>
      <c r="AM177" s="137">
        <f t="shared" si="205"/>
        <v>0</v>
      </c>
      <c r="AN177" s="137">
        <f t="shared" si="205"/>
        <v>0</v>
      </c>
      <c r="AO177" s="137">
        <f t="shared" si="205"/>
        <v>0</v>
      </c>
      <c r="AP177" s="137">
        <f t="shared" si="206"/>
        <v>0</v>
      </c>
      <c r="AQ177" s="137">
        <f t="shared" si="206"/>
        <v>0</v>
      </c>
      <c r="AR177" s="137">
        <f t="shared" si="206"/>
        <v>0</v>
      </c>
      <c r="AS177" s="137">
        <f t="shared" si="206"/>
        <v>0</v>
      </c>
      <c r="AT177" s="137">
        <f t="shared" si="206"/>
        <v>0</v>
      </c>
      <c r="AU177" s="137">
        <f t="shared" si="206"/>
        <v>0</v>
      </c>
      <c r="AV177" s="137">
        <f t="shared" si="206"/>
        <v>0</v>
      </c>
      <c r="AW177" s="137">
        <f t="shared" si="206"/>
        <v>0</v>
      </c>
      <c r="AX177" s="137">
        <f t="shared" si="206"/>
        <v>0</v>
      </c>
      <c r="AY177" s="137">
        <f t="shared" si="207"/>
        <v>0</v>
      </c>
      <c r="AZ177" s="137">
        <f t="shared" si="207"/>
        <v>0</v>
      </c>
      <c r="BA177" s="137">
        <f t="shared" si="207"/>
        <v>0</v>
      </c>
      <c r="BB177" s="137">
        <f t="shared" si="207"/>
        <v>0</v>
      </c>
      <c r="BC177" s="137">
        <f t="shared" si="207"/>
        <v>0</v>
      </c>
      <c r="BD177" s="137">
        <f t="shared" si="207"/>
        <v>0</v>
      </c>
      <c r="BE177" s="137">
        <f t="shared" si="207"/>
        <v>0</v>
      </c>
      <c r="BF177" s="137">
        <f t="shared" si="207"/>
        <v>0</v>
      </c>
      <c r="BG177" s="137">
        <f t="shared" si="207"/>
        <v>0</v>
      </c>
      <c r="BH177" s="137">
        <f t="shared" si="207"/>
        <v>0</v>
      </c>
      <c r="BI177" s="137">
        <f t="shared" si="207"/>
        <v>0</v>
      </c>
      <c r="BJ177" s="137">
        <f t="shared" si="207"/>
        <v>0</v>
      </c>
      <c r="BK177" s="137">
        <f t="shared" si="207"/>
        <v>0</v>
      </c>
      <c r="BL177" s="137">
        <f t="shared" si="207"/>
        <v>0</v>
      </c>
      <c r="BM177" s="137">
        <f t="shared" si="207"/>
        <v>0</v>
      </c>
      <c r="BN177" s="137">
        <f t="shared" si="207"/>
        <v>0</v>
      </c>
      <c r="BO177" s="137">
        <f t="shared" si="207"/>
        <v>0</v>
      </c>
      <c r="BP177" s="137">
        <f t="shared" si="207"/>
        <v>0</v>
      </c>
      <c r="BQ177" s="137">
        <f t="shared" si="207"/>
        <v>0</v>
      </c>
      <c r="BR177" s="137">
        <f t="shared" si="207"/>
        <v>0</v>
      </c>
    </row>
    <row r="178" spans="1:70">
      <c r="A178" t="s">
        <v>16</v>
      </c>
      <c r="B178" s="70" t="str">
        <f t="shared" si="202"/>
        <v>CNR</v>
      </c>
      <c r="C178" s="70" t="str">
        <f t="shared" si="203"/>
        <v>Commercial - Refrigeration</v>
      </c>
      <c r="E178" s="89"/>
      <c r="F178" s="89"/>
      <c r="I178" s="135"/>
      <c r="J178" s="90"/>
      <c r="K178" s="90"/>
      <c r="L178" s="137">
        <f t="shared" si="204"/>
        <v>0</v>
      </c>
      <c r="M178" s="137">
        <f t="shared" si="204"/>
        <v>0</v>
      </c>
      <c r="N178" s="137">
        <f t="shared" si="204"/>
        <v>0</v>
      </c>
      <c r="O178" s="137">
        <f t="shared" si="204"/>
        <v>0</v>
      </c>
      <c r="P178" s="137">
        <f t="shared" si="204"/>
        <v>0</v>
      </c>
      <c r="Q178" s="137">
        <f t="shared" si="204"/>
        <v>0</v>
      </c>
      <c r="R178" s="137">
        <f t="shared" si="204"/>
        <v>0</v>
      </c>
      <c r="S178" s="137">
        <f t="shared" si="204"/>
        <v>0</v>
      </c>
      <c r="T178" s="137">
        <f t="shared" si="204"/>
        <v>0</v>
      </c>
      <c r="U178" s="137">
        <f t="shared" si="204"/>
        <v>0</v>
      </c>
      <c r="V178" s="137">
        <f t="shared" si="204"/>
        <v>0</v>
      </c>
      <c r="W178" s="137">
        <f t="shared" si="204"/>
        <v>0</v>
      </c>
      <c r="X178" s="137">
        <f t="shared" si="204"/>
        <v>0</v>
      </c>
      <c r="Y178" s="137">
        <f t="shared" si="204"/>
        <v>0</v>
      </c>
      <c r="Z178" s="137">
        <f t="shared" si="204"/>
        <v>0</v>
      </c>
      <c r="AA178" s="137">
        <f t="shared" si="204"/>
        <v>0</v>
      </c>
      <c r="AB178" s="137">
        <f t="shared" si="205"/>
        <v>0</v>
      </c>
      <c r="AC178" s="137">
        <f t="shared" si="205"/>
        <v>0</v>
      </c>
      <c r="AD178" s="137">
        <f t="shared" si="205"/>
        <v>0</v>
      </c>
      <c r="AE178" s="137">
        <f t="shared" si="205"/>
        <v>0</v>
      </c>
      <c r="AF178" s="137">
        <f t="shared" si="205"/>
        <v>0</v>
      </c>
      <c r="AG178" s="137">
        <f t="shared" si="205"/>
        <v>0</v>
      </c>
      <c r="AH178" s="137">
        <f t="shared" si="205"/>
        <v>0</v>
      </c>
      <c r="AI178" s="137">
        <f t="shared" si="205"/>
        <v>0</v>
      </c>
      <c r="AJ178" s="137">
        <f t="shared" si="205"/>
        <v>0</v>
      </c>
      <c r="AK178" s="137">
        <f t="shared" si="205"/>
        <v>0</v>
      </c>
      <c r="AL178" s="137">
        <f t="shared" si="205"/>
        <v>0</v>
      </c>
      <c r="AM178" s="137">
        <f t="shared" si="205"/>
        <v>0</v>
      </c>
      <c r="AN178" s="137">
        <f t="shared" si="205"/>
        <v>0</v>
      </c>
      <c r="AO178" s="137">
        <f t="shared" si="205"/>
        <v>0</v>
      </c>
      <c r="AP178" s="137">
        <f t="shared" si="206"/>
        <v>0</v>
      </c>
      <c r="AQ178" s="137">
        <f t="shared" si="206"/>
        <v>0</v>
      </c>
      <c r="AR178" s="137">
        <f t="shared" si="206"/>
        <v>0</v>
      </c>
      <c r="AS178" s="137">
        <f t="shared" si="206"/>
        <v>0</v>
      </c>
      <c r="AT178" s="137">
        <f t="shared" si="206"/>
        <v>0</v>
      </c>
      <c r="AU178" s="137">
        <f t="shared" si="206"/>
        <v>0</v>
      </c>
      <c r="AV178" s="137">
        <f t="shared" si="206"/>
        <v>0</v>
      </c>
      <c r="AW178" s="137">
        <f t="shared" si="206"/>
        <v>0</v>
      </c>
      <c r="AX178" s="137">
        <f t="shared" si="206"/>
        <v>0</v>
      </c>
      <c r="AY178" s="137">
        <f t="shared" si="207"/>
        <v>0</v>
      </c>
      <c r="AZ178" s="137">
        <f t="shared" si="207"/>
        <v>0</v>
      </c>
      <c r="BA178" s="137">
        <f t="shared" si="207"/>
        <v>0</v>
      </c>
      <c r="BB178" s="137">
        <f t="shared" si="207"/>
        <v>0</v>
      </c>
      <c r="BC178" s="137">
        <f t="shared" si="207"/>
        <v>0</v>
      </c>
      <c r="BD178" s="137">
        <f t="shared" si="207"/>
        <v>0</v>
      </c>
      <c r="BE178" s="137">
        <f t="shared" si="207"/>
        <v>0</v>
      </c>
      <c r="BF178" s="137">
        <f t="shared" si="207"/>
        <v>0</v>
      </c>
      <c r="BG178" s="137">
        <f t="shared" si="207"/>
        <v>0</v>
      </c>
      <c r="BH178" s="137">
        <f t="shared" si="207"/>
        <v>0</v>
      </c>
      <c r="BI178" s="137">
        <f t="shared" si="207"/>
        <v>0</v>
      </c>
      <c r="BJ178" s="137">
        <f t="shared" si="207"/>
        <v>0</v>
      </c>
      <c r="BK178" s="137">
        <f t="shared" si="207"/>
        <v>0</v>
      </c>
      <c r="BL178" s="137">
        <f t="shared" si="207"/>
        <v>0</v>
      </c>
      <c r="BM178" s="137">
        <f t="shared" si="207"/>
        <v>0</v>
      </c>
      <c r="BN178" s="137">
        <f t="shared" si="207"/>
        <v>0</v>
      </c>
      <c r="BO178" s="137">
        <f t="shared" si="207"/>
        <v>0</v>
      </c>
      <c r="BP178" s="137">
        <f t="shared" si="207"/>
        <v>0</v>
      </c>
      <c r="BQ178" s="137">
        <f t="shared" si="207"/>
        <v>0</v>
      </c>
      <c r="BR178" s="137">
        <f t="shared" si="207"/>
        <v>0</v>
      </c>
    </row>
    <row r="179" spans="1:70">
      <c r="A179" t="s">
        <v>16</v>
      </c>
      <c r="B179" s="70" t="str">
        <f t="shared" si="202"/>
        <v>CNW</v>
      </c>
      <c r="C179" s="70" t="str">
        <f t="shared" si="203"/>
        <v>Commercial - Water Heating</v>
      </c>
      <c r="E179" s="89"/>
      <c r="F179" s="89"/>
      <c r="I179" s="135"/>
      <c r="J179" s="90"/>
      <c r="K179" s="90"/>
      <c r="L179" s="137">
        <f t="shared" si="204"/>
        <v>0</v>
      </c>
      <c r="M179" s="137">
        <f t="shared" si="204"/>
        <v>0</v>
      </c>
      <c r="N179" s="137">
        <f t="shared" si="204"/>
        <v>0</v>
      </c>
      <c r="O179" s="137">
        <f t="shared" si="204"/>
        <v>0</v>
      </c>
      <c r="P179" s="137">
        <f t="shared" si="204"/>
        <v>0</v>
      </c>
      <c r="Q179" s="137">
        <f t="shared" si="204"/>
        <v>0</v>
      </c>
      <c r="R179" s="137">
        <f t="shared" si="204"/>
        <v>0</v>
      </c>
      <c r="S179" s="137">
        <f t="shared" si="204"/>
        <v>0</v>
      </c>
      <c r="T179" s="137">
        <f t="shared" si="204"/>
        <v>0</v>
      </c>
      <c r="U179" s="137">
        <f t="shared" si="204"/>
        <v>0</v>
      </c>
      <c r="V179" s="137">
        <f t="shared" si="204"/>
        <v>0</v>
      </c>
      <c r="W179" s="137">
        <f t="shared" si="204"/>
        <v>0</v>
      </c>
      <c r="X179" s="137">
        <f t="shared" si="204"/>
        <v>0</v>
      </c>
      <c r="Y179" s="137">
        <f t="shared" si="204"/>
        <v>0</v>
      </c>
      <c r="Z179" s="137">
        <f t="shared" si="204"/>
        <v>0</v>
      </c>
      <c r="AA179" s="137">
        <f t="shared" si="204"/>
        <v>0</v>
      </c>
      <c r="AB179" s="137">
        <f t="shared" si="205"/>
        <v>0</v>
      </c>
      <c r="AC179" s="137">
        <f t="shared" si="205"/>
        <v>0</v>
      </c>
      <c r="AD179" s="137">
        <f t="shared" si="205"/>
        <v>0</v>
      </c>
      <c r="AE179" s="137">
        <f t="shared" si="205"/>
        <v>0</v>
      </c>
      <c r="AF179" s="137">
        <f t="shared" si="205"/>
        <v>0</v>
      </c>
      <c r="AG179" s="137">
        <f t="shared" si="205"/>
        <v>0</v>
      </c>
      <c r="AH179" s="137">
        <f t="shared" si="205"/>
        <v>0</v>
      </c>
      <c r="AI179" s="137">
        <f t="shared" si="205"/>
        <v>0</v>
      </c>
      <c r="AJ179" s="137">
        <f t="shared" si="205"/>
        <v>0</v>
      </c>
      <c r="AK179" s="137">
        <f t="shared" si="205"/>
        <v>0</v>
      </c>
      <c r="AL179" s="137">
        <f t="shared" si="205"/>
        <v>0</v>
      </c>
      <c r="AM179" s="137">
        <f t="shared" si="205"/>
        <v>0</v>
      </c>
      <c r="AN179" s="137">
        <f t="shared" si="205"/>
        <v>0</v>
      </c>
      <c r="AO179" s="137">
        <f t="shared" si="205"/>
        <v>0</v>
      </c>
      <c r="AP179" s="137">
        <f t="shared" si="206"/>
        <v>0</v>
      </c>
      <c r="AQ179" s="137">
        <f t="shared" si="206"/>
        <v>0</v>
      </c>
      <c r="AR179" s="137">
        <f t="shared" si="206"/>
        <v>0</v>
      </c>
      <c r="AS179" s="137">
        <f t="shared" si="206"/>
        <v>0</v>
      </c>
      <c r="AT179" s="137">
        <f t="shared" si="206"/>
        <v>0</v>
      </c>
      <c r="AU179" s="137">
        <f t="shared" si="206"/>
        <v>0</v>
      </c>
      <c r="AV179" s="137">
        <f t="shared" si="206"/>
        <v>0</v>
      </c>
      <c r="AW179" s="137">
        <f t="shared" si="206"/>
        <v>0</v>
      </c>
      <c r="AX179" s="137">
        <f t="shared" si="206"/>
        <v>0</v>
      </c>
      <c r="AY179" s="137">
        <f t="shared" si="207"/>
        <v>0</v>
      </c>
      <c r="AZ179" s="137">
        <f t="shared" si="207"/>
        <v>0</v>
      </c>
      <c r="BA179" s="137">
        <f t="shared" si="207"/>
        <v>0</v>
      </c>
      <c r="BB179" s="137">
        <f t="shared" si="207"/>
        <v>0</v>
      </c>
      <c r="BC179" s="137">
        <f t="shared" si="207"/>
        <v>0</v>
      </c>
      <c r="BD179" s="137">
        <f t="shared" si="207"/>
        <v>0</v>
      </c>
      <c r="BE179" s="137">
        <f t="shared" si="207"/>
        <v>0</v>
      </c>
      <c r="BF179" s="137">
        <f t="shared" si="207"/>
        <v>0</v>
      </c>
      <c r="BG179" s="137">
        <f t="shared" si="207"/>
        <v>0</v>
      </c>
      <c r="BH179" s="137">
        <f t="shared" si="207"/>
        <v>0</v>
      </c>
      <c r="BI179" s="137">
        <f t="shared" si="207"/>
        <v>0</v>
      </c>
      <c r="BJ179" s="137">
        <f t="shared" si="207"/>
        <v>0</v>
      </c>
      <c r="BK179" s="137">
        <f t="shared" si="207"/>
        <v>0</v>
      </c>
      <c r="BL179" s="137">
        <f t="shared" si="207"/>
        <v>0</v>
      </c>
      <c r="BM179" s="137">
        <f t="shared" si="207"/>
        <v>0</v>
      </c>
      <c r="BN179" s="137">
        <f t="shared" si="207"/>
        <v>0</v>
      </c>
      <c r="BO179" s="137">
        <f t="shared" si="207"/>
        <v>0</v>
      </c>
      <c r="BP179" s="137">
        <f t="shared" si="207"/>
        <v>0</v>
      </c>
      <c r="BQ179" s="137">
        <f t="shared" si="207"/>
        <v>0</v>
      </c>
      <c r="BR179" s="137">
        <f t="shared" si="207"/>
        <v>0</v>
      </c>
    </row>
    <row r="180" spans="1:70">
      <c r="A180" t="s">
        <v>16</v>
      </c>
      <c r="B180" s="70" t="str">
        <f t="shared" si="202"/>
        <v>CNG</v>
      </c>
      <c r="C180" s="70" t="str">
        <f t="shared" si="203"/>
        <v>Commercial - Public lights</v>
      </c>
      <c r="E180" s="89"/>
      <c r="F180" s="89"/>
      <c r="I180" s="135"/>
      <c r="J180" s="90"/>
      <c r="K180" s="90"/>
      <c r="L180" s="137">
        <f t="shared" si="204"/>
        <v>0</v>
      </c>
      <c r="M180" s="137">
        <f t="shared" si="204"/>
        <v>0</v>
      </c>
      <c r="N180" s="137">
        <f t="shared" si="204"/>
        <v>0</v>
      </c>
      <c r="O180" s="137">
        <f t="shared" si="204"/>
        <v>0</v>
      </c>
      <c r="P180" s="137">
        <f t="shared" si="204"/>
        <v>0</v>
      </c>
      <c r="Q180" s="137">
        <f t="shared" si="204"/>
        <v>0</v>
      </c>
      <c r="R180" s="137">
        <f t="shared" si="204"/>
        <v>0</v>
      </c>
      <c r="S180" s="137">
        <f t="shared" si="204"/>
        <v>0</v>
      </c>
      <c r="T180" s="137">
        <f t="shared" si="204"/>
        <v>0</v>
      </c>
      <c r="U180" s="137">
        <f t="shared" si="204"/>
        <v>0</v>
      </c>
      <c r="V180" s="137">
        <f t="shared" si="204"/>
        <v>0</v>
      </c>
      <c r="W180" s="137">
        <f t="shared" si="204"/>
        <v>0</v>
      </c>
      <c r="X180" s="137">
        <f t="shared" si="204"/>
        <v>0</v>
      </c>
      <c r="Y180" s="137">
        <f t="shared" si="204"/>
        <v>0</v>
      </c>
      <c r="Z180" s="137">
        <f t="shared" si="204"/>
        <v>0</v>
      </c>
      <c r="AA180" s="137">
        <f t="shared" si="204"/>
        <v>0</v>
      </c>
      <c r="AB180" s="137">
        <f t="shared" si="205"/>
        <v>0</v>
      </c>
      <c r="AC180" s="137">
        <f t="shared" si="205"/>
        <v>0</v>
      </c>
      <c r="AD180" s="137">
        <f t="shared" si="205"/>
        <v>0</v>
      </c>
      <c r="AE180" s="137">
        <f t="shared" si="205"/>
        <v>0</v>
      </c>
      <c r="AF180" s="137">
        <f t="shared" si="205"/>
        <v>0</v>
      </c>
      <c r="AG180" s="137">
        <f t="shared" si="205"/>
        <v>0</v>
      </c>
      <c r="AH180" s="137">
        <f t="shared" si="205"/>
        <v>0</v>
      </c>
      <c r="AI180" s="137">
        <f t="shared" si="205"/>
        <v>0</v>
      </c>
      <c r="AJ180" s="137">
        <f t="shared" si="205"/>
        <v>0</v>
      </c>
      <c r="AK180" s="137">
        <f t="shared" si="205"/>
        <v>0</v>
      </c>
      <c r="AL180" s="137">
        <f t="shared" si="205"/>
        <v>0</v>
      </c>
      <c r="AM180" s="137">
        <f t="shared" si="205"/>
        <v>0</v>
      </c>
      <c r="AN180" s="137">
        <f t="shared" si="205"/>
        <v>0</v>
      </c>
      <c r="AO180" s="137">
        <f t="shared" si="205"/>
        <v>0</v>
      </c>
      <c r="AP180" s="137">
        <f t="shared" si="206"/>
        <v>0</v>
      </c>
      <c r="AQ180" s="137">
        <f t="shared" si="206"/>
        <v>0</v>
      </c>
      <c r="AR180" s="137">
        <f t="shared" si="206"/>
        <v>0</v>
      </c>
      <c r="AS180" s="137">
        <f t="shared" si="206"/>
        <v>0</v>
      </c>
      <c r="AT180" s="137">
        <f t="shared" si="206"/>
        <v>0</v>
      </c>
      <c r="AU180" s="137">
        <f t="shared" si="206"/>
        <v>0</v>
      </c>
      <c r="AV180" s="137">
        <f t="shared" si="206"/>
        <v>0</v>
      </c>
      <c r="AW180" s="137">
        <f t="shared" si="206"/>
        <v>0</v>
      </c>
      <c r="AX180" s="137">
        <f t="shared" si="206"/>
        <v>0</v>
      </c>
      <c r="AY180" s="137">
        <f t="shared" si="207"/>
        <v>0</v>
      </c>
      <c r="AZ180" s="137">
        <f t="shared" si="207"/>
        <v>0</v>
      </c>
      <c r="BA180" s="137">
        <f t="shared" si="207"/>
        <v>0</v>
      </c>
      <c r="BB180" s="137">
        <f t="shared" si="207"/>
        <v>0</v>
      </c>
      <c r="BC180" s="137">
        <f t="shared" si="207"/>
        <v>0</v>
      </c>
      <c r="BD180" s="137">
        <f t="shared" si="207"/>
        <v>0</v>
      </c>
      <c r="BE180" s="137">
        <f t="shared" si="207"/>
        <v>0</v>
      </c>
      <c r="BF180" s="137">
        <f t="shared" si="207"/>
        <v>0</v>
      </c>
      <c r="BG180" s="137">
        <f t="shared" si="207"/>
        <v>0</v>
      </c>
      <c r="BH180" s="137">
        <f t="shared" si="207"/>
        <v>0</v>
      </c>
      <c r="BI180" s="137">
        <f t="shared" si="207"/>
        <v>0</v>
      </c>
      <c r="BJ180" s="137">
        <f t="shared" si="207"/>
        <v>0</v>
      </c>
      <c r="BK180" s="137">
        <f t="shared" si="207"/>
        <v>0</v>
      </c>
      <c r="BL180" s="137">
        <f t="shared" si="207"/>
        <v>0</v>
      </c>
      <c r="BM180" s="137">
        <f t="shared" si="207"/>
        <v>0</v>
      </c>
      <c r="BN180" s="137">
        <f t="shared" si="207"/>
        <v>0</v>
      </c>
      <c r="BO180" s="137">
        <f t="shared" si="207"/>
        <v>0</v>
      </c>
      <c r="BP180" s="137">
        <f t="shared" si="207"/>
        <v>0</v>
      </c>
      <c r="BQ180" s="137">
        <f t="shared" si="207"/>
        <v>0</v>
      </c>
      <c r="BR180" s="137">
        <f t="shared" si="207"/>
        <v>0</v>
      </c>
    </row>
    <row r="181" spans="1:70">
      <c r="A181" t="s">
        <v>16</v>
      </c>
      <c r="B181" s="70" t="str">
        <f t="shared" si="202"/>
        <v>CNT</v>
      </c>
      <c r="C181" s="70" t="str">
        <f t="shared" si="203"/>
        <v>Commercial - Public Water</v>
      </c>
      <c r="E181" s="89"/>
      <c r="F181" s="89"/>
      <c r="I181" s="135"/>
      <c r="J181" s="90"/>
      <c r="K181" s="90"/>
      <c r="L181" s="137">
        <f t="shared" si="204"/>
        <v>0</v>
      </c>
      <c r="M181" s="137">
        <f t="shared" si="204"/>
        <v>0</v>
      </c>
      <c r="N181" s="137">
        <f t="shared" si="204"/>
        <v>0</v>
      </c>
      <c r="O181" s="137">
        <f t="shared" si="204"/>
        <v>0</v>
      </c>
      <c r="P181" s="137">
        <f t="shared" si="204"/>
        <v>0</v>
      </c>
      <c r="Q181" s="137">
        <f t="shared" si="204"/>
        <v>0</v>
      </c>
      <c r="R181" s="137">
        <f t="shared" si="204"/>
        <v>0</v>
      </c>
      <c r="S181" s="137">
        <f t="shared" si="204"/>
        <v>0</v>
      </c>
      <c r="T181" s="137">
        <f t="shared" si="204"/>
        <v>0</v>
      </c>
      <c r="U181" s="137">
        <f t="shared" si="204"/>
        <v>0</v>
      </c>
      <c r="V181" s="137">
        <f t="shared" si="204"/>
        <v>0</v>
      </c>
      <c r="W181" s="137">
        <f t="shared" si="204"/>
        <v>0</v>
      </c>
      <c r="X181" s="137">
        <f t="shared" si="204"/>
        <v>0</v>
      </c>
      <c r="Y181" s="137">
        <f t="shared" si="204"/>
        <v>0</v>
      </c>
      <c r="Z181" s="137">
        <f t="shared" si="204"/>
        <v>0</v>
      </c>
      <c r="AA181" s="137">
        <f t="shared" si="204"/>
        <v>0</v>
      </c>
      <c r="AB181" s="137">
        <f t="shared" si="205"/>
        <v>0</v>
      </c>
      <c r="AC181" s="137">
        <f t="shared" si="205"/>
        <v>0</v>
      </c>
      <c r="AD181" s="137">
        <f t="shared" si="205"/>
        <v>0</v>
      </c>
      <c r="AE181" s="137">
        <f t="shared" si="205"/>
        <v>0</v>
      </c>
      <c r="AF181" s="137">
        <f t="shared" si="205"/>
        <v>0</v>
      </c>
      <c r="AG181" s="137">
        <f t="shared" si="205"/>
        <v>0</v>
      </c>
      <c r="AH181" s="137">
        <f t="shared" si="205"/>
        <v>0</v>
      </c>
      <c r="AI181" s="137">
        <f t="shared" si="205"/>
        <v>0</v>
      </c>
      <c r="AJ181" s="137">
        <f t="shared" si="205"/>
        <v>0</v>
      </c>
      <c r="AK181" s="137">
        <f t="shared" si="205"/>
        <v>0</v>
      </c>
      <c r="AL181" s="137">
        <f t="shared" si="205"/>
        <v>0</v>
      </c>
      <c r="AM181" s="137">
        <f t="shared" si="205"/>
        <v>0</v>
      </c>
      <c r="AN181" s="137">
        <f t="shared" si="205"/>
        <v>0</v>
      </c>
      <c r="AO181" s="137">
        <f t="shared" si="205"/>
        <v>0</v>
      </c>
      <c r="AP181" s="137">
        <f t="shared" si="206"/>
        <v>0</v>
      </c>
      <c r="AQ181" s="137">
        <f t="shared" si="206"/>
        <v>0</v>
      </c>
      <c r="AR181" s="137">
        <f t="shared" si="206"/>
        <v>0</v>
      </c>
      <c r="AS181" s="137">
        <f t="shared" si="206"/>
        <v>0</v>
      </c>
      <c r="AT181" s="137">
        <f t="shared" si="206"/>
        <v>0</v>
      </c>
      <c r="AU181" s="137">
        <f t="shared" si="206"/>
        <v>0</v>
      </c>
      <c r="AV181" s="137">
        <f t="shared" si="206"/>
        <v>0</v>
      </c>
      <c r="AW181" s="137">
        <f t="shared" si="206"/>
        <v>0</v>
      </c>
      <c r="AX181" s="137">
        <f t="shared" si="206"/>
        <v>0</v>
      </c>
      <c r="AY181" s="137">
        <f t="shared" ref="AY181:BR182" si="208">INDEX(AY$49:AY$52,MATCH($I$173,$B$49:$B$52,0),1)*INDEX(AY$81:AY$89,MATCH($B181,$B$81:$B$89,0))*INDEX(AY$105:AY$113,MATCH($B181,$B$105:$B$113,0))/1000</f>
        <v>0</v>
      </c>
      <c r="AZ181" s="137">
        <f t="shared" si="208"/>
        <v>0</v>
      </c>
      <c r="BA181" s="137">
        <f t="shared" si="208"/>
        <v>0</v>
      </c>
      <c r="BB181" s="137">
        <f t="shared" si="208"/>
        <v>0</v>
      </c>
      <c r="BC181" s="137">
        <f t="shared" si="208"/>
        <v>0</v>
      </c>
      <c r="BD181" s="137">
        <f t="shared" si="208"/>
        <v>0</v>
      </c>
      <c r="BE181" s="137">
        <f t="shared" si="208"/>
        <v>0</v>
      </c>
      <c r="BF181" s="137">
        <f t="shared" si="208"/>
        <v>0</v>
      </c>
      <c r="BG181" s="137">
        <f t="shared" si="208"/>
        <v>0</v>
      </c>
      <c r="BH181" s="137">
        <f t="shared" si="208"/>
        <v>0</v>
      </c>
      <c r="BI181" s="137">
        <f t="shared" si="208"/>
        <v>0</v>
      </c>
      <c r="BJ181" s="137">
        <f t="shared" si="208"/>
        <v>0</v>
      </c>
      <c r="BK181" s="137">
        <f t="shared" si="208"/>
        <v>0</v>
      </c>
      <c r="BL181" s="137">
        <f t="shared" si="208"/>
        <v>0</v>
      </c>
      <c r="BM181" s="137">
        <f t="shared" si="208"/>
        <v>0</v>
      </c>
      <c r="BN181" s="137">
        <f t="shared" si="208"/>
        <v>0</v>
      </c>
      <c r="BO181" s="137">
        <f t="shared" si="208"/>
        <v>0</v>
      </c>
      <c r="BP181" s="137">
        <f t="shared" si="208"/>
        <v>0</v>
      </c>
      <c r="BQ181" s="137">
        <f t="shared" si="208"/>
        <v>0</v>
      </c>
      <c r="BR181" s="137">
        <f t="shared" si="208"/>
        <v>0</v>
      </c>
    </row>
    <row r="182" spans="1:70">
      <c r="A182" t="s">
        <v>16</v>
      </c>
      <c r="B182" s="70" t="str">
        <f t="shared" si="202"/>
        <v>CNO</v>
      </c>
      <c r="C182" s="70" t="str">
        <f t="shared" si="203"/>
        <v>Commercial - Other</v>
      </c>
      <c r="E182" s="89"/>
      <c r="F182" s="89"/>
      <c r="I182" s="135"/>
      <c r="J182" s="90"/>
      <c r="K182" s="90"/>
      <c r="L182" s="137">
        <f t="shared" si="204"/>
        <v>0</v>
      </c>
      <c r="M182" s="137">
        <f t="shared" si="204"/>
        <v>0</v>
      </c>
      <c r="N182" s="137">
        <f t="shared" si="204"/>
        <v>0</v>
      </c>
      <c r="O182" s="137">
        <f t="shared" si="204"/>
        <v>0</v>
      </c>
      <c r="P182" s="137">
        <f t="shared" si="204"/>
        <v>0</v>
      </c>
      <c r="Q182" s="137">
        <f t="shared" si="204"/>
        <v>0</v>
      </c>
      <c r="R182" s="137">
        <f t="shared" si="204"/>
        <v>0</v>
      </c>
      <c r="S182" s="137">
        <f t="shared" si="204"/>
        <v>0</v>
      </c>
      <c r="T182" s="137">
        <f t="shared" si="204"/>
        <v>0</v>
      </c>
      <c r="U182" s="137">
        <f t="shared" si="204"/>
        <v>0</v>
      </c>
      <c r="V182" s="137">
        <f t="shared" si="204"/>
        <v>0</v>
      </c>
      <c r="W182" s="137">
        <f t="shared" si="204"/>
        <v>0</v>
      </c>
      <c r="X182" s="137">
        <f t="shared" si="204"/>
        <v>0</v>
      </c>
      <c r="Y182" s="137">
        <f t="shared" si="204"/>
        <v>0</v>
      </c>
      <c r="Z182" s="137">
        <f t="shared" si="204"/>
        <v>0</v>
      </c>
      <c r="AA182" s="137">
        <f t="shared" si="204"/>
        <v>0</v>
      </c>
      <c r="AB182" s="137">
        <f t="shared" si="205"/>
        <v>0</v>
      </c>
      <c r="AC182" s="137">
        <f t="shared" si="205"/>
        <v>0</v>
      </c>
      <c r="AD182" s="137">
        <f t="shared" si="205"/>
        <v>0</v>
      </c>
      <c r="AE182" s="137">
        <f t="shared" si="205"/>
        <v>0</v>
      </c>
      <c r="AF182" s="137">
        <f t="shared" si="205"/>
        <v>0</v>
      </c>
      <c r="AG182" s="137">
        <f t="shared" si="205"/>
        <v>0</v>
      </c>
      <c r="AH182" s="137">
        <f t="shared" si="205"/>
        <v>0</v>
      </c>
      <c r="AI182" s="137">
        <f t="shared" si="205"/>
        <v>0</v>
      </c>
      <c r="AJ182" s="137">
        <f t="shared" si="205"/>
        <v>0</v>
      </c>
      <c r="AK182" s="137">
        <f t="shared" si="205"/>
        <v>0</v>
      </c>
      <c r="AL182" s="137">
        <f t="shared" si="205"/>
        <v>0</v>
      </c>
      <c r="AM182" s="137">
        <f t="shared" si="205"/>
        <v>0</v>
      </c>
      <c r="AN182" s="137">
        <f t="shared" si="205"/>
        <v>0</v>
      </c>
      <c r="AO182" s="137">
        <f t="shared" si="205"/>
        <v>0</v>
      </c>
      <c r="AP182" s="137">
        <f t="shared" si="206"/>
        <v>0</v>
      </c>
      <c r="AQ182" s="137">
        <f t="shared" si="206"/>
        <v>0</v>
      </c>
      <c r="AR182" s="137">
        <f t="shared" si="206"/>
        <v>0</v>
      </c>
      <c r="AS182" s="137">
        <f t="shared" si="206"/>
        <v>0</v>
      </c>
      <c r="AT182" s="137">
        <f t="shared" si="206"/>
        <v>0</v>
      </c>
      <c r="AU182" s="137">
        <f t="shared" si="206"/>
        <v>0</v>
      </c>
      <c r="AV182" s="137">
        <f t="shared" si="206"/>
        <v>0</v>
      </c>
      <c r="AW182" s="137">
        <f t="shared" si="206"/>
        <v>0</v>
      </c>
      <c r="AX182" s="137">
        <f t="shared" si="206"/>
        <v>0</v>
      </c>
      <c r="AY182" s="137">
        <f t="shared" si="208"/>
        <v>0</v>
      </c>
      <c r="AZ182" s="137">
        <f t="shared" si="208"/>
        <v>0</v>
      </c>
      <c r="BA182" s="137">
        <f t="shared" si="208"/>
        <v>0</v>
      </c>
      <c r="BB182" s="137">
        <f t="shared" si="208"/>
        <v>0</v>
      </c>
      <c r="BC182" s="137">
        <f t="shared" si="208"/>
        <v>0</v>
      </c>
      <c r="BD182" s="137">
        <f t="shared" si="208"/>
        <v>0</v>
      </c>
      <c r="BE182" s="137">
        <f t="shared" si="208"/>
        <v>0</v>
      </c>
      <c r="BF182" s="137">
        <f t="shared" si="208"/>
        <v>0</v>
      </c>
      <c r="BG182" s="137">
        <f t="shared" si="208"/>
        <v>0</v>
      </c>
      <c r="BH182" s="137">
        <f t="shared" si="208"/>
        <v>0</v>
      </c>
      <c r="BI182" s="137">
        <f t="shared" si="208"/>
        <v>0</v>
      </c>
      <c r="BJ182" s="137">
        <f t="shared" si="208"/>
        <v>0</v>
      </c>
      <c r="BK182" s="137">
        <f t="shared" si="208"/>
        <v>0</v>
      </c>
      <c r="BL182" s="137">
        <f t="shared" si="208"/>
        <v>0</v>
      </c>
      <c r="BM182" s="137">
        <f t="shared" si="208"/>
        <v>0</v>
      </c>
      <c r="BN182" s="137">
        <f t="shared" si="208"/>
        <v>0</v>
      </c>
      <c r="BO182" s="137">
        <f t="shared" si="208"/>
        <v>0</v>
      </c>
      <c r="BP182" s="137">
        <f t="shared" si="208"/>
        <v>0</v>
      </c>
      <c r="BQ182" s="137">
        <f t="shared" si="208"/>
        <v>0</v>
      </c>
      <c r="BR182" s="137">
        <f t="shared" si="208"/>
        <v>0</v>
      </c>
    </row>
    <row r="183" spans="1:70">
      <c r="A183" t="s">
        <v>16</v>
      </c>
      <c r="E183" s="89"/>
      <c r="F183" s="89"/>
      <c r="I183" s="135"/>
      <c r="J183" s="90"/>
      <c r="K183" s="90"/>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c r="AI183" s="137"/>
      <c r="AJ183" s="137"/>
      <c r="AK183" s="137"/>
      <c r="AL183" s="137"/>
      <c r="AM183" s="137"/>
      <c r="AN183" s="137"/>
      <c r="AO183" s="137"/>
      <c r="AP183" s="137"/>
      <c r="AQ183" s="137"/>
      <c r="AR183" s="137"/>
      <c r="AS183" s="137"/>
      <c r="AT183" s="137"/>
      <c r="AU183" s="137"/>
      <c r="AV183" s="137"/>
      <c r="AW183" s="137"/>
      <c r="AX183" s="137"/>
      <c r="AY183" s="137"/>
      <c r="AZ183" s="137"/>
      <c r="BA183" s="137"/>
      <c r="BB183" s="137"/>
      <c r="BC183" s="137"/>
      <c r="BD183" s="137"/>
      <c r="BE183" s="137"/>
      <c r="BF183" s="137"/>
      <c r="BG183" s="137"/>
      <c r="BH183" s="137"/>
      <c r="BI183" s="137"/>
      <c r="BJ183" s="137"/>
      <c r="BK183" s="137"/>
      <c r="BL183" s="137"/>
      <c r="BM183" s="137"/>
      <c r="BN183" s="137"/>
      <c r="BO183" s="137"/>
      <c r="BP183" s="137"/>
      <c r="BQ183" s="137"/>
      <c r="BR183" s="137"/>
    </row>
    <row r="184" spans="1:70">
      <c r="A184" t="s">
        <v>16</v>
      </c>
      <c r="E184" s="89"/>
      <c r="F184" s="89"/>
      <c r="I184" s="135"/>
      <c r="J184" s="90"/>
      <c r="K184" s="90"/>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c r="AI184" s="137"/>
      <c r="AJ184" s="137"/>
      <c r="AK184" s="137"/>
      <c r="AL184" s="137"/>
      <c r="AM184" s="137"/>
      <c r="AN184" s="137"/>
      <c r="AO184" s="137"/>
      <c r="AP184" s="137"/>
      <c r="AQ184" s="137"/>
      <c r="AR184" s="137"/>
      <c r="AS184" s="137"/>
      <c r="AT184" s="137"/>
      <c r="AU184" s="137"/>
      <c r="AV184" s="137"/>
      <c r="AW184" s="137"/>
      <c r="AX184" s="137"/>
      <c r="AY184" s="137"/>
      <c r="AZ184" s="137"/>
      <c r="BA184" s="137"/>
      <c r="BB184" s="137"/>
      <c r="BC184" s="137"/>
      <c r="BD184" s="137"/>
      <c r="BE184" s="137"/>
      <c r="BF184" s="137"/>
      <c r="BG184" s="137"/>
      <c r="BH184" s="137"/>
      <c r="BI184" s="137"/>
      <c r="BJ184" s="137"/>
      <c r="BK184" s="137"/>
      <c r="BL184" s="137"/>
      <c r="BM184" s="137"/>
      <c r="BN184" s="137"/>
      <c r="BO184" s="137"/>
      <c r="BP184" s="137"/>
      <c r="BQ184" s="137"/>
      <c r="BR184" s="137"/>
    </row>
    <row r="185" spans="1:70" ht="15.75" thickBot="1">
      <c r="A185" t="s">
        <v>16</v>
      </c>
      <c r="B185" s="68" t="s">
        <v>468</v>
      </c>
      <c r="C185" s="68"/>
      <c r="D185" s="68"/>
      <c r="E185" s="68"/>
      <c r="F185" s="68"/>
      <c r="G185" s="68"/>
      <c r="H185" s="68"/>
      <c r="I185" s="135" t="s">
        <v>217</v>
      </c>
      <c r="J185" s="90"/>
      <c r="K185" s="90"/>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c r="AI185" s="137"/>
      <c r="AJ185" s="137"/>
      <c r="AK185" s="137"/>
      <c r="AL185" s="137"/>
      <c r="AM185" s="137"/>
      <c r="AN185" s="137"/>
      <c r="AO185" s="137"/>
      <c r="AP185" s="137"/>
      <c r="AQ185" s="137"/>
      <c r="AR185" s="137"/>
      <c r="AS185" s="137"/>
      <c r="AT185" s="137"/>
      <c r="AU185" s="137"/>
      <c r="AV185" s="137"/>
      <c r="AW185" s="137"/>
      <c r="AX185" s="137"/>
      <c r="AY185" s="137"/>
      <c r="AZ185" s="137"/>
      <c r="BA185" s="137"/>
      <c r="BB185" s="137"/>
      <c r="BC185" s="137"/>
      <c r="BD185" s="137"/>
      <c r="BE185" s="137"/>
      <c r="BF185" s="137"/>
      <c r="BG185" s="137"/>
      <c r="BH185" s="137"/>
      <c r="BI185" s="137"/>
      <c r="BJ185" s="137"/>
      <c r="BK185" s="137"/>
      <c r="BL185" s="137"/>
      <c r="BM185" s="137"/>
      <c r="BN185" s="137"/>
      <c r="BO185" s="137"/>
      <c r="BP185" s="137"/>
      <c r="BQ185" s="137"/>
      <c r="BR185" s="137"/>
    </row>
    <row r="186" spans="1:70">
      <c r="A186" t="s">
        <v>16</v>
      </c>
      <c r="B186" s="70" t="str">
        <f t="shared" ref="B186:C194" si="209">B174</f>
        <v>CNC</v>
      </c>
      <c r="C186" s="70" t="str">
        <f t="shared" si="209"/>
        <v>Commercial - Cooling</v>
      </c>
      <c r="E186" s="89"/>
      <c r="F186" s="89"/>
      <c r="I186" s="135"/>
      <c r="J186" s="90"/>
      <c r="K186" s="90"/>
      <c r="L186" s="137">
        <f t="shared" ref="L186:AA194" si="210">INDEX(L$49:L$52,MATCH($I$185,$B$49:$B$52,0),1)*INDEX(L$81:L$89,MATCH($B186,$B$81:$B$89,0))*INDEX(L$116:L$124,MATCH($B186,$B$116:$B$124,0))/1000</f>
        <v>0</v>
      </c>
      <c r="M186" s="137">
        <f t="shared" si="210"/>
        <v>0</v>
      </c>
      <c r="N186" s="137">
        <f t="shared" si="210"/>
        <v>0</v>
      </c>
      <c r="O186" s="137">
        <f t="shared" si="210"/>
        <v>0</v>
      </c>
      <c r="P186" s="137">
        <f t="shared" si="210"/>
        <v>0</v>
      </c>
      <c r="Q186" s="137">
        <f t="shared" si="210"/>
        <v>0</v>
      </c>
      <c r="R186" s="137">
        <f>INDEX(R$49:R$52,MATCH($I$185,$B$49:$B$52,0),1)*INDEX(R$81:R$89,MATCH($B186,$B$81:$B$89,0))*INDEX(R$116:R$124,MATCH($B186,$B$116:$B$124,0))/1000</f>
        <v>1.6937258662331782</v>
      </c>
      <c r="S186" s="137">
        <f t="shared" si="210"/>
        <v>3.2631004380656852</v>
      </c>
      <c r="T186" s="137">
        <f t="shared" si="210"/>
        <v>4.2481843124195784</v>
      </c>
      <c r="U186" s="137">
        <f t="shared" si="210"/>
        <v>7.2513038866541759</v>
      </c>
      <c r="V186" s="137">
        <f t="shared" si="210"/>
        <v>8.745787562750623</v>
      </c>
      <c r="W186" s="137">
        <f t="shared" si="210"/>
        <v>9.4236823396923111</v>
      </c>
      <c r="X186" s="137">
        <f>INDEX(X$49:X$52,MATCH($I$185,$B$49:$B$52,0),1)*INDEX(X$81:X$89,MATCH($B186,$B$81:$B$89,0))*INDEX(X$116:X$124,MATCH($B186,$B$116:$B$124,0))/1000</f>
        <v>10.352310122641784</v>
      </c>
      <c r="Y186" s="137">
        <f t="shared" si="210"/>
        <v>11.229817849504327</v>
      </c>
      <c r="Z186" s="137">
        <f t="shared" si="210"/>
        <v>12.126812934403056</v>
      </c>
      <c r="AA186" s="137">
        <f t="shared" si="210"/>
        <v>12.995706783327593</v>
      </c>
      <c r="AB186" s="137">
        <f t="shared" ref="AB186:AQ194" si="211">INDEX(AB$49:AB$52,MATCH($I$185,$B$49:$B$52,0),1)*INDEX(AB$81:AB$89,MATCH($B186,$B$81:$B$89,0))*INDEX(AB$116:AB$124,MATCH($B186,$B$116:$B$124,0))/1000</f>
        <v>13.82872857875264</v>
      </c>
      <c r="AC186" s="137">
        <f t="shared" si="211"/>
        <v>14.686400677906796</v>
      </c>
      <c r="AD186" s="137">
        <f t="shared" si="211"/>
        <v>15.558666614278101</v>
      </c>
      <c r="AE186" s="137">
        <f t="shared" si="211"/>
        <v>15.558666614278101</v>
      </c>
      <c r="AF186" s="137">
        <f t="shared" si="211"/>
        <v>15.558666614278101</v>
      </c>
      <c r="AG186" s="137">
        <f t="shared" si="211"/>
        <v>15.558666614278101</v>
      </c>
      <c r="AH186" s="137">
        <f t="shared" si="211"/>
        <v>15.558666614278101</v>
      </c>
      <c r="AI186" s="137">
        <f t="shared" si="211"/>
        <v>15.558666614278101</v>
      </c>
      <c r="AJ186" s="137">
        <f t="shared" si="211"/>
        <v>15.558666614278101</v>
      </c>
      <c r="AK186" s="137">
        <f t="shared" si="211"/>
        <v>15.558666614278101</v>
      </c>
      <c r="AL186" s="137">
        <f t="shared" si="211"/>
        <v>15.558666614278101</v>
      </c>
      <c r="AM186" s="137">
        <f t="shared" si="211"/>
        <v>15.558666614278101</v>
      </c>
      <c r="AN186" s="137">
        <f t="shared" si="211"/>
        <v>15.558666614278101</v>
      </c>
      <c r="AO186" s="137">
        <f t="shared" si="211"/>
        <v>15.558666614278101</v>
      </c>
      <c r="AP186" s="137">
        <f t="shared" si="211"/>
        <v>15.558666614278101</v>
      </c>
      <c r="AQ186" s="137">
        <f t="shared" si="211"/>
        <v>15.558666614278101</v>
      </c>
      <c r="AR186" s="137">
        <f t="shared" ref="AP186:BE194" si="212">INDEX(AR$49:AR$52,MATCH($I$185,$B$49:$B$52,0),1)*INDEX(AR$81:AR$89,MATCH($B186,$B$81:$B$89,0))*INDEX(AR$116:AR$124,MATCH($B186,$B$116:$B$124,0))/1000</f>
        <v>15.558666614278101</v>
      </c>
      <c r="AS186" s="137">
        <f t="shared" si="212"/>
        <v>15.558666614278101</v>
      </c>
      <c r="AT186" s="137">
        <f t="shared" si="212"/>
        <v>15.558666614278101</v>
      </c>
      <c r="AU186" s="137">
        <f t="shared" si="212"/>
        <v>15.558666614278101</v>
      </c>
      <c r="AV186" s="137">
        <f t="shared" si="212"/>
        <v>15.558666614278101</v>
      </c>
      <c r="AW186" s="137">
        <f t="shared" si="212"/>
        <v>15.558666614278101</v>
      </c>
      <c r="AX186" s="137">
        <f t="shared" si="212"/>
        <v>15.558666614278101</v>
      </c>
      <c r="AY186" s="137">
        <f t="shared" si="212"/>
        <v>15.558666614278101</v>
      </c>
      <c r="AZ186" s="137">
        <f t="shared" si="212"/>
        <v>15.558666614278101</v>
      </c>
      <c r="BA186" s="137">
        <f t="shared" si="212"/>
        <v>15.558666614278101</v>
      </c>
      <c r="BB186" s="137">
        <f t="shared" si="212"/>
        <v>15.558666614278101</v>
      </c>
      <c r="BC186" s="137">
        <f t="shared" si="212"/>
        <v>15.558666614278101</v>
      </c>
      <c r="BD186" s="137">
        <f t="shared" si="212"/>
        <v>15.558666614278101</v>
      </c>
      <c r="BE186" s="137">
        <f t="shared" si="212"/>
        <v>15.558666614278101</v>
      </c>
      <c r="BF186" s="137">
        <f t="shared" ref="AY186:BR192" si="213">INDEX(BF$49:BF$52,MATCH($I$185,$B$49:$B$52,0),1)*INDEX(BF$81:BF$89,MATCH($B186,$B$81:$B$89,0))*INDEX(BF$116:BF$124,MATCH($B186,$B$116:$B$124,0))/1000</f>
        <v>15.558666614278101</v>
      </c>
      <c r="BG186" s="137">
        <f t="shared" si="213"/>
        <v>15.558666614278101</v>
      </c>
      <c r="BH186" s="137">
        <f t="shared" si="213"/>
        <v>15.558666614278101</v>
      </c>
      <c r="BI186" s="137">
        <f t="shared" si="213"/>
        <v>15.558666614278101</v>
      </c>
      <c r="BJ186" s="137">
        <f t="shared" si="213"/>
        <v>15.558666614278101</v>
      </c>
      <c r="BK186" s="137">
        <f t="shared" si="213"/>
        <v>15.558666614278101</v>
      </c>
      <c r="BL186" s="137">
        <f t="shared" si="213"/>
        <v>15.558666614278101</v>
      </c>
      <c r="BM186" s="137">
        <f t="shared" si="213"/>
        <v>15.558666614278101</v>
      </c>
      <c r="BN186" s="137">
        <f t="shared" si="213"/>
        <v>15.558666614278101</v>
      </c>
      <c r="BO186" s="137">
        <f t="shared" si="213"/>
        <v>15.558666614278101</v>
      </c>
      <c r="BP186" s="137">
        <f t="shared" si="213"/>
        <v>15.558666614278101</v>
      </c>
      <c r="BQ186" s="137">
        <f t="shared" si="213"/>
        <v>15.558666614278101</v>
      </c>
      <c r="BR186" s="137">
        <f t="shared" si="213"/>
        <v>15.558666614278101</v>
      </c>
    </row>
    <row r="187" spans="1:70">
      <c r="A187" t="s">
        <v>16</v>
      </c>
      <c r="B187" s="70" t="str">
        <f t="shared" si="209"/>
        <v>CNH</v>
      </c>
      <c r="C187" s="70" t="str">
        <f t="shared" si="209"/>
        <v>Commercial - Space Heating</v>
      </c>
      <c r="E187" s="89"/>
      <c r="F187" s="89"/>
      <c r="I187" s="135"/>
      <c r="J187" s="90"/>
      <c r="K187" s="90"/>
      <c r="L187" s="137">
        <f t="shared" si="210"/>
        <v>0</v>
      </c>
      <c r="M187" s="137">
        <f t="shared" si="210"/>
        <v>0</v>
      </c>
      <c r="N187" s="137">
        <f t="shared" si="210"/>
        <v>0</v>
      </c>
      <c r="O187" s="137">
        <f t="shared" si="210"/>
        <v>0</v>
      </c>
      <c r="P187" s="137">
        <f t="shared" si="210"/>
        <v>0</v>
      </c>
      <c r="Q187" s="137">
        <f t="shared" si="210"/>
        <v>0</v>
      </c>
      <c r="R187" s="137">
        <f t="shared" si="210"/>
        <v>0.15818291117343533</v>
      </c>
      <c r="S187" s="137">
        <f t="shared" si="210"/>
        <v>0.3047522252774526</v>
      </c>
      <c r="T187" s="137">
        <f t="shared" si="210"/>
        <v>0.39675261217704844</v>
      </c>
      <c r="U187" s="137">
        <f t="shared" si="210"/>
        <v>0.66522669420813563</v>
      </c>
      <c r="V187" s="137">
        <f t="shared" si="210"/>
        <v>0.78687902352032635</v>
      </c>
      <c r="W187" s="137">
        <f t="shared" si="210"/>
        <v>0.83005676906906911</v>
      </c>
      <c r="X187" s="137">
        <f t="shared" si="210"/>
        <v>0.89086163145376862</v>
      </c>
      <c r="Y187" s="137">
        <f t="shared" si="210"/>
        <v>0.94188948561735575</v>
      </c>
      <c r="Z187" s="137">
        <f t="shared" si="210"/>
        <v>0.98861227454724632</v>
      </c>
      <c r="AA187" s="137">
        <f t="shared" si="210"/>
        <v>1.0264023477943514</v>
      </c>
      <c r="AB187" s="137">
        <f t="shared" si="211"/>
        <v>1.0540444928140638</v>
      </c>
      <c r="AC187" s="137">
        <f t="shared" si="211"/>
        <v>1.0753066021771158</v>
      </c>
      <c r="AD187" s="137">
        <f t="shared" si="211"/>
        <v>1.0881027917270423</v>
      </c>
      <c r="AE187" s="137">
        <f t="shared" si="211"/>
        <v>1.0881027917270423</v>
      </c>
      <c r="AF187" s="137">
        <f t="shared" si="211"/>
        <v>1.0881027917270423</v>
      </c>
      <c r="AG187" s="137">
        <f t="shared" si="211"/>
        <v>1.0881027917270423</v>
      </c>
      <c r="AH187" s="137">
        <f t="shared" si="211"/>
        <v>1.0881027917270423</v>
      </c>
      <c r="AI187" s="137">
        <f t="shared" si="211"/>
        <v>1.0881027917270423</v>
      </c>
      <c r="AJ187" s="137">
        <f t="shared" si="211"/>
        <v>1.0881027917270423</v>
      </c>
      <c r="AK187" s="137">
        <f t="shared" si="211"/>
        <v>1.0881027917270423</v>
      </c>
      <c r="AL187" s="137">
        <f t="shared" si="211"/>
        <v>1.0881027917270423</v>
      </c>
      <c r="AM187" s="137">
        <f t="shared" si="211"/>
        <v>1.0881027917270423</v>
      </c>
      <c r="AN187" s="137">
        <f t="shared" si="211"/>
        <v>1.0881027917270423</v>
      </c>
      <c r="AO187" s="137">
        <f t="shared" si="211"/>
        <v>1.0881027917270423</v>
      </c>
      <c r="AP187" s="137">
        <f t="shared" si="212"/>
        <v>1.0881027917270423</v>
      </c>
      <c r="AQ187" s="137">
        <f t="shared" si="212"/>
        <v>1.0881027917270423</v>
      </c>
      <c r="AR187" s="137">
        <f t="shared" si="212"/>
        <v>1.0881027917270423</v>
      </c>
      <c r="AS187" s="137">
        <f t="shared" si="212"/>
        <v>1.0881027917270423</v>
      </c>
      <c r="AT187" s="137">
        <f t="shared" si="212"/>
        <v>1.0881027917270423</v>
      </c>
      <c r="AU187" s="137">
        <f t="shared" si="212"/>
        <v>1.0881027917270423</v>
      </c>
      <c r="AV187" s="137">
        <f t="shared" si="212"/>
        <v>1.0881027917270423</v>
      </c>
      <c r="AW187" s="137">
        <f t="shared" si="212"/>
        <v>1.0881027917270423</v>
      </c>
      <c r="AX187" s="137">
        <f t="shared" si="212"/>
        <v>1.0881027917270423</v>
      </c>
      <c r="AY187" s="137">
        <f t="shared" si="213"/>
        <v>1.0881027917270423</v>
      </c>
      <c r="AZ187" s="137">
        <f t="shared" si="213"/>
        <v>1.0881027917270423</v>
      </c>
      <c r="BA187" s="137">
        <f t="shared" si="213"/>
        <v>1.0881027917270423</v>
      </c>
      <c r="BB187" s="137">
        <f t="shared" si="213"/>
        <v>1.0881027917270423</v>
      </c>
      <c r="BC187" s="137">
        <f t="shared" si="213"/>
        <v>1.0881027917270423</v>
      </c>
      <c r="BD187" s="137">
        <f t="shared" si="213"/>
        <v>1.0881027917270423</v>
      </c>
      <c r="BE187" s="137">
        <f t="shared" si="213"/>
        <v>1.0881027917270423</v>
      </c>
      <c r="BF187" s="137">
        <f t="shared" si="213"/>
        <v>1.0881027917270423</v>
      </c>
      <c r="BG187" s="137">
        <f t="shared" si="213"/>
        <v>1.0881027917270423</v>
      </c>
      <c r="BH187" s="137">
        <f t="shared" si="213"/>
        <v>1.0881027917270423</v>
      </c>
      <c r="BI187" s="137">
        <f t="shared" si="213"/>
        <v>1.0881027917270423</v>
      </c>
      <c r="BJ187" s="137">
        <f t="shared" si="213"/>
        <v>1.0881027917270423</v>
      </c>
      <c r="BK187" s="137">
        <f t="shared" si="213"/>
        <v>1.0881027917270423</v>
      </c>
      <c r="BL187" s="137">
        <f t="shared" si="213"/>
        <v>1.0881027917270423</v>
      </c>
      <c r="BM187" s="137">
        <f t="shared" si="213"/>
        <v>1.0881027917270423</v>
      </c>
      <c r="BN187" s="137">
        <f t="shared" si="213"/>
        <v>1.0881027917270423</v>
      </c>
      <c r="BO187" s="137">
        <f t="shared" si="213"/>
        <v>1.0881027917270423</v>
      </c>
      <c r="BP187" s="137">
        <f t="shared" si="213"/>
        <v>1.0881027917270423</v>
      </c>
      <c r="BQ187" s="137">
        <f t="shared" si="213"/>
        <v>1.0881027917270423</v>
      </c>
      <c r="BR187" s="137">
        <f t="shared" si="213"/>
        <v>1.0881027917270423</v>
      </c>
    </row>
    <row r="188" spans="1:70">
      <c r="A188" t="s">
        <v>16</v>
      </c>
      <c r="B188" s="70" t="str">
        <f t="shared" si="209"/>
        <v>CNK</v>
      </c>
      <c r="C188" s="70" t="str">
        <f t="shared" si="209"/>
        <v>Commercial - Cooking</v>
      </c>
      <c r="E188" s="89"/>
      <c r="F188" s="89"/>
      <c r="I188" s="135"/>
      <c r="J188" s="90"/>
      <c r="K188" s="90"/>
      <c r="L188" s="137">
        <f t="shared" si="210"/>
        <v>0</v>
      </c>
      <c r="M188" s="137">
        <f t="shared" si="210"/>
        <v>0</v>
      </c>
      <c r="N188" s="137">
        <f t="shared" si="210"/>
        <v>0</v>
      </c>
      <c r="O188" s="137">
        <f t="shared" si="210"/>
        <v>0</v>
      </c>
      <c r="P188" s="137">
        <f t="shared" si="210"/>
        <v>0</v>
      </c>
      <c r="Q188" s="137">
        <f t="shared" si="210"/>
        <v>0</v>
      </c>
      <c r="R188" s="137">
        <f t="shared" si="210"/>
        <v>0.11821918095627622</v>
      </c>
      <c r="S188" s="137">
        <f t="shared" si="210"/>
        <v>0.22775885334036872</v>
      </c>
      <c r="T188" s="137">
        <f t="shared" si="210"/>
        <v>0.29651603011912847</v>
      </c>
      <c r="U188" s="137">
        <f t="shared" si="210"/>
        <v>0.50646641489839994</v>
      </c>
      <c r="V188" s="137">
        <f t="shared" si="210"/>
        <v>0.61128338265642834</v>
      </c>
      <c r="W188" s="137">
        <f t="shared" si="210"/>
        <v>0.65916606583913251</v>
      </c>
      <c r="X188" s="137">
        <f t="shared" si="210"/>
        <v>0.72471247549795592</v>
      </c>
      <c r="Y188" s="137">
        <f t="shared" si="210"/>
        <v>0.78683162732447087</v>
      </c>
      <c r="Z188" s="137">
        <f t="shared" si="210"/>
        <v>0.85048339392881778</v>
      </c>
      <c r="AA188" s="137">
        <f t="shared" si="210"/>
        <v>0.91235132951489606</v>
      </c>
      <c r="AB188" s="137">
        <f t="shared" si="211"/>
        <v>0.97190682360806147</v>
      </c>
      <c r="AC188" s="137">
        <f t="shared" si="211"/>
        <v>1.0334272854144815</v>
      </c>
      <c r="AD188" s="137">
        <f t="shared" si="211"/>
        <v>1.0962430715039686</v>
      </c>
      <c r="AE188" s="137">
        <f t="shared" si="211"/>
        <v>1.0962430715039686</v>
      </c>
      <c r="AF188" s="137">
        <f t="shared" si="211"/>
        <v>1.0962430715039686</v>
      </c>
      <c r="AG188" s="137">
        <f t="shared" si="211"/>
        <v>1.0962430715039686</v>
      </c>
      <c r="AH188" s="137">
        <f t="shared" si="211"/>
        <v>1.0962430715039686</v>
      </c>
      <c r="AI188" s="137">
        <f t="shared" si="211"/>
        <v>1.0962430715039686</v>
      </c>
      <c r="AJ188" s="137">
        <f t="shared" si="211"/>
        <v>1.0962430715039686</v>
      </c>
      <c r="AK188" s="137">
        <f t="shared" si="211"/>
        <v>1.0962430715039686</v>
      </c>
      <c r="AL188" s="137">
        <f t="shared" si="211"/>
        <v>1.0962430715039686</v>
      </c>
      <c r="AM188" s="137">
        <f t="shared" si="211"/>
        <v>1.0962430715039686</v>
      </c>
      <c r="AN188" s="137">
        <f t="shared" si="211"/>
        <v>1.0962430715039686</v>
      </c>
      <c r="AO188" s="137">
        <f t="shared" si="211"/>
        <v>1.0962430715039686</v>
      </c>
      <c r="AP188" s="137">
        <f t="shared" si="212"/>
        <v>1.0962430715039686</v>
      </c>
      <c r="AQ188" s="137">
        <f t="shared" si="212"/>
        <v>1.0962430715039686</v>
      </c>
      <c r="AR188" s="137">
        <f t="shared" si="212"/>
        <v>1.0962430715039686</v>
      </c>
      <c r="AS188" s="137">
        <f t="shared" si="212"/>
        <v>1.0962430715039686</v>
      </c>
      <c r="AT188" s="137">
        <f t="shared" si="212"/>
        <v>1.0962430715039686</v>
      </c>
      <c r="AU188" s="137">
        <f t="shared" si="212"/>
        <v>1.0962430715039686</v>
      </c>
      <c r="AV188" s="137">
        <f t="shared" si="212"/>
        <v>1.0962430715039686</v>
      </c>
      <c r="AW188" s="137">
        <f t="shared" si="212"/>
        <v>1.0962430715039686</v>
      </c>
      <c r="AX188" s="137">
        <f t="shared" si="212"/>
        <v>1.0962430715039686</v>
      </c>
      <c r="AY188" s="137">
        <f t="shared" si="213"/>
        <v>1.0962430715039686</v>
      </c>
      <c r="AZ188" s="137">
        <f t="shared" si="213"/>
        <v>1.0962430715039686</v>
      </c>
      <c r="BA188" s="137">
        <f t="shared" si="213"/>
        <v>1.0962430715039686</v>
      </c>
      <c r="BB188" s="137">
        <f t="shared" si="213"/>
        <v>1.0962430715039686</v>
      </c>
      <c r="BC188" s="137">
        <f t="shared" si="213"/>
        <v>1.0962430715039686</v>
      </c>
      <c r="BD188" s="137">
        <f t="shared" si="213"/>
        <v>1.0962430715039686</v>
      </c>
      <c r="BE188" s="137">
        <f t="shared" si="213"/>
        <v>1.0962430715039686</v>
      </c>
      <c r="BF188" s="137">
        <f t="shared" si="213"/>
        <v>1.0962430715039686</v>
      </c>
      <c r="BG188" s="137">
        <f t="shared" si="213"/>
        <v>1.0962430715039686</v>
      </c>
      <c r="BH188" s="137">
        <f t="shared" si="213"/>
        <v>1.0962430715039686</v>
      </c>
      <c r="BI188" s="137">
        <f t="shared" si="213"/>
        <v>1.0962430715039686</v>
      </c>
      <c r="BJ188" s="137">
        <f t="shared" si="213"/>
        <v>1.0962430715039686</v>
      </c>
      <c r="BK188" s="137">
        <f t="shared" si="213"/>
        <v>1.0962430715039686</v>
      </c>
      <c r="BL188" s="137">
        <f t="shared" si="213"/>
        <v>1.0962430715039686</v>
      </c>
      <c r="BM188" s="137">
        <f t="shared" si="213"/>
        <v>1.0962430715039686</v>
      </c>
      <c r="BN188" s="137">
        <f t="shared" si="213"/>
        <v>1.0962430715039686</v>
      </c>
      <c r="BO188" s="137">
        <f t="shared" si="213"/>
        <v>1.0962430715039686</v>
      </c>
      <c r="BP188" s="137">
        <f t="shared" si="213"/>
        <v>1.0962430715039686</v>
      </c>
      <c r="BQ188" s="137">
        <f t="shared" si="213"/>
        <v>1.0962430715039686</v>
      </c>
      <c r="BR188" s="137">
        <f t="shared" si="213"/>
        <v>1.0962430715039686</v>
      </c>
    </row>
    <row r="189" spans="1:70">
      <c r="A189" t="s">
        <v>16</v>
      </c>
      <c r="B189" s="70" t="str">
        <f t="shared" si="209"/>
        <v>CNL</v>
      </c>
      <c r="C189" s="70" t="str">
        <f t="shared" si="209"/>
        <v>Commercial - Lighting</v>
      </c>
      <c r="E189" s="89"/>
      <c r="F189" s="89"/>
      <c r="I189" s="135"/>
      <c r="J189" s="90"/>
      <c r="K189" s="90"/>
      <c r="L189" s="137">
        <f t="shared" si="210"/>
        <v>0</v>
      </c>
      <c r="M189" s="137">
        <f t="shared" si="210"/>
        <v>0</v>
      </c>
      <c r="N189" s="137">
        <f t="shared" si="210"/>
        <v>0</v>
      </c>
      <c r="O189" s="137">
        <f t="shared" si="210"/>
        <v>0</v>
      </c>
      <c r="P189" s="137">
        <f t="shared" si="210"/>
        <v>0</v>
      </c>
      <c r="Q189" s="137">
        <f t="shared" si="210"/>
        <v>0</v>
      </c>
      <c r="R189" s="137">
        <f t="shared" si="210"/>
        <v>1.4739325886745098</v>
      </c>
      <c r="S189" s="137">
        <f t="shared" si="210"/>
        <v>2.8396508382313019</v>
      </c>
      <c r="T189" s="137">
        <f t="shared" si="210"/>
        <v>3.6969012669663002</v>
      </c>
      <c r="U189" s="137">
        <f t="shared" si="210"/>
        <v>6.3103087235076201</v>
      </c>
      <c r="V189" s="137">
        <f t="shared" si="210"/>
        <v>7.6108546013004421</v>
      </c>
      <c r="W189" s="137">
        <f t="shared" si="210"/>
        <v>8.2007795846442573</v>
      </c>
      <c r="X189" s="137">
        <f t="shared" si="210"/>
        <v>9.0089001780209408</v>
      </c>
      <c r="Y189" s="137">
        <f t="shared" si="210"/>
        <v>9.772534518867884</v>
      </c>
      <c r="Z189" s="137">
        <f t="shared" si="210"/>
        <v>10.553127360880422</v>
      </c>
      <c r="AA189" s="137">
        <f t="shared" si="210"/>
        <v>11.30926563895782</v>
      </c>
      <c r="AB189" s="137">
        <f t="shared" si="211"/>
        <v>12.034186947554112</v>
      </c>
      <c r="AC189" s="137">
        <f t="shared" si="211"/>
        <v>12.78055971220442</v>
      </c>
      <c r="AD189" s="137">
        <f t="shared" si="211"/>
        <v>13.539632484982953</v>
      </c>
      <c r="AE189" s="137">
        <f t="shared" si="211"/>
        <v>13.539632484982953</v>
      </c>
      <c r="AF189" s="137">
        <f t="shared" si="211"/>
        <v>13.539632484982953</v>
      </c>
      <c r="AG189" s="137">
        <f t="shared" si="211"/>
        <v>13.539632484982953</v>
      </c>
      <c r="AH189" s="137">
        <f t="shared" si="211"/>
        <v>13.539632484982953</v>
      </c>
      <c r="AI189" s="137">
        <f t="shared" si="211"/>
        <v>13.539632484982953</v>
      </c>
      <c r="AJ189" s="137">
        <f t="shared" si="211"/>
        <v>13.539632484982953</v>
      </c>
      <c r="AK189" s="137">
        <f t="shared" si="211"/>
        <v>13.539632484982953</v>
      </c>
      <c r="AL189" s="137">
        <f t="shared" si="211"/>
        <v>13.539632484982953</v>
      </c>
      <c r="AM189" s="137">
        <f t="shared" si="211"/>
        <v>13.539632484982953</v>
      </c>
      <c r="AN189" s="137">
        <f t="shared" si="211"/>
        <v>13.539632484982953</v>
      </c>
      <c r="AO189" s="137">
        <f t="shared" si="211"/>
        <v>13.539632484982953</v>
      </c>
      <c r="AP189" s="137">
        <f t="shared" si="212"/>
        <v>13.539632484982953</v>
      </c>
      <c r="AQ189" s="137">
        <f t="shared" si="212"/>
        <v>13.539632484982953</v>
      </c>
      <c r="AR189" s="137">
        <f t="shared" si="212"/>
        <v>13.539632484982953</v>
      </c>
      <c r="AS189" s="137">
        <f t="shared" si="212"/>
        <v>13.539632484982953</v>
      </c>
      <c r="AT189" s="137">
        <f t="shared" si="212"/>
        <v>13.539632484982953</v>
      </c>
      <c r="AU189" s="137">
        <f t="shared" si="212"/>
        <v>13.539632484982953</v>
      </c>
      <c r="AV189" s="137">
        <f t="shared" si="212"/>
        <v>13.539632484982953</v>
      </c>
      <c r="AW189" s="137">
        <f t="shared" si="212"/>
        <v>13.539632484982953</v>
      </c>
      <c r="AX189" s="137">
        <f t="shared" si="212"/>
        <v>13.539632484982953</v>
      </c>
      <c r="AY189" s="137">
        <f t="shared" si="213"/>
        <v>13.539632484982953</v>
      </c>
      <c r="AZ189" s="137">
        <f t="shared" si="213"/>
        <v>13.539632484982953</v>
      </c>
      <c r="BA189" s="137">
        <f t="shared" si="213"/>
        <v>13.539632484982953</v>
      </c>
      <c r="BB189" s="137">
        <f t="shared" si="213"/>
        <v>13.539632484982953</v>
      </c>
      <c r="BC189" s="137">
        <f t="shared" si="213"/>
        <v>13.539632484982953</v>
      </c>
      <c r="BD189" s="137">
        <f t="shared" si="213"/>
        <v>13.539632484982953</v>
      </c>
      <c r="BE189" s="137">
        <f t="shared" si="213"/>
        <v>13.539632484982953</v>
      </c>
      <c r="BF189" s="137">
        <f t="shared" si="213"/>
        <v>13.539632484982953</v>
      </c>
      <c r="BG189" s="137">
        <f t="shared" si="213"/>
        <v>13.539632484982953</v>
      </c>
      <c r="BH189" s="137">
        <f t="shared" si="213"/>
        <v>13.539632484982953</v>
      </c>
      <c r="BI189" s="137">
        <f t="shared" si="213"/>
        <v>13.539632484982953</v>
      </c>
      <c r="BJ189" s="137">
        <f t="shared" si="213"/>
        <v>13.539632484982953</v>
      </c>
      <c r="BK189" s="137">
        <f t="shared" si="213"/>
        <v>13.539632484982953</v>
      </c>
      <c r="BL189" s="137">
        <f t="shared" si="213"/>
        <v>13.539632484982953</v>
      </c>
      <c r="BM189" s="137">
        <f t="shared" si="213"/>
        <v>13.539632484982953</v>
      </c>
      <c r="BN189" s="137">
        <f t="shared" si="213"/>
        <v>13.539632484982953</v>
      </c>
      <c r="BO189" s="137">
        <f t="shared" si="213"/>
        <v>13.539632484982953</v>
      </c>
      <c r="BP189" s="137">
        <f t="shared" si="213"/>
        <v>13.539632484982953</v>
      </c>
      <c r="BQ189" s="137">
        <f t="shared" si="213"/>
        <v>13.539632484982953</v>
      </c>
      <c r="BR189" s="137">
        <f t="shared" si="213"/>
        <v>13.539632484982953</v>
      </c>
    </row>
    <row r="190" spans="1:70">
      <c r="A190" t="s">
        <v>16</v>
      </c>
      <c r="B190" s="70" t="str">
        <f t="shared" si="209"/>
        <v>CNR</v>
      </c>
      <c r="C190" s="70" t="str">
        <f t="shared" si="209"/>
        <v>Commercial - Refrigeration</v>
      </c>
      <c r="E190" s="89"/>
      <c r="F190" s="89"/>
      <c r="I190" s="135"/>
      <c r="J190" s="90"/>
      <c r="K190" s="90"/>
      <c r="L190" s="137">
        <f t="shared" si="210"/>
        <v>0</v>
      </c>
      <c r="M190" s="137">
        <f t="shared" si="210"/>
        <v>0</v>
      </c>
      <c r="N190" s="137">
        <f t="shared" si="210"/>
        <v>0</v>
      </c>
      <c r="O190" s="137">
        <f t="shared" si="210"/>
        <v>0</v>
      </c>
      <c r="P190" s="137">
        <f t="shared" si="210"/>
        <v>0</v>
      </c>
      <c r="Q190" s="137">
        <f t="shared" si="210"/>
        <v>0</v>
      </c>
      <c r="R190" s="137">
        <f t="shared" si="210"/>
        <v>0.3585549515238371</v>
      </c>
      <c r="S190" s="137">
        <f t="shared" si="210"/>
        <v>0.69078523432491357</v>
      </c>
      <c r="T190" s="137">
        <f t="shared" si="210"/>
        <v>0.89932352724323594</v>
      </c>
      <c r="U190" s="137">
        <f t="shared" si="210"/>
        <v>1.5350718586746517</v>
      </c>
      <c r="V190" s="137">
        <f t="shared" si="210"/>
        <v>1.8514480401565225</v>
      </c>
      <c r="W190" s="137">
        <f t="shared" si="210"/>
        <v>1.994955637064844</v>
      </c>
      <c r="X190" s="137">
        <f t="shared" si="210"/>
        <v>2.1915424025723245</v>
      </c>
      <c r="Y190" s="137">
        <f t="shared" si="210"/>
        <v>2.3773072578772352</v>
      </c>
      <c r="Z190" s="137">
        <f t="shared" si="210"/>
        <v>2.5671975084750289</v>
      </c>
      <c r="AA190" s="137">
        <f t="shared" si="210"/>
        <v>2.7511388404766297</v>
      </c>
      <c r="AB190" s="137">
        <f t="shared" si="211"/>
        <v>2.9274862030762203</v>
      </c>
      <c r="AC190" s="137">
        <f t="shared" si="211"/>
        <v>3.1090519357998345</v>
      </c>
      <c r="AD190" s="137">
        <f t="shared" si="211"/>
        <v>3.2937071251470176</v>
      </c>
      <c r="AE190" s="137">
        <f t="shared" si="211"/>
        <v>3.2937071251470176</v>
      </c>
      <c r="AF190" s="137">
        <f t="shared" si="211"/>
        <v>3.2937071251470176</v>
      </c>
      <c r="AG190" s="137">
        <f t="shared" si="211"/>
        <v>3.2937071251470176</v>
      </c>
      <c r="AH190" s="137">
        <f t="shared" si="211"/>
        <v>3.2937071251470176</v>
      </c>
      <c r="AI190" s="137">
        <f t="shared" si="211"/>
        <v>3.2937071251470176</v>
      </c>
      <c r="AJ190" s="137">
        <f t="shared" si="211"/>
        <v>3.2937071251470176</v>
      </c>
      <c r="AK190" s="137">
        <f t="shared" si="211"/>
        <v>3.2937071251470176</v>
      </c>
      <c r="AL190" s="137">
        <f t="shared" si="211"/>
        <v>3.2937071251470176</v>
      </c>
      <c r="AM190" s="137">
        <f t="shared" si="211"/>
        <v>3.2937071251470176</v>
      </c>
      <c r="AN190" s="137">
        <f t="shared" si="211"/>
        <v>3.2937071251470176</v>
      </c>
      <c r="AO190" s="137">
        <f t="shared" si="211"/>
        <v>3.2937071251470176</v>
      </c>
      <c r="AP190" s="137">
        <f t="shared" si="212"/>
        <v>3.2937071251470176</v>
      </c>
      <c r="AQ190" s="137">
        <f t="shared" si="212"/>
        <v>3.2937071251470176</v>
      </c>
      <c r="AR190" s="137">
        <f t="shared" si="212"/>
        <v>3.2937071251470176</v>
      </c>
      <c r="AS190" s="137">
        <f t="shared" si="212"/>
        <v>3.2937071251470176</v>
      </c>
      <c r="AT190" s="137">
        <f t="shared" si="212"/>
        <v>3.2937071251470176</v>
      </c>
      <c r="AU190" s="137">
        <f t="shared" si="212"/>
        <v>3.2937071251470176</v>
      </c>
      <c r="AV190" s="137">
        <f t="shared" si="212"/>
        <v>3.2937071251470176</v>
      </c>
      <c r="AW190" s="137">
        <f t="shared" si="212"/>
        <v>3.2937071251470176</v>
      </c>
      <c r="AX190" s="137">
        <f t="shared" si="212"/>
        <v>3.2937071251470176</v>
      </c>
      <c r="AY190" s="137">
        <f t="shared" si="213"/>
        <v>3.2937071251470176</v>
      </c>
      <c r="AZ190" s="137">
        <f t="shared" si="213"/>
        <v>3.2937071251470176</v>
      </c>
      <c r="BA190" s="137">
        <f t="shared" si="213"/>
        <v>3.2937071251470176</v>
      </c>
      <c r="BB190" s="137">
        <f t="shared" si="213"/>
        <v>3.2937071251470176</v>
      </c>
      <c r="BC190" s="137">
        <f t="shared" si="213"/>
        <v>3.2937071251470176</v>
      </c>
      <c r="BD190" s="137">
        <f t="shared" si="213"/>
        <v>3.2937071251470176</v>
      </c>
      <c r="BE190" s="137">
        <f t="shared" si="213"/>
        <v>3.2937071251470176</v>
      </c>
      <c r="BF190" s="137">
        <f t="shared" si="213"/>
        <v>3.2937071251470176</v>
      </c>
      <c r="BG190" s="137">
        <f t="shared" si="213"/>
        <v>3.2937071251470176</v>
      </c>
      <c r="BH190" s="137">
        <f t="shared" si="213"/>
        <v>3.2937071251470176</v>
      </c>
      <c r="BI190" s="137">
        <f t="shared" si="213"/>
        <v>3.2937071251470176</v>
      </c>
      <c r="BJ190" s="137">
        <f t="shared" si="213"/>
        <v>3.2937071251470176</v>
      </c>
      <c r="BK190" s="137">
        <f t="shared" si="213"/>
        <v>3.2937071251470176</v>
      </c>
      <c r="BL190" s="137">
        <f t="shared" si="213"/>
        <v>3.2937071251470176</v>
      </c>
      <c r="BM190" s="137">
        <f t="shared" si="213"/>
        <v>3.2937071251470176</v>
      </c>
      <c r="BN190" s="137">
        <f t="shared" si="213"/>
        <v>3.2937071251470176</v>
      </c>
      <c r="BO190" s="137">
        <f t="shared" si="213"/>
        <v>3.2937071251470176</v>
      </c>
      <c r="BP190" s="137">
        <f t="shared" si="213"/>
        <v>3.2937071251470176</v>
      </c>
      <c r="BQ190" s="137">
        <f t="shared" si="213"/>
        <v>3.2937071251470176</v>
      </c>
      <c r="BR190" s="137">
        <f t="shared" si="213"/>
        <v>3.2937071251470176</v>
      </c>
    </row>
    <row r="191" spans="1:70">
      <c r="A191" t="s">
        <v>16</v>
      </c>
      <c r="B191" s="70" t="str">
        <f t="shared" si="209"/>
        <v>CNW</v>
      </c>
      <c r="C191" s="70" t="str">
        <f t="shared" si="209"/>
        <v>Commercial - Water Heating</v>
      </c>
      <c r="E191" s="89"/>
      <c r="F191" s="89"/>
      <c r="I191" s="135"/>
      <c r="J191" s="90"/>
      <c r="K191" s="90"/>
      <c r="L191" s="137">
        <f t="shared" si="210"/>
        <v>0</v>
      </c>
      <c r="M191" s="137">
        <f t="shared" si="210"/>
        <v>0</v>
      </c>
      <c r="N191" s="137">
        <f t="shared" si="210"/>
        <v>0</v>
      </c>
      <c r="O191" s="137">
        <f t="shared" si="210"/>
        <v>0</v>
      </c>
      <c r="P191" s="137">
        <f t="shared" si="210"/>
        <v>0</v>
      </c>
      <c r="Q191" s="137">
        <f t="shared" si="210"/>
        <v>0</v>
      </c>
      <c r="R191" s="137">
        <f t="shared" si="210"/>
        <v>0.18982799702391095</v>
      </c>
      <c r="S191" s="137">
        <f t="shared" si="210"/>
        <v>0.36571905323938514</v>
      </c>
      <c r="T191" s="137">
        <f t="shared" si="210"/>
        <v>0.47612446328666219</v>
      </c>
      <c r="U191" s="137">
        <f t="shared" si="210"/>
        <v>0.79890994464715237</v>
      </c>
      <c r="V191" s="137">
        <f t="shared" si="210"/>
        <v>0.94579880192331833</v>
      </c>
      <c r="W191" s="137">
        <f t="shared" si="210"/>
        <v>0.99862488427144869</v>
      </c>
      <c r="X191" s="137">
        <f t="shared" si="210"/>
        <v>1.0728950344611337</v>
      </c>
      <c r="Y191" s="137">
        <f t="shared" si="210"/>
        <v>1.1356833316466897</v>
      </c>
      <c r="Z191" s="137">
        <f t="shared" si="210"/>
        <v>1.1936127301676287</v>
      </c>
      <c r="AA191" s="137">
        <f t="shared" si="210"/>
        <v>1.2411389947113591</v>
      </c>
      <c r="AB191" s="137">
        <f t="shared" si="211"/>
        <v>1.2768283709038679</v>
      </c>
      <c r="AC191" s="137">
        <f t="shared" si="211"/>
        <v>1.3052971137042466</v>
      </c>
      <c r="AD191" s="137">
        <f t="shared" si="211"/>
        <v>1.3240996006191212</v>
      </c>
      <c r="AE191" s="137">
        <f t="shared" si="211"/>
        <v>1.3240996006191212</v>
      </c>
      <c r="AF191" s="137">
        <f t="shared" si="211"/>
        <v>1.3240996006191212</v>
      </c>
      <c r="AG191" s="137">
        <f t="shared" si="211"/>
        <v>1.3240996006191212</v>
      </c>
      <c r="AH191" s="137">
        <f t="shared" si="211"/>
        <v>1.3240996006191212</v>
      </c>
      <c r="AI191" s="137">
        <f t="shared" si="211"/>
        <v>1.3240996006191212</v>
      </c>
      <c r="AJ191" s="137">
        <f t="shared" si="211"/>
        <v>1.3240996006191212</v>
      </c>
      <c r="AK191" s="137">
        <f t="shared" si="211"/>
        <v>1.3240996006191212</v>
      </c>
      <c r="AL191" s="137">
        <f t="shared" si="211"/>
        <v>1.3240996006191212</v>
      </c>
      <c r="AM191" s="137">
        <f t="shared" si="211"/>
        <v>1.3240996006191212</v>
      </c>
      <c r="AN191" s="137">
        <f t="shared" si="211"/>
        <v>1.3240996006191212</v>
      </c>
      <c r="AO191" s="137">
        <f t="shared" si="211"/>
        <v>1.3240996006191212</v>
      </c>
      <c r="AP191" s="137">
        <f t="shared" si="212"/>
        <v>1.3240996006191212</v>
      </c>
      <c r="AQ191" s="137">
        <f t="shared" si="212"/>
        <v>1.3240996006191212</v>
      </c>
      <c r="AR191" s="137">
        <f t="shared" si="212"/>
        <v>1.3240996006191212</v>
      </c>
      <c r="AS191" s="137">
        <f t="shared" si="212"/>
        <v>1.3240996006191212</v>
      </c>
      <c r="AT191" s="137">
        <f t="shared" si="212"/>
        <v>1.3240996006191212</v>
      </c>
      <c r="AU191" s="137">
        <f t="shared" si="212"/>
        <v>1.3240996006191212</v>
      </c>
      <c r="AV191" s="137">
        <f t="shared" si="212"/>
        <v>1.3240996006191212</v>
      </c>
      <c r="AW191" s="137">
        <f t="shared" si="212"/>
        <v>1.3240996006191212</v>
      </c>
      <c r="AX191" s="137">
        <f t="shared" si="212"/>
        <v>1.3240996006191212</v>
      </c>
      <c r="AY191" s="137">
        <f t="shared" si="213"/>
        <v>1.3240996006191212</v>
      </c>
      <c r="AZ191" s="137">
        <f t="shared" si="213"/>
        <v>1.3240996006191212</v>
      </c>
      <c r="BA191" s="137">
        <f t="shared" si="213"/>
        <v>1.3240996006191212</v>
      </c>
      <c r="BB191" s="137">
        <f t="shared" si="213"/>
        <v>1.3240996006191212</v>
      </c>
      <c r="BC191" s="137">
        <f t="shared" si="213"/>
        <v>1.3240996006191212</v>
      </c>
      <c r="BD191" s="137">
        <f t="shared" si="213"/>
        <v>1.3240996006191212</v>
      </c>
      <c r="BE191" s="137">
        <f t="shared" si="213"/>
        <v>1.3240996006191212</v>
      </c>
      <c r="BF191" s="137">
        <f t="shared" si="213"/>
        <v>1.3240996006191212</v>
      </c>
      <c r="BG191" s="137">
        <f t="shared" si="213"/>
        <v>1.3240996006191212</v>
      </c>
      <c r="BH191" s="137">
        <f t="shared" si="213"/>
        <v>1.3240996006191212</v>
      </c>
      <c r="BI191" s="137">
        <f t="shared" si="213"/>
        <v>1.3240996006191212</v>
      </c>
      <c r="BJ191" s="137">
        <f t="shared" si="213"/>
        <v>1.3240996006191212</v>
      </c>
      <c r="BK191" s="137">
        <f t="shared" si="213"/>
        <v>1.3240996006191212</v>
      </c>
      <c r="BL191" s="137">
        <f t="shared" si="213"/>
        <v>1.3240996006191212</v>
      </c>
      <c r="BM191" s="137">
        <f t="shared" si="213"/>
        <v>1.3240996006191212</v>
      </c>
      <c r="BN191" s="137">
        <f t="shared" si="213"/>
        <v>1.3240996006191212</v>
      </c>
      <c r="BO191" s="137">
        <f t="shared" si="213"/>
        <v>1.3240996006191212</v>
      </c>
      <c r="BP191" s="137">
        <f t="shared" si="213"/>
        <v>1.3240996006191212</v>
      </c>
      <c r="BQ191" s="137">
        <f t="shared" si="213"/>
        <v>1.3240996006191212</v>
      </c>
      <c r="BR191" s="137">
        <f t="shared" si="213"/>
        <v>1.3240996006191212</v>
      </c>
    </row>
    <row r="192" spans="1:70">
      <c r="A192" t="s">
        <v>16</v>
      </c>
      <c r="B192" s="70" t="str">
        <f t="shared" si="209"/>
        <v>CNG</v>
      </c>
      <c r="C192" s="70" t="str">
        <f t="shared" si="209"/>
        <v>Commercial - Public lights</v>
      </c>
      <c r="E192" s="89"/>
      <c r="F192" s="89"/>
      <c r="I192" s="135"/>
      <c r="J192" s="90"/>
      <c r="K192" s="90"/>
      <c r="L192" s="137">
        <f t="shared" si="210"/>
        <v>0</v>
      </c>
      <c r="M192" s="137">
        <f t="shared" si="210"/>
        <v>0</v>
      </c>
      <c r="N192" s="137">
        <f t="shared" si="210"/>
        <v>0</v>
      </c>
      <c r="O192" s="137">
        <f t="shared" si="210"/>
        <v>0</v>
      </c>
      <c r="P192" s="137">
        <f t="shared" si="210"/>
        <v>0</v>
      </c>
      <c r="Q192" s="137">
        <f t="shared" si="210"/>
        <v>0</v>
      </c>
      <c r="R192" s="137">
        <f t="shared" si="210"/>
        <v>0</v>
      </c>
      <c r="S192" s="137">
        <f t="shared" si="210"/>
        <v>0</v>
      </c>
      <c r="T192" s="137">
        <f t="shared" si="210"/>
        <v>0</v>
      </c>
      <c r="U192" s="137">
        <f t="shared" si="210"/>
        <v>0</v>
      </c>
      <c r="V192" s="137">
        <f t="shared" si="210"/>
        <v>0</v>
      </c>
      <c r="W192" s="137">
        <f t="shared" si="210"/>
        <v>0</v>
      </c>
      <c r="X192" s="137">
        <f t="shared" si="210"/>
        <v>0</v>
      </c>
      <c r="Y192" s="137">
        <f t="shared" si="210"/>
        <v>0</v>
      </c>
      <c r="Z192" s="137">
        <f t="shared" si="210"/>
        <v>0</v>
      </c>
      <c r="AA192" s="137">
        <f t="shared" si="210"/>
        <v>0</v>
      </c>
      <c r="AB192" s="137">
        <f t="shared" si="211"/>
        <v>0</v>
      </c>
      <c r="AC192" s="137">
        <f t="shared" si="211"/>
        <v>0</v>
      </c>
      <c r="AD192" s="137">
        <f t="shared" si="211"/>
        <v>0</v>
      </c>
      <c r="AE192" s="137">
        <f t="shared" si="211"/>
        <v>0</v>
      </c>
      <c r="AF192" s="137">
        <f t="shared" si="211"/>
        <v>0</v>
      </c>
      <c r="AG192" s="137">
        <f t="shared" si="211"/>
        <v>0</v>
      </c>
      <c r="AH192" s="137">
        <f t="shared" si="211"/>
        <v>0</v>
      </c>
      <c r="AI192" s="137">
        <f t="shared" si="211"/>
        <v>0</v>
      </c>
      <c r="AJ192" s="137">
        <f t="shared" si="211"/>
        <v>0</v>
      </c>
      <c r="AK192" s="137">
        <f t="shared" si="211"/>
        <v>0</v>
      </c>
      <c r="AL192" s="137">
        <f t="shared" si="211"/>
        <v>0</v>
      </c>
      <c r="AM192" s="137">
        <f t="shared" si="211"/>
        <v>0</v>
      </c>
      <c r="AN192" s="137">
        <f t="shared" si="211"/>
        <v>0</v>
      </c>
      <c r="AO192" s="137">
        <f t="shared" si="211"/>
        <v>0</v>
      </c>
      <c r="AP192" s="137">
        <f t="shared" si="212"/>
        <v>0</v>
      </c>
      <c r="AQ192" s="137">
        <f t="shared" si="212"/>
        <v>0</v>
      </c>
      <c r="AR192" s="137">
        <f t="shared" si="212"/>
        <v>0</v>
      </c>
      <c r="AS192" s="137">
        <f t="shared" si="212"/>
        <v>0</v>
      </c>
      <c r="AT192" s="137">
        <f t="shared" si="212"/>
        <v>0</v>
      </c>
      <c r="AU192" s="137">
        <f t="shared" si="212"/>
        <v>0</v>
      </c>
      <c r="AV192" s="137">
        <f t="shared" si="212"/>
        <v>0</v>
      </c>
      <c r="AW192" s="137">
        <f t="shared" si="212"/>
        <v>0</v>
      </c>
      <c r="AX192" s="137">
        <f t="shared" si="212"/>
        <v>0</v>
      </c>
      <c r="AY192" s="137">
        <f t="shared" si="213"/>
        <v>0</v>
      </c>
      <c r="AZ192" s="137">
        <f t="shared" si="213"/>
        <v>0</v>
      </c>
      <c r="BA192" s="137">
        <f t="shared" si="213"/>
        <v>0</v>
      </c>
      <c r="BB192" s="137">
        <f t="shared" si="213"/>
        <v>0</v>
      </c>
      <c r="BC192" s="137">
        <f t="shared" si="213"/>
        <v>0</v>
      </c>
      <c r="BD192" s="137">
        <f t="shared" si="213"/>
        <v>0</v>
      </c>
      <c r="BE192" s="137">
        <f t="shared" si="213"/>
        <v>0</v>
      </c>
      <c r="BF192" s="137">
        <f t="shared" si="213"/>
        <v>0</v>
      </c>
      <c r="BG192" s="137">
        <f t="shared" si="213"/>
        <v>0</v>
      </c>
      <c r="BH192" s="137">
        <f t="shared" si="213"/>
        <v>0</v>
      </c>
      <c r="BI192" s="137">
        <f t="shared" si="213"/>
        <v>0</v>
      </c>
      <c r="BJ192" s="137">
        <f t="shared" si="213"/>
        <v>0</v>
      </c>
      <c r="BK192" s="137">
        <f t="shared" si="213"/>
        <v>0</v>
      </c>
      <c r="BL192" s="137">
        <f t="shared" si="213"/>
        <v>0</v>
      </c>
      <c r="BM192" s="137">
        <f t="shared" si="213"/>
        <v>0</v>
      </c>
      <c r="BN192" s="137">
        <f t="shared" si="213"/>
        <v>0</v>
      </c>
      <c r="BO192" s="137">
        <f t="shared" si="213"/>
        <v>0</v>
      </c>
      <c r="BP192" s="137">
        <f t="shared" si="213"/>
        <v>0</v>
      </c>
      <c r="BQ192" s="137">
        <f t="shared" si="213"/>
        <v>0</v>
      </c>
      <c r="BR192" s="137">
        <f t="shared" si="213"/>
        <v>0</v>
      </c>
    </row>
    <row r="193" spans="1:70">
      <c r="A193" t="s">
        <v>16</v>
      </c>
      <c r="B193" s="70" t="str">
        <f t="shared" si="209"/>
        <v>CNT</v>
      </c>
      <c r="C193" s="70" t="str">
        <f t="shared" si="209"/>
        <v>Commercial - Public Water</v>
      </c>
      <c r="E193" s="89"/>
      <c r="F193" s="89"/>
      <c r="I193" s="135"/>
      <c r="J193" s="90"/>
      <c r="K193" s="90"/>
      <c r="L193" s="137">
        <f t="shared" si="210"/>
        <v>0</v>
      </c>
      <c r="M193" s="137">
        <f t="shared" si="210"/>
        <v>0</v>
      </c>
      <c r="N193" s="137">
        <f t="shared" si="210"/>
        <v>0</v>
      </c>
      <c r="O193" s="137">
        <f t="shared" si="210"/>
        <v>0</v>
      </c>
      <c r="P193" s="137">
        <f t="shared" si="210"/>
        <v>0</v>
      </c>
      <c r="Q193" s="137">
        <f t="shared" si="210"/>
        <v>0</v>
      </c>
      <c r="R193" s="137">
        <f t="shared" si="210"/>
        <v>0</v>
      </c>
      <c r="S193" s="137">
        <f t="shared" si="210"/>
        <v>0</v>
      </c>
      <c r="T193" s="137">
        <f t="shared" si="210"/>
        <v>0</v>
      </c>
      <c r="U193" s="137">
        <f t="shared" si="210"/>
        <v>0</v>
      </c>
      <c r="V193" s="137">
        <f t="shared" si="210"/>
        <v>0</v>
      </c>
      <c r="W193" s="137">
        <f t="shared" si="210"/>
        <v>0</v>
      </c>
      <c r="X193" s="137">
        <f t="shared" si="210"/>
        <v>0</v>
      </c>
      <c r="Y193" s="137">
        <f t="shared" si="210"/>
        <v>0</v>
      </c>
      <c r="Z193" s="137">
        <f t="shared" si="210"/>
        <v>0</v>
      </c>
      <c r="AA193" s="137">
        <f t="shared" si="210"/>
        <v>0</v>
      </c>
      <c r="AB193" s="137">
        <f t="shared" si="211"/>
        <v>0</v>
      </c>
      <c r="AC193" s="137">
        <f t="shared" si="211"/>
        <v>0</v>
      </c>
      <c r="AD193" s="137">
        <f t="shared" si="211"/>
        <v>0</v>
      </c>
      <c r="AE193" s="137">
        <f t="shared" si="211"/>
        <v>0</v>
      </c>
      <c r="AF193" s="137">
        <f t="shared" si="211"/>
        <v>0</v>
      </c>
      <c r="AG193" s="137">
        <f t="shared" si="211"/>
        <v>0</v>
      </c>
      <c r="AH193" s="137">
        <f t="shared" si="211"/>
        <v>0</v>
      </c>
      <c r="AI193" s="137">
        <f t="shared" si="211"/>
        <v>0</v>
      </c>
      <c r="AJ193" s="137">
        <f t="shared" si="211"/>
        <v>0</v>
      </c>
      <c r="AK193" s="137">
        <f t="shared" si="211"/>
        <v>0</v>
      </c>
      <c r="AL193" s="137">
        <f t="shared" si="211"/>
        <v>0</v>
      </c>
      <c r="AM193" s="137">
        <f t="shared" si="211"/>
        <v>0</v>
      </c>
      <c r="AN193" s="137">
        <f t="shared" si="211"/>
        <v>0</v>
      </c>
      <c r="AO193" s="137">
        <f t="shared" si="211"/>
        <v>0</v>
      </c>
      <c r="AP193" s="137">
        <f t="shared" si="212"/>
        <v>0</v>
      </c>
      <c r="AQ193" s="137">
        <f t="shared" si="212"/>
        <v>0</v>
      </c>
      <c r="AR193" s="137">
        <f t="shared" si="212"/>
        <v>0</v>
      </c>
      <c r="AS193" s="137">
        <f t="shared" si="212"/>
        <v>0</v>
      </c>
      <c r="AT193" s="137">
        <f t="shared" si="212"/>
        <v>0</v>
      </c>
      <c r="AU193" s="137">
        <f t="shared" si="212"/>
        <v>0</v>
      </c>
      <c r="AV193" s="137">
        <f t="shared" si="212"/>
        <v>0</v>
      </c>
      <c r="AW193" s="137">
        <f t="shared" si="212"/>
        <v>0</v>
      </c>
      <c r="AX193" s="137">
        <f t="shared" si="212"/>
        <v>0</v>
      </c>
      <c r="AY193" s="137">
        <f t="shared" ref="AY193:BR194" si="214">INDEX(AY$49:AY$52,MATCH($I$185,$B$49:$B$52,0),1)*INDEX(AY$81:AY$89,MATCH($B193,$B$81:$B$89,0))*INDEX(AY$116:AY$124,MATCH($B193,$B$116:$B$124,0))/1000</f>
        <v>0</v>
      </c>
      <c r="AZ193" s="137">
        <f t="shared" si="214"/>
        <v>0</v>
      </c>
      <c r="BA193" s="137">
        <f t="shared" si="214"/>
        <v>0</v>
      </c>
      <c r="BB193" s="137">
        <f t="shared" si="214"/>
        <v>0</v>
      </c>
      <c r="BC193" s="137">
        <f t="shared" si="214"/>
        <v>0</v>
      </c>
      <c r="BD193" s="137">
        <f t="shared" si="214"/>
        <v>0</v>
      </c>
      <c r="BE193" s="137">
        <f t="shared" si="214"/>
        <v>0</v>
      </c>
      <c r="BF193" s="137">
        <f t="shared" si="214"/>
        <v>0</v>
      </c>
      <c r="BG193" s="137">
        <f t="shared" si="214"/>
        <v>0</v>
      </c>
      <c r="BH193" s="137">
        <f t="shared" si="214"/>
        <v>0</v>
      </c>
      <c r="BI193" s="137">
        <f t="shared" si="214"/>
        <v>0</v>
      </c>
      <c r="BJ193" s="137">
        <f t="shared" si="214"/>
        <v>0</v>
      </c>
      <c r="BK193" s="137">
        <f t="shared" si="214"/>
        <v>0</v>
      </c>
      <c r="BL193" s="137">
        <f t="shared" si="214"/>
        <v>0</v>
      </c>
      <c r="BM193" s="137">
        <f t="shared" si="214"/>
        <v>0</v>
      </c>
      <c r="BN193" s="137">
        <f t="shared" si="214"/>
        <v>0</v>
      </c>
      <c r="BO193" s="137">
        <f t="shared" si="214"/>
        <v>0</v>
      </c>
      <c r="BP193" s="137">
        <f t="shared" si="214"/>
        <v>0</v>
      </c>
      <c r="BQ193" s="137">
        <f t="shared" si="214"/>
        <v>0</v>
      </c>
      <c r="BR193" s="137">
        <f t="shared" si="214"/>
        <v>0</v>
      </c>
    </row>
    <row r="194" spans="1:70">
      <c r="A194" t="s">
        <v>16</v>
      </c>
      <c r="B194" s="70" t="str">
        <f t="shared" si="209"/>
        <v>CNO</v>
      </c>
      <c r="C194" s="70" t="str">
        <f t="shared" si="209"/>
        <v>Commercial - Other</v>
      </c>
      <c r="E194" s="89"/>
      <c r="F194" s="89"/>
      <c r="I194" s="135"/>
      <c r="J194" s="90"/>
      <c r="K194" s="90"/>
      <c r="L194" s="137">
        <f t="shared" si="210"/>
        <v>0</v>
      </c>
      <c r="M194" s="137">
        <f t="shared" si="210"/>
        <v>0</v>
      </c>
      <c r="N194" s="137">
        <f t="shared" si="210"/>
        <v>0</v>
      </c>
      <c r="O194" s="137">
        <f t="shared" si="210"/>
        <v>0</v>
      </c>
      <c r="P194" s="137">
        <f t="shared" si="210"/>
        <v>0</v>
      </c>
      <c r="Q194" s="137">
        <f t="shared" si="210"/>
        <v>0</v>
      </c>
      <c r="R194" s="137">
        <f t="shared" si="210"/>
        <v>0.2664183286493273</v>
      </c>
      <c r="S194" s="137">
        <f t="shared" si="210"/>
        <v>0.51327654743666928</v>
      </c>
      <c r="T194" s="137">
        <f t="shared" si="210"/>
        <v>0.668227478172846</v>
      </c>
      <c r="U194" s="137">
        <f t="shared" si="210"/>
        <v>1.1331952602511981</v>
      </c>
      <c r="V194" s="137">
        <f t="shared" si="210"/>
        <v>1.3571971918352403</v>
      </c>
      <c r="W194" s="137">
        <f t="shared" si="210"/>
        <v>1.4513858812895115</v>
      </c>
      <c r="X194" s="137">
        <f t="shared" si="210"/>
        <v>1.5814361471601028</v>
      </c>
      <c r="Y194" s="137">
        <f t="shared" si="210"/>
        <v>1.700353698059333</v>
      </c>
      <c r="Z194" s="137">
        <f t="shared" si="210"/>
        <v>1.8185512868703899</v>
      </c>
      <c r="AA194" s="137">
        <f t="shared" si="210"/>
        <v>1.9284301520081257</v>
      </c>
      <c r="AB194" s="137">
        <f t="shared" si="211"/>
        <v>2.0284654751050288</v>
      </c>
      <c r="AC194" s="137">
        <f t="shared" si="211"/>
        <v>2.1270126375500173</v>
      </c>
      <c r="AD194" s="137">
        <f t="shared" si="211"/>
        <v>2.2217811426543936</v>
      </c>
      <c r="AE194" s="137">
        <f t="shared" si="211"/>
        <v>2.2217811426543936</v>
      </c>
      <c r="AF194" s="137">
        <f t="shared" si="211"/>
        <v>2.2217811426543936</v>
      </c>
      <c r="AG194" s="137">
        <f t="shared" si="211"/>
        <v>2.2217811426543936</v>
      </c>
      <c r="AH194" s="137">
        <f t="shared" si="211"/>
        <v>2.2217811426543936</v>
      </c>
      <c r="AI194" s="137">
        <f t="shared" si="211"/>
        <v>2.2217811426543936</v>
      </c>
      <c r="AJ194" s="137">
        <f t="shared" si="211"/>
        <v>2.2217811426543936</v>
      </c>
      <c r="AK194" s="137">
        <f t="shared" si="211"/>
        <v>2.2217811426543936</v>
      </c>
      <c r="AL194" s="137">
        <f t="shared" si="211"/>
        <v>2.2217811426543936</v>
      </c>
      <c r="AM194" s="137">
        <f t="shared" si="211"/>
        <v>2.2217811426543936</v>
      </c>
      <c r="AN194" s="137">
        <f t="shared" si="211"/>
        <v>2.2217811426543936</v>
      </c>
      <c r="AO194" s="137">
        <f t="shared" si="211"/>
        <v>2.2217811426543936</v>
      </c>
      <c r="AP194" s="137">
        <f t="shared" si="212"/>
        <v>2.2217811426543936</v>
      </c>
      <c r="AQ194" s="137">
        <f t="shared" si="212"/>
        <v>2.2217811426543936</v>
      </c>
      <c r="AR194" s="137">
        <f t="shared" si="212"/>
        <v>2.2217811426543936</v>
      </c>
      <c r="AS194" s="137">
        <f t="shared" si="212"/>
        <v>2.2217811426543936</v>
      </c>
      <c r="AT194" s="137">
        <f t="shared" si="212"/>
        <v>2.2217811426543936</v>
      </c>
      <c r="AU194" s="137">
        <f t="shared" si="212"/>
        <v>2.2217811426543936</v>
      </c>
      <c r="AV194" s="137">
        <f t="shared" si="212"/>
        <v>2.2217811426543936</v>
      </c>
      <c r="AW194" s="137">
        <f t="shared" si="212"/>
        <v>2.2217811426543936</v>
      </c>
      <c r="AX194" s="137">
        <f t="shared" si="212"/>
        <v>2.2217811426543936</v>
      </c>
      <c r="AY194" s="137">
        <f t="shared" si="214"/>
        <v>2.2217811426543936</v>
      </c>
      <c r="AZ194" s="137">
        <f t="shared" si="214"/>
        <v>2.2217811426543936</v>
      </c>
      <c r="BA194" s="137">
        <f t="shared" si="214"/>
        <v>2.2217811426543936</v>
      </c>
      <c r="BB194" s="137">
        <f t="shared" si="214"/>
        <v>2.2217811426543936</v>
      </c>
      <c r="BC194" s="137">
        <f t="shared" si="214"/>
        <v>2.2217811426543936</v>
      </c>
      <c r="BD194" s="137">
        <f t="shared" si="214"/>
        <v>2.2217811426543936</v>
      </c>
      <c r="BE194" s="137">
        <f t="shared" si="214"/>
        <v>2.2217811426543936</v>
      </c>
      <c r="BF194" s="137">
        <f t="shared" si="214"/>
        <v>2.2217811426543936</v>
      </c>
      <c r="BG194" s="137">
        <f t="shared" si="214"/>
        <v>2.2217811426543936</v>
      </c>
      <c r="BH194" s="137">
        <f t="shared" si="214"/>
        <v>2.2217811426543936</v>
      </c>
      <c r="BI194" s="137">
        <f t="shared" si="214"/>
        <v>2.2217811426543936</v>
      </c>
      <c r="BJ194" s="137">
        <f t="shared" si="214"/>
        <v>2.2217811426543936</v>
      </c>
      <c r="BK194" s="137">
        <f t="shared" si="214"/>
        <v>2.2217811426543936</v>
      </c>
      <c r="BL194" s="137">
        <f t="shared" si="214"/>
        <v>2.2217811426543936</v>
      </c>
      <c r="BM194" s="137">
        <f t="shared" si="214"/>
        <v>2.2217811426543936</v>
      </c>
      <c r="BN194" s="137">
        <f t="shared" si="214"/>
        <v>2.2217811426543936</v>
      </c>
      <c r="BO194" s="137">
        <f t="shared" si="214"/>
        <v>2.2217811426543936</v>
      </c>
      <c r="BP194" s="137">
        <f t="shared" si="214"/>
        <v>2.2217811426543936</v>
      </c>
      <c r="BQ194" s="137">
        <f t="shared" si="214"/>
        <v>2.2217811426543936</v>
      </c>
      <c r="BR194" s="137">
        <f t="shared" si="214"/>
        <v>2.2217811426543936</v>
      </c>
    </row>
    <row r="195" spans="1:70">
      <c r="A195" t="s">
        <v>16</v>
      </c>
      <c r="E195" s="89"/>
      <c r="F195" s="89"/>
      <c r="I195" s="135"/>
      <c r="J195" s="90"/>
      <c r="K195" s="90"/>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c r="AI195" s="137"/>
      <c r="AJ195" s="137"/>
      <c r="AK195" s="137"/>
      <c r="AL195" s="137"/>
      <c r="AM195" s="137"/>
      <c r="AN195" s="137"/>
      <c r="AO195" s="137"/>
      <c r="AP195" s="137"/>
      <c r="AQ195" s="137"/>
      <c r="AR195" s="137"/>
      <c r="AS195" s="137"/>
      <c r="AT195" s="137"/>
      <c r="AU195" s="137"/>
      <c r="AV195" s="137"/>
      <c r="AW195" s="137"/>
      <c r="AX195" s="137"/>
      <c r="AY195" s="137"/>
      <c r="AZ195" s="137"/>
      <c r="BA195" s="137"/>
      <c r="BB195" s="137"/>
      <c r="BC195" s="137"/>
      <c r="BD195" s="137"/>
      <c r="BE195" s="137"/>
      <c r="BF195" s="137"/>
      <c r="BG195" s="137"/>
      <c r="BH195" s="137"/>
      <c r="BI195" s="137"/>
      <c r="BJ195" s="137"/>
      <c r="BK195" s="137"/>
      <c r="BL195" s="137"/>
      <c r="BM195" s="137"/>
      <c r="BN195" s="137"/>
      <c r="BO195" s="137"/>
      <c r="BP195" s="137"/>
      <c r="BQ195" s="137"/>
      <c r="BR195" s="137"/>
    </row>
    <row r="196" spans="1:70">
      <c r="A196" t="s">
        <v>16</v>
      </c>
      <c r="E196" s="89"/>
      <c r="F196" s="89"/>
      <c r="I196" s="135" t="s">
        <v>100</v>
      </c>
      <c r="J196" s="90"/>
      <c r="K196" s="90"/>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c r="AI196" s="137"/>
      <c r="AJ196" s="137"/>
      <c r="AK196" s="137"/>
      <c r="AL196" s="137"/>
      <c r="AM196" s="137"/>
      <c r="AN196" s="137"/>
      <c r="AO196" s="137"/>
      <c r="AP196" s="137"/>
      <c r="AQ196" s="137"/>
      <c r="AR196" s="137"/>
      <c r="AS196" s="137"/>
      <c r="AT196" s="137"/>
      <c r="AU196" s="137"/>
      <c r="AV196" s="137"/>
      <c r="AW196" s="137"/>
      <c r="AX196" s="137"/>
      <c r="AY196" s="137"/>
      <c r="AZ196" s="137"/>
      <c r="BA196" s="137"/>
      <c r="BB196" s="137"/>
      <c r="BC196" s="137"/>
      <c r="BD196" s="137"/>
      <c r="BE196" s="137"/>
      <c r="BF196" s="137"/>
      <c r="BG196" s="137"/>
      <c r="BH196" s="137"/>
      <c r="BI196" s="137"/>
      <c r="BJ196" s="137"/>
      <c r="BK196" s="137"/>
      <c r="BL196" s="137"/>
      <c r="BM196" s="137"/>
      <c r="BN196" s="137"/>
      <c r="BO196" s="137"/>
      <c r="BP196" s="137"/>
      <c r="BQ196" s="137"/>
      <c r="BR196" s="137"/>
    </row>
    <row r="197" spans="1:70">
      <c r="A197" t="s">
        <v>16</v>
      </c>
      <c r="B197" s="70" t="str">
        <f t="shared" ref="B197:C205" si="215">B186</f>
        <v>CNC</v>
      </c>
      <c r="C197" s="70" t="str">
        <f t="shared" si="215"/>
        <v>Commercial - Cooling</v>
      </c>
      <c r="E197" s="89"/>
      <c r="F197" s="89"/>
      <c r="I197" s="135"/>
      <c r="J197" s="90"/>
      <c r="K197" s="90"/>
      <c r="L197" s="137">
        <f t="shared" ref="L197:AA205" si="216">INDEX(L$49:L$52,MATCH($I$196,$B$49:$B$52,0),1)*INDEX(L$81:L$89,MATCH($B197,$B$81:$B$89,0))*INDEX(L$127:L$135,MATCH($B197,$B$127:$B$135,0))/1000</f>
        <v>0</v>
      </c>
      <c r="M197" s="137">
        <f t="shared" si="216"/>
        <v>0</v>
      </c>
      <c r="N197" s="137">
        <f t="shared" si="216"/>
        <v>0</v>
      </c>
      <c r="O197" s="137">
        <f t="shared" si="216"/>
        <v>0</v>
      </c>
      <c r="P197" s="137">
        <f t="shared" si="216"/>
        <v>0</v>
      </c>
      <c r="Q197" s="137">
        <f t="shared" si="216"/>
        <v>0</v>
      </c>
      <c r="R197" s="137">
        <f t="shared" si="216"/>
        <v>0</v>
      </c>
      <c r="S197" s="137">
        <f t="shared" si="216"/>
        <v>0</v>
      </c>
      <c r="T197" s="137">
        <f t="shared" si="216"/>
        <v>0</v>
      </c>
      <c r="U197" s="137">
        <f t="shared" si="216"/>
        <v>0</v>
      </c>
      <c r="V197" s="137">
        <f t="shared" si="216"/>
        <v>0</v>
      </c>
      <c r="W197" s="137">
        <f t="shared" si="216"/>
        <v>0</v>
      </c>
      <c r="X197" s="137">
        <f t="shared" si="216"/>
        <v>0</v>
      </c>
      <c r="Y197" s="137">
        <f t="shared" si="216"/>
        <v>0</v>
      </c>
      <c r="Z197" s="137">
        <f t="shared" si="216"/>
        <v>0</v>
      </c>
      <c r="AA197" s="137">
        <f t="shared" si="216"/>
        <v>0</v>
      </c>
      <c r="AB197" s="137">
        <f t="shared" ref="AB197:AQ205" si="217">INDEX(AB$49:AB$52,MATCH($I$196,$B$49:$B$52,0),1)*INDEX(AB$81:AB$89,MATCH($B197,$B$81:$B$89,0))*INDEX(AB$127:AB$135,MATCH($B197,$B$127:$B$135,0))/1000</f>
        <v>0</v>
      </c>
      <c r="AC197" s="137">
        <f t="shared" si="217"/>
        <v>0</v>
      </c>
      <c r="AD197" s="137">
        <f t="shared" si="217"/>
        <v>0</v>
      </c>
      <c r="AE197" s="137">
        <f t="shared" si="217"/>
        <v>1.4238496768371918</v>
      </c>
      <c r="AF197" s="137">
        <f t="shared" si="217"/>
        <v>2.8788424638605141</v>
      </c>
      <c r="AG197" s="137">
        <f t="shared" si="217"/>
        <v>4.3718154783440912</v>
      </c>
      <c r="AH197" s="137">
        <f t="shared" si="217"/>
        <v>5.9779249822735787</v>
      </c>
      <c r="AI197" s="137">
        <f t="shared" si="217"/>
        <v>7.6248871896827159</v>
      </c>
      <c r="AJ197" s="137">
        <f t="shared" si="217"/>
        <v>9.314113802946169</v>
      </c>
      <c r="AK197" s="137">
        <f t="shared" si="217"/>
        <v>11.050969158814619</v>
      </c>
      <c r="AL197" s="137">
        <f t="shared" si="217"/>
        <v>12.817753823774284</v>
      </c>
      <c r="AM197" s="137">
        <f t="shared" si="217"/>
        <v>14.578683540232294</v>
      </c>
      <c r="AN197" s="137">
        <f t="shared" si="217"/>
        <v>16.320861345131405</v>
      </c>
      <c r="AO197" s="137">
        <f t="shared" si="217"/>
        <v>16.320861345131405</v>
      </c>
      <c r="AP197" s="137">
        <f t="shared" si="217"/>
        <v>16.320861345131405</v>
      </c>
      <c r="AQ197" s="137">
        <f t="shared" si="217"/>
        <v>16.320861345131405</v>
      </c>
      <c r="AR197" s="137">
        <f t="shared" ref="AP197:BE205" si="218">INDEX(AR$49:AR$52,MATCH($I$196,$B$49:$B$52,0),1)*INDEX(AR$81:AR$89,MATCH($B197,$B$81:$B$89,0))*INDEX(AR$127:AR$135,MATCH($B197,$B$127:$B$135,0))/1000</f>
        <v>16.320861345131405</v>
      </c>
      <c r="AS197" s="137">
        <f t="shared" si="218"/>
        <v>16.320861345131405</v>
      </c>
      <c r="AT197" s="137">
        <f t="shared" si="218"/>
        <v>16.320861345131405</v>
      </c>
      <c r="AU197" s="137">
        <f t="shared" si="218"/>
        <v>16.320861345131405</v>
      </c>
      <c r="AV197" s="137">
        <f t="shared" si="218"/>
        <v>16.320861345131405</v>
      </c>
      <c r="AW197" s="137">
        <f t="shared" si="218"/>
        <v>16.320861345131405</v>
      </c>
      <c r="AX197" s="137">
        <f t="shared" si="218"/>
        <v>16.320861345131405</v>
      </c>
      <c r="AY197" s="137">
        <f t="shared" si="218"/>
        <v>16.320861345131405</v>
      </c>
      <c r="AZ197" s="137">
        <f t="shared" si="218"/>
        <v>16.320861345131405</v>
      </c>
      <c r="BA197" s="137">
        <f t="shared" si="218"/>
        <v>16.320861345131405</v>
      </c>
      <c r="BB197" s="137">
        <f t="shared" si="218"/>
        <v>16.320861345131405</v>
      </c>
      <c r="BC197" s="137">
        <f t="shared" si="218"/>
        <v>16.320861345131405</v>
      </c>
      <c r="BD197" s="137">
        <f t="shared" si="218"/>
        <v>16.320861345131405</v>
      </c>
      <c r="BE197" s="137">
        <f t="shared" si="218"/>
        <v>16.320861345131405</v>
      </c>
      <c r="BF197" s="137">
        <f t="shared" ref="AY197:BR203" si="219">INDEX(BF$49:BF$52,MATCH($I$196,$B$49:$B$52,0),1)*INDEX(BF$81:BF$89,MATCH($B197,$B$81:$B$89,0))*INDEX(BF$127:BF$135,MATCH($B197,$B$127:$B$135,0))/1000</f>
        <v>16.320861345131405</v>
      </c>
      <c r="BG197" s="137">
        <f t="shared" si="219"/>
        <v>16.320861345131405</v>
      </c>
      <c r="BH197" s="137">
        <f t="shared" si="219"/>
        <v>16.320861345131405</v>
      </c>
      <c r="BI197" s="137">
        <f t="shared" si="219"/>
        <v>16.320861345131405</v>
      </c>
      <c r="BJ197" s="137">
        <f t="shared" si="219"/>
        <v>16.320861345131405</v>
      </c>
      <c r="BK197" s="137">
        <f t="shared" si="219"/>
        <v>16.320861345131405</v>
      </c>
      <c r="BL197" s="137">
        <f t="shared" si="219"/>
        <v>16.320861345131405</v>
      </c>
      <c r="BM197" s="137">
        <f t="shared" si="219"/>
        <v>16.320861345131405</v>
      </c>
      <c r="BN197" s="137">
        <f t="shared" si="219"/>
        <v>16.320861345131405</v>
      </c>
      <c r="BO197" s="137">
        <f t="shared" si="219"/>
        <v>16.320861345131405</v>
      </c>
      <c r="BP197" s="137">
        <f t="shared" si="219"/>
        <v>16.320861345131405</v>
      </c>
      <c r="BQ197" s="137">
        <f t="shared" si="219"/>
        <v>16.320861345131405</v>
      </c>
      <c r="BR197" s="137">
        <f t="shared" si="219"/>
        <v>16.320861345131405</v>
      </c>
    </row>
    <row r="198" spans="1:70">
      <c r="A198" t="s">
        <v>16</v>
      </c>
      <c r="B198" s="70" t="str">
        <f t="shared" si="215"/>
        <v>CNH</v>
      </c>
      <c r="C198" s="70" t="str">
        <f t="shared" si="215"/>
        <v>Commercial - Space Heating</v>
      </c>
      <c r="E198" s="89"/>
      <c r="F198" s="89"/>
      <c r="I198" s="135"/>
      <c r="J198" s="90"/>
      <c r="K198" s="90"/>
      <c r="L198" s="137">
        <f t="shared" si="216"/>
        <v>0</v>
      </c>
      <c r="M198" s="137">
        <f t="shared" si="216"/>
        <v>0</v>
      </c>
      <c r="N198" s="137">
        <f t="shared" si="216"/>
        <v>0</v>
      </c>
      <c r="O198" s="137">
        <f t="shared" si="216"/>
        <v>0</v>
      </c>
      <c r="P198" s="137">
        <f t="shared" si="216"/>
        <v>0</v>
      </c>
      <c r="Q198" s="137">
        <f t="shared" si="216"/>
        <v>0</v>
      </c>
      <c r="R198" s="137">
        <f t="shared" si="216"/>
        <v>0</v>
      </c>
      <c r="S198" s="137">
        <f t="shared" si="216"/>
        <v>0</v>
      </c>
      <c r="T198" s="137">
        <f t="shared" si="216"/>
        <v>0</v>
      </c>
      <c r="U198" s="137">
        <f t="shared" si="216"/>
        <v>0</v>
      </c>
      <c r="V198" s="137">
        <f t="shared" si="216"/>
        <v>0</v>
      </c>
      <c r="W198" s="137">
        <f t="shared" si="216"/>
        <v>0</v>
      </c>
      <c r="X198" s="137">
        <f t="shared" si="216"/>
        <v>0</v>
      </c>
      <c r="Y198" s="137">
        <f t="shared" si="216"/>
        <v>0</v>
      </c>
      <c r="Z198" s="137">
        <f t="shared" si="216"/>
        <v>0</v>
      </c>
      <c r="AA198" s="137">
        <f t="shared" si="216"/>
        <v>0</v>
      </c>
      <c r="AB198" s="137">
        <f t="shared" si="217"/>
        <v>0</v>
      </c>
      <c r="AC198" s="137">
        <f t="shared" si="217"/>
        <v>0</v>
      </c>
      <c r="AD198" s="137">
        <f t="shared" si="217"/>
        <v>0</v>
      </c>
      <c r="AE198" s="137">
        <f t="shared" si="217"/>
        <v>9.9577608208689036E-2</v>
      </c>
      <c r="AF198" s="137">
        <f t="shared" si="217"/>
        <v>0.20133322472468987</v>
      </c>
      <c r="AG198" s="137">
        <f t="shared" si="217"/>
        <v>0.30574500661491399</v>
      </c>
      <c r="AH198" s="137">
        <f t="shared" si="217"/>
        <v>0.418069043010246</v>
      </c>
      <c r="AI198" s="137">
        <f t="shared" si="217"/>
        <v>0.5332501327641872</v>
      </c>
      <c r="AJ198" s="137">
        <f t="shared" si="217"/>
        <v>0.65138700395755855</v>
      </c>
      <c r="AK198" s="137">
        <f t="shared" si="217"/>
        <v>0.77285481404690104</v>
      </c>
      <c r="AL198" s="137">
        <f t="shared" si="217"/>
        <v>0.89641574468339424</v>
      </c>
      <c r="AM198" s="137">
        <f t="shared" si="217"/>
        <v>1.0195672066958716</v>
      </c>
      <c r="AN198" s="137">
        <f t="shared" si="217"/>
        <v>1.1414072448040198</v>
      </c>
      <c r="AO198" s="137">
        <f t="shared" si="217"/>
        <v>1.1414072448040198</v>
      </c>
      <c r="AP198" s="137">
        <f t="shared" si="218"/>
        <v>1.1414072448040198</v>
      </c>
      <c r="AQ198" s="137">
        <f t="shared" si="218"/>
        <v>1.1414072448040198</v>
      </c>
      <c r="AR198" s="137">
        <f t="shared" si="218"/>
        <v>1.1414072448040198</v>
      </c>
      <c r="AS198" s="137">
        <f t="shared" si="218"/>
        <v>1.1414072448040198</v>
      </c>
      <c r="AT198" s="137">
        <f t="shared" si="218"/>
        <v>1.1414072448040198</v>
      </c>
      <c r="AU198" s="137">
        <f t="shared" si="218"/>
        <v>1.1414072448040198</v>
      </c>
      <c r="AV198" s="137">
        <f t="shared" si="218"/>
        <v>1.1414072448040198</v>
      </c>
      <c r="AW198" s="137">
        <f t="shared" si="218"/>
        <v>1.1414072448040198</v>
      </c>
      <c r="AX198" s="137">
        <f t="shared" si="218"/>
        <v>1.1414072448040198</v>
      </c>
      <c r="AY198" s="137">
        <f t="shared" si="219"/>
        <v>1.1414072448040198</v>
      </c>
      <c r="AZ198" s="137">
        <f t="shared" si="219"/>
        <v>1.1414072448040198</v>
      </c>
      <c r="BA198" s="137">
        <f t="shared" si="219"/>
        <v>1.1414072448040198</v>
      </c>
      <c r="BB198" s="137">
        <f t="shared" si="219"/>
        <v>1.1414072448040198</v>
      </c>
      <c r="BC198" s="137">
        <f t="shared" si="219"/>
        <v>1.1414072448040198</v>
      </c>
      <c r="BD198" s="137">
        <f t="shared" si="219"/>
        <v>1.1414072448040198</v>
      </c>
      <c r="BE198" s="137">
        <f t="shared" si="219"/>
        <v>1.1414072448040198</v>
      </c>
      <c r="BF198" s="137">
        <f t="shared" si="219"/>
        <v>1.1414072448040198</v>
      </c>
      <c r="BG198" s="137">
        <f t="shared" si="219"/>
        <v>1.1414072448040198</v>
      </c>
      <c r="BH198" s="137">
        <f t="shared" si="219"/>
        <v>1.1414072448040198</v>
      </c>
      <c r="BI198" s="137">
        <f t="shared" si="219"/>
        <v>1.1414072448040198</v>
      </c>
      <c r="BJ198" s="137">
        <f t="shared" si="219"/>
        <v>1.1414072448040198</v>
      </c>
      <c r="BK198" s="137">
        <f t="shared" si="219"/>
        <v>1.1414072448040198</v>
      </c>
      <c r="BL198" s="137">
        <f t="shared" si="219"/>
        <v>1.1414072448040198</v>
      </c>
      <c r="BM198" s="137">
        <f t="shared" si="219"/>
        <v>1.1414072448040198</v>
      </c>
      <c r="BN198" s="137">
        <f t="shared" si="219"/>
        <v>1.1414072448040198</v>
      </c>
      <c r="BO198" s="137">
        <f t="shared" si="219"/>
        <v>1.1414072448040198</v>
      </c>
      <c r="BP198" s="137">
        <f t="shared" si="219"/>
        <v>1.1414072448040198</v>
      </c>
      <c r="BQ198" s="137">
        <f t="shared" si="219"/>
        <v>1.1414072448040198</v>
      </c>
      <c r="BR198" s="137">
        <f t="shared" si="219"/>
        <v>1.1414072448040198</v>
      </c>
    </row>
    <row r="199" spans="1:70">
      <c r="A199" t="s">
        <v>16</v>
      </c>
      <c r="B199" s="70" t="str">
        <f t="shared" si="215"/>
        <v>CNK</v>
      </c>
      <c r="C199" s="70" t="str">
        <f t="shared" si="215"/>
        <v>Commercial - Cooking</v>
      </c>
      <c r="E199" s="89"/>
      <c r="F199" s="89"/>
      <c r="I199" s="135"/>
      <c r="J199" s="90"/>
      <c r="K199" s="90"/>
      <c r="L199" s="137">
        <f t="shared" si="216"/>
        <v>0</v>
      </c>
      <c r="M199" s="137">
        <f t="shared" si="216"/>
        <v>0</v>
      </c>
      <c r="N199" s="137">
        <f t="shared" si="216"/>
        <v>0</v>
      </c>
      <c r="O199" s="137">
        <f t="shared" si="216"/>
        <v>0</v>
      </c>
      <c r="P199" s="137">
        <f t="shared" si="216"/>
        <v>0</v>
      </c>
      <c r="Q199" s="137">
        <f t="shared" si="216"/>
        <v>0</v>
      </c>
      <c r="R199" s="137">
        <f t="shared" si="216"/>
        <v>0</v>
      </c>
      <c r="S199" s="137">
        <f t="shared" si="216"/>
        <v>0</v>
      </c>
      <c r="T199" s="137">
        <f t="shared" si="216"/>
        <v>0</v>
      </c>
      <c r="U199" s="137">
        <f t="shared" si="216"/>
        <v>0</v>
      </c>
      <c r="V199" s="137">
        <f t="shared" si="216"/>
        <v>0</v>
      </c>
      <c r="W199" s="137">
        <f t="shared" si="216"/>
        <v>0</v>
      </c>
      <c r="X199" s="137">
        <f t="shared" si="216"/>
        <v>0</v>
      </c>
      <c r="Y199" s="137">
        <f t="shared" si="216"/>
        <v>0</v>
      </c>
      <c r="Z199" s="137">
        <f t="shared" si="216"/>
        <v>0</v>
      </c>
      <c r="AA199" s="137">
        <f t="shared" si="216"/>
        <v>0</v>
      </c>
      <c r="AB199" s="137">
        <f t="shared" si="217"/>
        <v>0</v>
      </c>
      <c r="AC199" s="137">
        <f t="shared" si="217"/>
        <v>0</v>
      </c>
      <c r="AD199" s="137">
        <f t="shared" si="217"/>
        <v>0</v>
      </c>
      <c r="AE199" s="137">
        <f t="shared" si="217"/>
        <v>0.10032256502388967</v>
      </c>
      <c r="AF199" s="137">
        <f t="shared" si="217"/>
        <v>0.20283943240112501</v>
      </c>
      <c r="AG199" s="137">
        <f t="shared" si="217"/>
        <v>0.30803233637196142</v>
      </c>
      <c r="AH199" s="137">
        <f t="shared" si="217"/>
        <v>0.42119668775304991</v>
      </c>
      <c r="AI199" s="137">
        <f t="shared" si="217"/>
        <v>0.537239466588884</v>
      </c>
      <c r="AJ199" s="137">
        <f t="shared" si="217"/>
        <v>0.65626013956164275</v>
      </c>
      <c r="AK199" s="137">
        <f t="shared" si="217"/>
        <v>0.77863667074382281</v>
      </c>
      <c r="AL199" s="137">
        <f t="shared" si="217"/>
        <v>0.90312198145959321</v>
      </c>
      <c r="AM199" s="137">
        <f t="shared" si="217"/>
        <v>1.0271947602477844</v>
      </c>
      <c r="AN199" s="137">
        <f t="shared" si="217"/>
        <v>1.1499463041491096</v>
      </c>
      <c r="AO199" s="137">
        <f t="shared" si="217"/>
        <v>1.1499463041491096</v>
      </c>
      <c r="AP199" s="137">
        <f t="shared" si="218"/>
        <v>1.1499463041491096</v>
      </c>
      <c r="AQ199" s="137">
        <f t="shared" si="218"/>
        <v>1.1499463041491096</v>
      </c>
      <c r="AR199" s="137">
        <f t="shared" si="218"/>
        <v>1.1499463041491096</v>
      </c>
      <c r="AS199" s="137">
        <f t="shared" si="218"/>
        <v>1.1499463041491096</v>
      </c>
      <c r="AT199" s="137">
        <f t="shared" si="218"/>
        <v>1.1499463041491096</v>
      </c>
      <c r="AU199" s="137">
        <f t="shared" si="218"/>
        <v>1.1499463041491096</v>
      </c>
      <c r="AV199" s="137">
        <f t="shared" si="218"/>
        <v>1.1499463041491096</v>
      </c>
      <c r="AW199" s="137">
        <f t="shared" si="218"/>
        <v>1.1499463041491096</v>
      </c>
      <c r="AX199" s="137">
        <f t="shared" si="218"/>
        <v>1.1499463041491096</v>
      </c>
      <c r="AY199" s="137">
        <f t="shared" si="219"/>
        <v>1.1499463041491096</v>
      </c>
      <c r="AZ199" s="137">
        <f t="shared" si="219"/>
        <v>1.1499463041491096</v>
      </c>
      <c r="BA199" s="137">
        <f t="shared" si="219"/>
        <v>1.1499463041491096</v>
      </c>
      <c r="BB199" s="137">
        <f t="shared" si="219"/>
        <v>1.1499463041491096</v>
      </c>
      <c r="BC199" s="137">
        <f t="shared" si="219"/>
        <v>1.1499463041491096</v>
      </c>
      <c r="BD199" s="137">
        <f t="shared" si="219"/>
        <v>1.1499463041491096</v>
      </c>
      <c r="BE199" s="137">
        <f t="shared" si="219"/>
        <v>1.1499463041491096</v>
      </c>
      <c r="BF199" s="137">
        <f t="shared" si="219"/>
        <v>1.1499463041491096</v>
      </c>
      <c r="BG199" s="137">
        <f t="shared" si="219"/>
        <v>1.1499463041491096</v>
      </c>
      <c r="BH199" s="137">
        <f t="shared" si="219"/>
        <v>1.1499463041491096</v>
      </c>
      <c r="BI199" s="137">
        <f t="shared" si="219"/>
        <v>1.1499463041491096</v>
      </c>
      <c r="BJ199" s="137">
        <f t="shared" si="219"/>
        <v>1.1499463041491096</v>
      </c>
      <c r="BK199" s="137">
        <f t="shared" si="219"/>
        <v>1.1499463041491096</v>
      </c>
      <c r="BL199" s="137">
        <f t="shared" si="219"/>
        <v>1.1499463041491096</v>
      </c>
      <c r="BM199" s="137">
        <f t="shared" si="219"/>
        <v>1.1499463041491096</v>
      </c>
      <c r="BN199" s="137">
        <f t="shared" si="219"/>
        <v>1.1499463041491096</v>
      </c>
      <c r="BO199" s="137">
        <f t="shared" si="219"/>
        <v>1.1499463041491096</v>
      </c>
      <c r="BP199" s="137">
        <f t="shared" si="219"/>
        <v>1.1499463041491096</v>
      </c>
      <c r="BQ199" s="137">
        <f t="shared" si="219"/>
        <v>1.1499463041491096</v>
      </c>
      <c r="BR199" s="137">
        <f t="shared" si="219"/>
        <v>1.1499463041491096</v>
      </c>
    </row>
    <row r="200" spans="1:70">
      <c r="A200" t="s">
        <v>16</v>
      </c>
      <c r="B200" s="70" t="str">
        <f t="shared" si="215"/>
        <v>CNL</v>
      </c>
      <c r="C200" s="70" t="str">
        <f t="shared" si="215"/>
        <v>Commercial - Lighting</v>
      </c>
      <c r="E200" s="89"/>
      <c r="F200" s="89"/>
      <c r="I200" s="135"/>
      <c r="J200" s="90"/>
      <c r="K200" s="90"/>
      <c r="L200" s="137">
        <f t="shared" si="216"/>
        <v>0</v>
      </c>
      <c r="M200" s="137">
        <f t="shared" si="216"/>
        <v>0</v>
      </c>
      <c r="N200" s="137">
        <f t="shared" si="216"/>
        <v>0</v>
      </c>
      <c r="O200" s="137">
        <f t="shared" si="216"/>
        <v>0</v>
      </c>
      <c r="P200" s="137">
        <f t="shared" si="216"/>
        <v>0</v>
      </c>
      <c r="Q200" s="137">
        <f t="shared" si="216"/>
        <v>0</v>
      </c>
      <c r="R200" s="137">
        <f t="shared" si="216"/>
        <v>0</v>
      </c>
      <c r="S200" s="137">
        <f t="shared" si="216"/>
        <v>0</v>
      </c>
      <c r="T200" s="137">
        <f t="shared" si="216"/>
        <v>0</v>
      </c>
      <c r="U200" s="137">
        <f t="shared" si="216"/>
        <v>0</v>
      </c>
      <c r="V200" s="137">
        <f t="shared" si="216"/>
        <v>0</v>
      </c>
      <c r="W200" s="137">
        <f t="shared" si="216"/>
        <v>0</v>
      </c>
      <c r="X200" s="137">
        <f t="shared" si="216"/>
        <v>0</v>
      </c>
      <c r="Y200" s="137">
        <f t="shared" si="216"/>
        <v>0</v>
      </c>
      <c r="Z200" s="137">
        <f t="shared" si="216"/>
        <v>0</v>
      </c>
      <c r="AA200" s="137">
        <f t="shared" si="216"/>
        <v>0</v>
      </c>
      <c r="AB200" s="137">
        <f t="shared" si="217"/>
        <v>0</v>
      </c>
      <c r="AC200" s="137">
        <f t="shared" si="217"/>
        <v>0</v>
      </c>
      <c r="AD200" s="137">
        <f t="shared" si="217"/>
        <v>0</v>
      </c>
      <c r="AE200" s="137">
        <f t="shared" si="217"/>
        <v>1.2390779888904901</v>
      </c>
      <c r="AF200" s="137">
        <f t="shared" si="217"/>
        <v>2.5052576746559927</v>
      </c>
      <c r="AG200" s="137">
        <f t="shared" si="217"/>
        <v>3.8044889280305072</v>
      </c>
      <c r="AH200" s="137">
        <f t="shared" si="217"/>
        <v>5.20217505068881</v>
      </c>
      <c r="AI200" s="137">
        <f t="shared" si="217"/>
        <v>6.6354124583540708</v>
      </c>
      <c r="AJ200" s="137">
        <f t="shared" si="217"/>
        <v>8.1054296580574512</v>
      </c>
      <c r="AK200" s="137">
        <f t="shared" si="217"/>
        <v>9.6168948614092766</v>
      </c>
      <c r="AL200" s="137">
        <f t="shared" si="217"/>
        <v>11.154405474414178</v>
      </c>
      <c r="AM200" s="137">
        <f t="shared" si="217"/>
        <v>12.686820930302069</v>
      </c>
      <c r="AN200" s="137">
        <f t="shared" si="217"/>
        <v>14.202917893275831</v>
      </c>
      <c r="AO200" s="137">
        <f t="shared" si="217"/>
        <v>14.202917893275831</v>
      </c>
      <c r="AP200" s="137">
        <f t="shared" si="218"/>
        <v>14.202917893275831</v>
      </c>
      <c r="AQ200" s="137">
        <f t="shared" si="218"/>
        <v>14.202917893275831</v>
      </c>
      <c r="AR200" s="137">
        <f t="shared" si="218"/>
        <v>14.202917893275831</v>
      </c>
      <c r="AS200" s="137">
        <f t="shared" si="218"/>
        <v>14.202917893275831</v>
      </c>
      <c r="AT200" s="137">
        <f t="shared" si="218"/>
        <v>14.202917893275831</v>
      </c>
      <c r="AU200" s="137">
        <f t="shared" si="218"/>
        <v>14.202917893275831</v>
      </c>
      <c r="AV200" s="137">
        <f t="shared" si="218"/>
        <v>14.202917893275831</v>
      </c>
      <c r="AW200" s="137">
        <f t="shared" si="218"/>
        <v>14.202917893275831</v>
      </c>
      <c r="AX200" s="137">
        <f t="shared" si="218"/>
        <v>14.202917893275831</v>
      </c>
      <c r="AY200" s="137">
        <f t="shared" si="219"/>
        <v>14.202917893275831</v>
      </c>
      <c r="AZ200" s="137">
        <f t="shared" si="219"/>
        <v>14.202917893275831</v>
      </c>
      <c r="BA200" s="137">
        <f t="shared" si="219"/>
        <v>14.202917893275831</v>
      </c>
      <c r="BB200" s="137">
        <f t="shared" si="219"/>
        <v>14.202917893275831</v>
      </c>
      <c r="BC200" s="137">
        <f t="shared" si="219"/>
        <v>14.202917893275831</v>
      </c>
      <c r="BD200" s="137">
        <f t="shared" si="219"/>
        <v>14.202917893275831</v>
      </c>
      <c r="BE200" s="137">
        <f t="shared" si="219"/>
        <v>14.202917893275831</v>
      </c>
      <c r="BF200" s="137">
        <f t="shared" si="219"/>
        <v>14.202917893275831</v>
      </c>
      <c r="BG200" s="137">
        <f t="shared" si="219"/>
        <v>14.202917893275831</v>
      </c>
      <c r="BH200" s="137">
        <f t="shared" si="219"/>
        <v>14.202917893275831</v>
      </c>
      <c r="BI200" s="137">
        <f t="shared" si="219"/>
        <v>14.202917893275831</v>
      </c>
      <c r="BJ200" s="137">
        <f t="shared" si="219"/>
        <v>14.202917893275831</v>
      </c>
      <c r="BK200" s="137">
        <f t="shared" si="219"/>
        <v>14.202917893275831</v>
      </c>
      <c r="BL200" s="137">
        <f t="shared" si="219"/>
        <v>14.202917893275831</v>
      </c>
      <c r="BM200" s="137">
        <f t="shared" si="219"/>
        <v>14.202917893275831</v>
      </c>
      <c r="BN200" s="137">
        <f t="shared" si="219"/>
        <v>14.202917893275831</v>
      </c>
      <c r="BO200" s="137">
        <f t="shared" si="219"/>
        <v>14.202917893275831</v>
      </c>
      <c r="BP200" s="137">
        <f t="shared" si="219"/>
        <v>14.202917893275831</v>
      </c>
      <c r="BQ200" s="137">
        <f t="shared" si="219"/>
        <v>14.202917893275831</v>
      </c>
      <c r="BR200" s="137">
        <f t="shared" si="219"/>
        <v>14.202917893275831</v>
      </c>
    </row>
    <row r="201" spans="1:70">
      <c r="A201" t="s">
        <v>16</v>
      </c>
      <c r="B201" s="70" t="str">
        <f t="shared" si="215"/>
        <v>CNR</v>
      </c>
      <c r="C201" s="70" t="str">
        <f t="shared" si="215"/>
        <v>Commercial - Refrigeration</v>
      </c>
      <c r="E201" s="89"/>
      <c r="F201" s="89"/>
      <c r="I201" s="135"/>
      <c r="J201" s="90"/>
      <c r="K201" s="90"/>
      <c r="L201" s="137">
        <f t="shared" si="216"/>
        <v>0</v>
      </c>
      <c r="M201" s="137">
        <f t="shared" si="216"/>
        <v>0</v>
      </c>
      <c r="N201" s="137">
        <f t="shared" si="216"/>
        <v>0</v>
      </c>
      <c r="O201" s="137">
        <f t="shared" si="216"/>
        <v>0</v>
      </c>
      <c r="P201" s="137">
        <f t="shared" si="216"/>
        <v>0</v>
      </c>
      <c r="Q201" s="137">
        <f t="shared" si="216"/>
        <v>0</v>
      </c>
      <c r="R201" s="137">
        <f t="shared" si="216"/>
        <v>0</v>
      </c>
      <c r="S201" s="137">
        <f t="shared" si="216"/>
        <v>0</v>
      </c>
      <c r="T201" s="137">
        <f t="shared" si="216"/>
        <v>0</v>
      </c>
      <c r="U201" s="137">
        <f t="shared" si="216"/>
        <v>0</v>
      </c>
      <c r="V201" s="137">
        <f t="shared" si="216"/>
        <v>0</v>
      </c>
      <c r="W201" s="137">
        <f t="shared" si="216"/>
        <v>0</v>
      </c>
      <c r="X201" s="137">
        <f t="shared" si="216"/>
        <v>0</v>
      </c>
      <c r="Y201" s="137">
        <f t="shared" si="216"/>
        <v>0</v>
      </c>
      <c r="Z201" s="137">
        <f t="shared" si="216"/>
        <v>0</v>
      </c>
      <c r="AA201" s="137">
        <f t="shared" si="216"/>
        <v>0</v>
      </c>
      <c r="AB201" s="137">
        <f t="shared" si="217"/>
        <v>0</v>
      </c>
      <c r="AC201" s="137">
        <f t="shared" si="217"/>
        <v>0</v>
      </c>
      <c r="AD201" s="137">
        <f t="shared" si="217"/>
        <v>0</v>
      </c>
      <c r="AE201" s="137">
        <f t="shared" si="217"/>
        <v>0.30142324802005754</v>
      </c>
      <c r="AF201" s="137">
        <f t="shared" si="217"/>
        <v>0.60943936716861924</v>
      </c>
      <c r="AG201" s="137">
        <f t="shared" si="217"/>
        <v>0.92549574766488207</v>
      </c>
      <c r="AH201" s="137">
        <f t="shared" si="217"/>
        <v>1.2655026677954437</v>
      </c>
      <c r="AI201" s="137">
        <f t="shared" si="217"/>
        <v>1.6141579408901963</v>
      </c>
      <c r="AJ201" s="137">
        <f t="shared" si="217"/>
        <v>1.9717604186621611</v>
      </c>
      <c r="AK201" s="137">
        <f t="shared" si="217"/>
        <v>2.3394457096191528</v>
      </c>
      <c r="AL201" s="137">
        <f t="shared" si="217"/>
        <v>2.7134669148963337</v>
      </c>
      <c r="AM201" s="137">
        <f t="shared" si="217"/>
        <v>3.0862486511318963</v>
      </c>
      <c r="AN201" s="137">
        <f t="shared" si="217"/>
        <v>3.4550606831348993</v>
      </c>
      <c r="AO201" s="137">
        <f t="shared" si="217"/>
        <v>3.4550606831348993</v>
      </c>
      <c r="AP201" s="137">
        <f t="shared" si="218"/>
        <v>3.4550606831348993</v>
      </c>
      <c r="AQ201" s="137">
        <f t="shared" si="218"/>
        <v>3.4550606831348993</v>
      </c>
      <c r="AR201" s="137">
        <f t="shared" si="218"/>
        <v>3.4550606831348993</v>
      </c>
      <c r="AS201" s="137">
        <f t="shared" si="218"/>
        <v>3.4550606831348993</v>
      </c>
      <c r="AT201" s="137">
        <f t="shared" si="218"/>
        <v>3.4550606831348993</v>
      </c>
      <c r="AU201" s="137">
        <f t="shared" si="218"/>
        <v>3.4550606831348993</v>
      </c>
      <c r="AV201" s="137">
        <f t="shared" si="218"/>
        <v>3.4550606831348993</v>
      </c>
      <c r="AW201" s="137">
        <f t="shared" si="218"/>
        <v>3.4550606831348993</v>
      </c>
      <c r="AX201" s="137">
        <f t="shared" si="218"/>
        <v>3.4550606831348993</v>
      </c>
      <c r="AY201" s="137">
        <f t="shared" si="219"/>
        <v>3.4550606831348993</v>
      </c>
      <c r="AZ201" s="137">
        <f t="shared" si="219"/>
        <v>3.4550606831348993</v>
      </c>
      <c r="BA201" s="137">
        <f t="shared" si="219"/>
        <v>3.4550606831348993</v>
      </c>
      <c r="BB201" s="137">
        <f t="shared" si="219"/>
        <v>3.4550606831348993</v>
      </c>
      <c r="BC201" s="137">
        <f t="shared" si="219"/>
        <v>3.4550606831348993</v>
      </c>
      <c r="BD201" s="137">
        <f t="shared" si="219"/>
        <v>3.4550606831348993</v>
      </c>
      <c r="BE201" s="137">
        <f t="shared" si="219"/>
        <v>3.4550606831348993</v>
      </c>
      <c r="BF201" s="137">
        <f t="shared" si="219"/>
        <v>3.4550606831348993</v>
      </c>
      <c r="BG201" s="137">
        <f t="shared" si="219"/>
        <v>3.4550606831348993</v>
      </c>
      <c r="BH201" s="137">
        <f t="shared" si="219"/>
        <v>3.4550606831348993</v>
      </c>
      <c r="BI201" s="137">
        <f t="shared" si="219"/>
        <v>3.4550606831348993</v>
      </c>
      <c r="BJ201" s="137">
        <f t="shared" si="219"/>
        <v>3.4550606831348993</v>
      </c>
      <c r="BK201" s="137">
        <f t="shared" si="219"/>
        <v>3.4550606831348993</v>
      </c>
      <c r="BL201" s="137">
        <f t="shared" si="219"/>
        <v>3.4550606831348993</v>
      </c>
      <c r="BM201" s="137">
        <f t="shared" si="219"/>
        <v>3.4550606831348993</v>
      </c>
      <c r="BN201" s="137">
        <f t="shared" si="219"/>
        <v>3.4550606831348993</v>
      </c>
      <c r="BO201" s="137">
        <f t="shared" si="219"/>
        <v>3.4550606831348993</v>
      </c>
      <c r="BP201" s="137">
        <f t="shared" si="219"/>
        <v>3.4550606831348993</v>
      </c>
      <c r="BQ201" s="137">
        <f t="shared" si="219"/>
        <v>3.4550606831348993</v>
      </c>
      <c r="BR201" s="137">
        <f t="shared" si="219"/>
        <v>3.4550606831348993</v>
      </c>
    </row>
    <row r="202" spans="1:70">
      <c r="A202" t="s">
        <v>16</v>
      </c>
      <c r="B202" s="70" t="str">
        <f t="shared" si="215"/>
        <v>CNW</v>
      </c>
      <c r="C202" s="70" t="str">
        <f t="shared" si="215"/>
        <v>Commercial - Water Heating</v>
      </c>
      <c r="E202" s="89"/>
      <c r="F202" s="89"/>
      <c r="I202" s="135"/>
      <c r="J202" s="90"/>
      <c r="K202" s="90"/>
      <c r="L202" s="137">
        <f t="shared" si="216"/>
        <v>0</v>
      </c>
      <c r="M202" s="137">
        <f t="shared" si="216"/>
        <v>0</v>
      </c>
      <c r="N202" s="137">
        <f t="shared" si="216"/>
        <v>0</v>
      </c>
      <c r="O202" s="137">
        <f t="shared" si="216"/>
        <v>0</v>
      </c>
      <c r="P202" s="137">
        <f t="shared" si="216"/>
        <v>0</v>
      </c>
      <c r="Q202" s="137">
        <f t="shared" si="216"/>
        <v>0</v>
      </c>
      <c r="R202" s="137">
        <f t="shared" si="216"/>
        <v>0</v>
      </c>
      <c r="S202" s="137">
        <f t="shared" si="216"/>
        <v>0</v>
      </c>
      <c r="T202" s="137">
        <f t="shared" si="216"/>
        <v>0</v>
      </c>
      <c r="U202" s="137">
        <f t="shared" si="216"/>
        <v>0</v>
      </c>
      <c r="V202" s="137">
        <f t="shared" si="216"/>
        <v>0</v>
      </c>
      <c r="W202" s="137">
        <f t="shared" si="216"/>
        <v>0</v>
      </c>
      <c r="X202" s="137">
        <f t="shared" si="216"/>
        <v>0</v>
      </c>
      <c r="Y202" s="137">
        <f t="shared" si="216"/>
        <v>0</v>
      </c>
      <c r="Z202" s="137">
        <f t="shared" si="216"/>
        <v>0</v>
      </c>
      <c r="AA202" s="137">
        <f t="shared" si="216"/>
        <v>0</v>
      </c>
      <c r="AB202" s="137">
        <f t="shared" si="217"/>
        <v>0</v>
      </c>
      <c r="AC202" s="137">
        <f t="shared" si="217"/>
        <v>0</v>
      </c>
      <c r="AD202" s="137">
        <f t="shared" si="217"/>
        <v>0</v>
      </c>
      <c r="AE202" s="137">
        <f t="shared" si="217"/>
        <v>0.12117483041327229</v>
      </c>
      <c r="AF202" s="137">
        <f t="shared" si="217"/>
        <v>0.24500005374142658</v>
      </c>
      <c r="AG202" s="137">
        <f t="shared" si="217"/>
        <v>0.37205753374415956</v>
      </c>
      <c r="AH202" s="137">
        <f t="shared" si="217"/>
        <v>0.5087433440019612</v>
      </c>
      <c r="AI202" s="137">
        <f t="shared" si="217"/>
        <v>0.64890586918030591</v>
      </c>
      <c r="AJ202" s="137">
        <f t="shared" si="217"/>
        <v>0.79266525032963375</v>
      </c>
      <c r="AK202" s="137">
        <f t="shared" si="217"/>
        <v>0.94047801218469607</v>
      </c>
      <c r="AL202" s="137">
        <f t="shared" si="217"/>
        <v>1.0908378680290411</v>
      </c>
      <c r="AM202" s="137">
        <f t="shared" si="217"/>
        <v>1.2406994462789831</v>
      </c>
      <c r="AN202" s="137">
        <f t="shared" si="217"/>
        <v>1.3889651680701713</v>
      </c>
      <c r="AO202" s="137">
        <f t="shared" si="217"/>
        <v>1.3889651680701713</v>
      </c>
      <c r="AP202" s="137">
        <f t="shared" si="218"/>
        <v>1.3889651680701713</v>
      </c>
      <c r="AQ202" s="137">
        <f t="shared" si="218"/>
        <v>1.3889651680701713</v>
      </c>
      <c r="AR202" s="137">
        <f t="shared" si="218"/>
        <v>1.3889651680701713</v>
      </c>
      <c r="AS202" s="137">
        <f t="shared" si="218"/>
        <v>1.3889651680701713</v>
      </c>
      <c r="AT202" s="137">
        <f t="shared" si="218"/>
        <v>1.3889651680701713</v>
      </c>
      <c r="AU202" s="137">
        <f t="shared" si="218"/>
        <v>1.3889651680701713</v>
      </c>
      <c r="AV202" s="137">
        <f t="shared" si="218"/>
        <v>1.3889651680701713</v>
      </c>
      <c r="AW202" s="137">
        <f t="shared" si="218"/>
        <v>1.3889651680701713</v>
      </c>
      <c r="AX202" s="137">
        <f t="shared" si="218"/>
        <v>1.3889651680701713</v>
      </c>
      <c r="AY202" s="137">
        <f t="shared" si="219"/>
        <v>1.3889651680701713</v>
      </c>
      <c r="AZ202" s="137">
        <f t="shared" si="219"/>
        <v>1.3889651680701713</v>
      </c>
      <c r="BA202" s="137">
        <f t="shared" si="219"/>
        <v>1.3889651680701713</v>
      </c>
      <c r="BB202" s="137">
        <f t="shared" si="219"/>
        <v>1.3889651680701713</v>
      </c>
      <c r="BC202" s="137">
        <f t="shared" si="219"/>
        <v>1.3889651680701713</v>
      </c>
      <c r="BD202" s="137">
        <f t="shared" si="219"/>
        <v>1.3889651680701713</v>
      </c>
      <c r="BE202" s="137">
        <f t="shared" si="219"/>
        <v>1.3889651680701713</v>
      </c>
      <c r="BF202" s="137">
        <f t="shared" si="219"/>
        <v>1.3889651680701713</v>
      </c>
      <c r="BG202" s="137">
        <f t="shared" si="219"/>
        <v>1.3889651680701713</v>
      </c>
      <c r="BH202" s="137">
        <f t="shared" si="219"/>
        <v>1.3889651680701713</v>
      </c>
      <c r="BI202" s="137">
        <f t="shared" si="219"/>
        <v>1.3889651680701713</v>
      </c>
      <c r="BJ202" s="137">
        <f t="shared" si="219"/>
        <v>1.3889651680701713</v>
      </c>
      <c r="BK202" s="137">
        <f t="shared" si="219"/>
        <v>1.3889651680701713</v>
      </c>
      <c r="BL202" s="137">
        <f t="shared" si="219"/>
        <v>1.3889651680701713</v>
      </c>
      <c r="BM202" s="137">
        <f t="shared" si="219"/>
        <v>1.3889651680701713</v>
      </c>
      <c r="BN202" s="137">
        <f t="shared" si="219"/>
        <v>1.3889651680701713</v>
      </c>
      <c r="BO202" s="137">
        <f t="shared" si="219"/>
        <v>1.3889651680701713</v>
      </c>
      <c r="BP202" s="137">
        <f t="shared" si="219"/>
        <v>1.3889651680701713</v>
      </c>
      <c r="BQ202" s="137">
        <f t="shared" si="219"/>
        <v>1.3889651680701713</v>
      </c>
      <c r="BR202" s="137">
        <f t="shared" si="219"/>
        <v>1.3889651680701713</v>
      </c>
    </row>
    <row r="203" spans="1:70">
      <c r="A203" t="s">
        <v>16</v>
      </c>
      <c r="B203" s="70" t="str">
        <f t="shared" si="215"/>
        <v>CNG</v>
      </c>
      <c r="C203" s="70" t="str">
        <f t="shared" si="215"/>
        <v>Commercial - Public lights</v>
      </c>
      <c r="E203" s="89"/>
      <c r="F203" s="89"/>
      <c r="I203" s="135"/>
      <c r="J203" s="90"/>
      <c r="K203" s="90"/>
      <c r="L203" s="137">
        <f t="shared" si="216"/>
        <v>0</v>
      </c>
      <c r="M203" s="137">
        <f t="shared" si="216"/>
        <v>0</v>
      </c>
      <c r="N203" s="137">
        <f t="shared" si="216"/>
        <v>0</v>
      </c>
      <c r="O203" s="137">
        <f t="shared" si="216"/>
        <v>0</v>
      </c>
      <c r="P203" s="137">
        <f t="shared" si="216"/>
        <v>0</v>
      </c>
      <c r="Q203" s="137">
        <f t="shared" si="216"/>
        <v>0</v>
      </c>
      <c r="R203" s="137">
        <f t="shared" si="216"/>
        <v>0</v>
      </c>
      <c r="S203" s="137">
        <f t="shared" si="216"/>
        <v>0</v>
      </c>
      <c r="T203" s="137">
        <f t="shared" si="216"/>
        <v>0</v>
      </c>
      <c r="U203" s="137">
        <f t="shared" si="216"/>
        <v>0</v>
      </c>
      <c r="V203" s="137">
        <f t="shared" si="216"/>
        <v>0</v>
      </c>
      <c r="W203" s="137">
        <f t="shared" si="216"/>
        <v>0</v>
      </c>
      <c r="X203" s="137">
        <f t="shared" si="216"/>
        <v>0</v>
      </c>
      <c r="Y203" s="137">
        <f t="shared" si="216"/>
        <v>0</v>
      </c>
      <c r="Z203" s="137">
        <f t="shared" si="216"/>
        <v>0</v>
      </c>
      <c r="AA203" s="137">
        <f t="shared" si="216"/>
        <v>0</v>
      </c>
      <c r="AB203" s="137">
        <f t="shared" si="217"/>
        <v>0</v>
      </c>
      <c r="AC203" s="137">
        <f t="shared" si="217"/>
        <v>0</v>
      </c>
      <c r="AD203" s="137">
        <f t="shared" si="217"/>
        <v>0</v>
      </c>
      <c r="AE203" s="137">
        <f t="shared" si="217"/>
        <v>0</v>
      </c>
      <c r="AF203" s="137">
        <f t="shared" si="217"/>
        <v>0</v>
      </c>
      <c r="AG203" s="137">
        <f t="shared" si="217"/>
        <v>0</v>
      </c>
      <c r="AH203" s="137">
        <f t="shared" si="217"/>
        <v>0</v>
      </c>
      <c r="AI203" s="137">
        <f t="shared" si="217"/>
        <v>0</v>
      </c>
      <c r="AJ203" s="137">
        <f t="shared" si="217"/>
        <v>0</v>
      </c>
      <c r="AK203" s="137">
        <f t="shared" si="217"/>
        <v>0</v>
      </c>
      <c r="AL203" s="137">
        <f t="shared" si="217"/>
        <v>0</v>
      </c>
      <c r="AM203" s="137">
        <f t="shared" si="217"/>
        <v>0</v>
      </c>
      <c r="AN203" s="137">
        <f t="shared" si="217"/>
        <v>0</v>
      </c>
      <c r="AO203" s="137">
        <f t="shared" si="217"/>
        <v>0</v>
      </c>
      <c r="AP203" s="137">
        <f t="shared" si="218"/>
        <v>0</v>
      </c>
      <c r="AQ203" s="137">
        <f t="shared" si="218"/>
        <v>0</v>
      </c>
      <c r="AR203" s="137">
        <f t="shared" si="218"/>
        <v>0</v>
      </c>
      <c r="AS203" s="137">
        <f t="shared" si="218"/>
        <v>0</v>
      </c>
      <c r="AT203" s="137">
        <f t="shared" si="218"/>
        <v>0</v>
      </c>
      <c r="AU203" s="137">
        <f t="shared" si="218"/>
        <v>0</v>
      </c>
      <c r="AV203" s="137">
        <f t="shared" si="218"/>
        <v>0</v>
      </c>
      <c r="AW203" s="137">
        <f t="shared" si="218"/>
        <v>0</v>
      </c>
      <c r="AX203" s="137">
        <f t="shared" si="218"/>
        <v>0</v>
      </c>
      <c r="AY203" s="137">
        <f t="shared" si="219"/>
        <v>0</v>
      </c>
      <c r="AZ203" s="137">
        <f t="shared" si="219"/>
        <v>0</v>
      </c>
      <c r="BA203" s="137">
        <f t="shared" si="219"/>
        <v>0</v>
      </c>
      <c r="BB203" s="137">
        <f t="shared" si="219"/>
        <v>0</v>
      </c>
      <c r="BC203" s="137">
        <f t="shared" si="219"/>
        <v>0</v>
      </c>
      <c r="BD203" s="137">
        <f t="shared" si="219"/>
        <v>0</v>
      </c>
      <c r="BE203" s="137">
        <f t="shared" si="219"/>
        <v>0</v>
      </c>
      <c r="BF203" s="137">
        <f t="shared" si="219"/>
        <v>0</v>
      </c>
      <c r="BG203" s="137">
        <f t="shared" si="219"/>
        <v>0</v>
      </c>
      <c r="BH203" s="137">
        <f t="shared" si="219"/>
        <v>0</v>
      </c>
      <c r="BI203" s="137">
        <f t="shared" si="219"/>
        <v>0</v>
      </c>
      <c r="BJ203" s="137">
        <f t="shared" si="219"/>
        <v>0</v>
      </c>
      <c r="BK203" s="137">
        <f t="shared" si="219"/>
        <v>0</v>
      </c>
      <c r="BL203" s="137">
        <f t="shared" si="219"/>
        <v>0</v>
      </c>
      <c r="BM203" s="137">
        <f t="shared" si="219"/>
        <v>0</v>
      </c>
      <c r="BN203" s="137">
        <f t="shared" si="219"/>
        <v>0</v>
      </c>
      <c r="BO203" s="137">
        <f t="shared" si="219"/>
        <v>0</v>
      </c>
      <c r="BP203" s="137">
        <f t="shared" si="219"/>
        <v>0</v>
      </c>
      <c r="BQ203" s="137">
        <f t="shared" si="219"/>
        <v>0</v>
      </c>
      <c r="BR203" s="137">
        <f t="shared" si="219"/>
        <v>0</v>
      </c>
    </row>
    <row r="204" spans="1:70">
      <c r="A204" t="s">
        <v>16</v>
      </c>
      <c r="B204" s="70" t="str">
        <f t="shared" si="215"/>
        <v>CNT</v>
      </c>
      <c r="C204" s="70" t="str">
        <f t="shared" si="215"/>
        <v>Commercial - Public Water</v>
      </c>
      <c r="E204" s="89"/>
      <c r="F204" s="89"/>
      <c r="I204" s="135"/>
      <c r="J204" s="90"/>
      <c r="K204" s="90"/>
      <c r="L204" s="137">
        <f t="shared" si="216"/>
        <v>0</v>
      </c>
      <c r="M204" s="137">
        <f t="shared" si="216"/>
        <v>0</v>
      </c>
      <c r="N204" s="137">
        <f t="shared" si="216"/>
        <v>0</v>
      </c>
      <c r="O204" s="137">
        <f t="shared" si="216"/>
        <v>0</v>
      </c>
      <c r="P204" s="137">
        <f t="shared" si="216"/>
        <v>0</v>
      </c>
      <c r="Q204" s="137">
        <f t="shared" si="216"/>
        <v>0</v>
      </c>
      <c r="R204" s="137">
        <f t="shared" si="216"/>
        <v>0</v>
      </c>
      <c r="S204" s="137">
        <f t="shared" si="216"/>
        <v>0</v>
      </c>
      <c r="T204" s="137">
        <f t="shared" si="216"/>
        <v>0</v>
      </c>
      <c r="U204" s="137">
        <f t="shared" si="216"/>
        <v>0</v>
      </c>
      <c r="V204" s="137">
        <f t="shared" si="216"/>
        <v>0</v>
      </c>
      <c r="W204" s="137">
        <f t="shared" si="216"/>
        <v>0</v>
      </c>
      <c r="X204" s="137">
        <f t="shared" si="216"/>
        <v>0</v>
      </c>
      <c r="Y204" s="137">
        <f t="shared" si="216"/>
        <v>0</v>
      </c>
      <c r="Z204" s="137">
        <f t="shared" si="216"/>
        <v>0</v>
      </c>
      <c r="AA204" s="137">
        <f t="shared" si="216"/>
        <v>0</v>
      </c>
      <c r="AB204" s="137">
        <f t="shared" si="217"/>
        <v>0</v>
      </c>
      <c r="AC204" s="137">
        <f t="shared" si="217"/>
        <v>0</v>
      </c>
      <c r="AD204" s="137">
        <f t="shared" si="217"/>
        <v>0</v>
      </c>
      <c r="AE204" s="137">
        <f t="shared" si="217"/>
        <v>0</v>
      </c>
      <c r="AF204" s="137">
        <f t="shared" si="217"/>
        <v>0</v>
      </c>
      <c r="AG204" s="137">
        <f t="shared" si="217"/>
        <v>0</v>
      </c>
      <c r="AH204" s="137">
        <f t="shared" si="217"/>
        <v>0</v>
      </c>
      <c r="AI204" s="137">
        <f t="shared" si="217"/>
        <v>0</v>
      </c>
      <c r="AJ204" s="137">
        <f t="shared" si="217"/>
        <v>0</v>
      </c>
      <c r="AK204" s="137">
        <f t="shared" si="217"/>
        <v>0</v>
      </c>
      <c r="AL204" s="137">
        <f t="shared" si="217"/>
        <v>0</v>
      </c>
      <c r="AM204" s="137">
        <f t="shared" si="217"/>
        <v>0</v>
      </c>
      <c r="AN204" s="137">
        <f t="shared" si="217"/>
        <v>0</v>
      </c>
      <c r="AO204" s="137">
        <f t="shared" si="217"/>
        <v>0</v>
      </c>
      <c r="AP204" s="137">
        <f t="shared" si="218"/>
        <v>0</v>
      </c>
      <c r="AQ204" s="137">
        <f t="shared" si="218"/>
        <v>0</v>
      </c>
      <c r="AR204" s="137">
        <f t="shared" si="218"/>
        <v>0</v>
      </c>
      <c r="AS204" s="137">
        <f t="shared" si="218"/>
        <v>0</v>
      </c>
      <c r="AT204" s="137">
        <f t="shared" si="218"/>
        <v>0</v>
      </c>
      <c r="AU204" s="137">
        <f t="shared" si="218"/>
        <v>0</v>
      </c>
      <c r="AV204" s="137">
        <f t="shared" si="218"/>
        <v>0</v>
      </c>
      <c r="AW204" s="137">
        <f t="shared" si="218"/>
        <v>0</v>
      </c>
      <c r="AX204" s="137">
        <f t="shared" si="218"/>
        <v>0</v>
      </c>
      <c r="AY204" s="137">
        <f t="shared" ref="AY204:BR205" si="220">INDEX(AY$49:AY$52,MATCH($I$196,$B$49:$B$52,0),1)*INDEX(AY$81:AY$89,MATCH($B204,$B$81:$B$89,0))*INDEX(AY$127:AY$135,MATCH($B204,$B$127:$B$135,0))/1000</f>
        <v>0</v>
      </c>
      <c r="AZ204" s="137">
        <f t="shared" si="220"/>
        <v>0</v>
      </c>
      <c r="BA204" s="137">
        <f t="shared" si="220"/>
        <v>0</v>
      </c>
      <c r="BB204" s="137">
        <f t="shared" si="220"/>
        <v>0</v>
      </c>
      <c r="BC204" s="137">
        <f t="shared" si="220"/>
        <v>0</v>
      </c>
      <c r="BD204" s="137">
        <f t="shared" si="220"/>
        <v>0</v>
      </c>
      <c r="BE204" s="137">
        <f t="shared" si="220"/>
        <v>0</v>
      </c>
      <c r="BF204" s="137">
        <f t="shared" si="220"/>
        <v>0</v>
      </c>
      <c r="BG204" s="137">
        <f t="shared" si="220"/>
        <v>0</v>
      </c>
      <c r="BH204" s="137">
        <f t="shared" si="220"/>
        <v>0</v>
      </c>
      <c r="BI204" s="137">
        <f t="shared" si="220"/>
        <v>0</v>
      </c>
      <c r="BJ204" s="137">
        <f t="shared" si="220"/>
        <v>0</v>
      </c>
      <c r="BK204" s="137">
        <f t="shared" si="220"/>
        <v>0</v>
      </c>
      <c r="BL204" s="137">
        <f t="shared" si="220"/>
        <v>0</v>
      </c>
      <c r="BM204" s="137">
        <f t="shared" si="220"/>
        <v>0</v>
      </c>
      <c r="BN204" s="137">
        <f t="shared" si="220"/>
        <v>0</v>
      </c>
      <c r="BO204" s="137">
        <f t="shared" si="220"/>
        <v>0</v>
      </c>
      <c r="BP204" s="137">
        <f t="shared" si="220"/>
        <v>0</v>
      </c>
      <c r="BQ204" s="137">
        <f t="shared" si="220"/>
        <v>0</v>
      </c>
      <c r="BR204" s="137">
        <f t="shared" si="220"/>
        <v>0</v>
      </c>
    </row>
    <row r="205" spans="1:70">
      <c r="A205" t="s">
        <v>16</v>
      </c>
      <c r="B205" s="70" t="str">
        <f t="shared" si="215"/>
        <v>CNO</v>
      </c>
      <c r="C205" s="70" t="str">
        <f t="shared" si="215"/>
        <v>Commercial - Other</v>
      </c>
      <c r="E205" s="89"/>
      <c r="F205" s="89"/>
      <c r="I205" s="135"/>
      <c r="J205" s="90"/>
      <c r="K205" s="90"/>
      <c r="L205" s="137">
        <f t="shared" si="216"/>
        <v>0</v>
      </c>
      <c r="M205" s="137">
        <f t="shared" si="216"/>
        <v>0</v>
      </c>
      <c r="N205" s="137">
        <f t="shared" si="216"/>
        <v>0</v>
      </c>
      <c r="O205" s="137">
        <f t="shared" si="216"/>
        <v>0</v>
      </c>
      <c r="P205" s="137">
        <f t="shared" si="216"/>
        <v>0</v>
      </c>
      <c r="Q205" s="137">
        <f t="shared" si="216"/>
        <v>0</v>
      </c>
      <c r="R205" s="137">
        <f t="shared" si="216"/>
        <v>0</v>
      </c>
      <c r="S205" s="137">
        <f t="shared" si="216"/>
        <v>0</v>
      </c>
      <c r="T205" s="137">
        <f t="shared" si="216"/>
        <v>0</v>
      </c>
      <c r="U205" s="137">
        <f t="shared" si="216"/>
        <v>0</v>
      </c>
      <c r="V205" s="137">
        <f t="shared" si="216"/>
        <v>0</v>
      </c>
      <c r="W205" s="137">
        <f t="shared" si="216"/>
        <v>0</v>
      </c>
      <c r="X205" s="137">
        <f t="shared" si="216"/>
        <v>0</v>
      </c>
      <c r="Y205" s="137">
        <f t="shared" si="216"/>
        <v>0</v>
      </c>
      <c r="Z205" s="137">
        <f t="shared" si="216"/>
        <v>0</v>
      </c>
      <c r="AA205" s="137">
        <f t="shared" si="216"/>
        <v>0</v>
      </c>
      <c r="AB205" s="137">
        <f t="shared" si="217"/>
        <v>0</v>
      </c>
      <c r="AC205" s="137">
        <f t="shared" si="217"/>
        <v>0</v>
      </c>
      <c r="AD205" s="137">
        <f t="shared" si="217"/>
        <v>0</v>
      </c>
      <c r="AE205" s="137">
        <f t="shared" si="217"/>
        <v>0.203326058742612</v>
      </c>
      <c r="AF205" s="137">
        <f t="shared" si="217"/>
        <v>0.41109936072595615</v>
      </c>
      <c r="AG205" s="137">
        <f t="shared" si="217"/>
        <v>0.62429624785685267</v>
      </c>
      <c r="AH205" s="137">
        <f t="shared" si="217"/>
        <v>0.85364905149581083</v>
      </c>
      <c r="AI205" s="137">
        <f t="shared" si="217"/>
        <v>1.0888356305133249</v>
      </c>
      <c r="AJ205" s="137">
        <f t="shared" si="217"/>
        <v>1.3300575763306157</v>
      </c>
      <c r="AK205" s="137">
        <f t="shared" si="217"/>
        <v>1.5780809174597012</v>
      </c>
      <c r="AL205" s="137">
        <f t="shared" si="217"/>
        <v>1.830378170756203</v>
      </c>
      <c r="AM205" s="137">
        <f t="shared" si="217"/>
        <v>2.0818393360707019</v>
      </c>
      <c r="AN205" s="137">
        <f t="shared" si="217"/>
        <v>2.3306227241358277</v>
      </c>
      <c r="AO205" s="137">
        <f t="shared" si="217"/>
        <v>2.3306227241358277</v>
      </c>
      <c r="AP205" s="137">
        <f t="shared" si="218"/>
        <v>2.3306227241358277</v>
      </c>
      <c r="AQ205" s="137">
        <f t="shared" si="218"/>
        <v>2.3306227241358277</v>
      </c>
      <c r="AR205" s="137">
        <f t="shared" si="218"/>
        <v>2.3306227241358277</v>
      </c>
      <c r="AS205" s="137">
        <f t="shared" si="218"/>
        <v>2.3306227241358277</v>
      </c>
      <c r="AT205" s="137">
        <f t="shared" si="218"/>
        <v>2.3306227241358277</v>
      </c>
      <c r="AU205" s="137">
        <f t="shared" si="218"/>
        <v>2.3306227241358277</v>
      </c>
      <c r="AV205" s="137">
        <f t="shared" si="218"/>
        <v>2.3306227241358277</v>
      </c>
      <c r="AW205" s="137">
        <f t="shared" si="218"/>
        <v>2.3306227241358277</v>
      </c>
      <c r="AX205" s="137">
        <f t="shared" si="218"/>
        <v>2.3306227241358277</v>
      </c>
      <c r="AY205" s="137">
        <f t="shared" si="220"/>
        <v>2.3306227241358277</v>
      </c>
      <c r="AZ205" s="137">
        <f t="shared" si="220"/>
        <v>2.3306227241358277</v>
      </c>
      <c r="BA205" s="137">
        <f t="shared" si="220"/>
        <v>2.3306227241358277</v>
      </c>
      <c r="BB205" s="137">
        <f t="shared" si="220"/>
        <v>2.3306227241358277</v>
      </c>
      <c r="BC205" s="137">
        <f t="shared" si="220"/>
        <v>2.3306227241358277</v>
      </c>
      <c r="BD205" s="137">
        <f t="shared" si="220"/>
        <v>2.3306227241358277</v>
      </c>
      <c r="BE205" s="137">
        <f t="shared" si="220"/>
        <v>2.3306227241358277</v>
      </c>
      <c r="BF205" s="137">
        <f t="shared" si="220"/>
        <v>2.3306227241358277</v>
      </c>
      <c r="BG205" s="137">
        <f t="shared" si="220"/>
        <v>2.3306227241358277</v>
      </c>
      <c r="BH205" s="137">
        <f t="shared" si="220"/>
        <v>2.3306227241358277</v>
      </c>
      <c r="BI205" s="137">
        <f t="shared" si="220"/>
        <v>2.3306227241358277</v>
      </c>
      <c r="BJ205" s="137">
        <f t="shared" si="220"/>
        <v>2.3306227241358277</v>
      </c>
      <c r="BK205" s="137">
        <f t="shared" si="220"/>
        <v>2.3306227241358277</v>
      </c>
      <c r="BL205" s="137">
        <f t="shared" si="220"/>
        <v>2.3306227241358277</v>
      </c>
      <c r="BM205" s="137">
        <f t="shared" si="220"/>
        <v>2.3306227241358277</v>
      </c>
      <c r="BN205" s="137">
        <f t="shared" si="220"/>
        <v>2.3306227241358277</v>
      </c>
      <c r="BO205" s="137">
        <f t="shared" si="220"/>
        <v>2.3306227241358277</v>
      </c>
      <c r="BP205" s="137">
        <f t="shared" si="220"/>
        <v>2.3306227241358277</v>
      </c>
      <c r="BQ205" s="137">
        <f t="shared" si="220"/>
        <v>2.3306227241358277</v>
      </c>
      <c r="BR205" s="137">
        <f t="shared" si="220"/>
        <v>2.3306227241358277</v>
      </c>
    </row>
    <row r="206" spans="1:70">
      <c r="A206" t="s">
        <v>16</v>
      </c>
      <c r="E206" s="89"/>
      <c r="F206" s="89"/>
      <c r="I206" s="135"/>
      <c r="J206" s="90"/>
      <c r="K206" s="90"/>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c r="AI206" s="137"/>
      <c r="AJ206" s="137"/>
      <c r="AK206" s="137"/>
      <c r="AL206" s="137"/>
      <c r="AM206" s="137"/>
      <c r="AN206" s="137"/>
      <c r="AO206" s="137"/>
      <c r="AP206" s="137"/>
      <c r="AQ206" s="137"/>
      <c r="AR206" s="137"/>
      <c r="AS206" s="137"/>
      <c r="AT206" s="137"/>
      <c r="AU206" s="137"/>
      <c r="AV206" s="137"/>
      <c r="AW206" s="137"/>
      <c r="AX206" s="137"/>
      <c r="AY206" s="137"/>
      <c r="AZ206" s="137"/>
      <c r="BA206" s="137"/>
      <c r="BB206" s="137"/>
      <c r="BC206" s="137"/>
      <c r="BD206" s="137"/>
      <c r="BE206" s="137"/>
      <c r="BF206" s="137"/>
      <c r="BG206" s="137"/>
      <c r="BH206" s="137"/>
      <c r="BI206" s="137"/>
      <c r="BJ206" s="137"/>
      <c r="BK206" s="137"/>
      <c r="BL206" s="137"/>
      <c r="BM206" s="137"/>
      <c r="BN206" s="137"/>
      <c r="BO206" s="137"/>
      <c r="BP206" s="137"/>
      <c r="BQ206" s="137"/>
      <c r="BR206" s="137"/>
    </row>
    <row r="207" spans="1:70">
      <c r="A207" t="s">
        <v>16</v>
      </c>
      <c r="E207" s="89"/>
      <c r="F207" s="89"/>
      <c r="I207" s="135" t="s">
        <v>218</v>
      </c>
      <c r="J207" s="90"/>
      <c r="K207" s="90"/>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c r="AI207" s="137"/>
      <c r="AJ207" s="137"/>
      <c r="AK207" s="137"/>
      <c r="AL207" s="137"/>
      <c r="AM207" s="137"/>
      <c r="AN207" s="137"/>
      <c r="AO207" s="137"/>
      <c r="AP207" s="137"/>
      <c r="AQ207" s="137"/>
      <c r="AR207" s="137"/>
      <c r="AS207" s="137"/>
      <c r="AT207" s="137"/>
      <c r="AU207" s="137"/>
      <c r="AV207" s="137"/>
      <c r="AW207" s="137"/>
      <c r="AX207" s="137"/>
      <c r="AY207" s="137"/>
      <c r="AZ207" s="137"/>
      <c r="BA207" s="137"/>
      <c r="BB207" s="137"/>
      <c r="BC207" s="137"/>
      <c r="BD207" s="137"/>
      <c r="BE207" s="137"/>
      <c r="BF207" s="137"/>
      <c r="BG207" s="137"/>
      <c r="BH207" s="137"/>
      <c r="BI207" s="137"/>
      <c r="BJ207" s="137"/>
      <c r="BK207" s="137"/>
      <c r="BL207" s="137"/>
      <c r="BM207" s="137"/>
      <c r="BN207" s="137"/>
      <c r="BO207" s="137"/>
      <c r="BP207" s="137"/>
      <c r="BQ207" s="137"/>
      <c r="BR207" s="137"/>
    </row>
    <row r="208" spans="1:70">
      <c r="A208" t="s">
        <v>16</v>
      </c>
      <c r="B208" s="70" t="str">
        <f t="shared" ref="B208:C216" si="221">B197</f>
        <v>CNC</v>
      </c>
      <c r="C208" s="70" t="str">
        <f t="shared" si="221"/>
        <v>Commercial - Cooling</v>
      </c>
      <c r="E208" s="72"/>
      <c r="F208" s="89"/>
      <c r="I208" s="135"/>
      <c r="J208" s="90"/>
      <c r="K208" s="90"/>
      <c r="L208" s="137">
        <f t="shared" ref="L208:AA216" si="222">INDEX(L$49:L$52,MATCH($I$207,$B$49:$B$52,0),1)*INDEX(L$81:L$89,MATCH($B208,$B$81:$B$89,0))*INDEX(L$138:L$146,MATCH($B208,$B$138:$B$146,0))/1000</f>
        <v>0</v>
      </c>
      <c r="M208" s="137">
        <f t="shared" si="222"/>
        <v>0</v>
      </c>
      <c r="N208" s="137">
        <f t="shared" si="222"/>
        <v>0</v>
      </c>
      <c r="O208" s="137">
        <f t="shared" si="222"/>
        <v>0</v>
      </c>
      <c r="P208" s="137">
        <f t="shared" si="222"/>
        <v>0</v>
      </c>
      <c r="Q208" s="137">
        <f t="shared" si="222"/>
        <v>0</v>
      </c>
      <c r="R208" s="137">
        <f t="shared" si="222"/>
        <v>0</v>
      </c>
      <c r="S208" s="137">
        <f t="shared" si="222"/>
        <v>0</v>
      </c>
      <c r="T208" s="137">
        <f t="shared" si="222"/>
        <v>0</v>
      </c>
      <c r="U208" s="137">
        <f t="shared" si="222"/>
        <v>0</v>
      </c>
      <c r="V208" s="137">
        <f t="shared" si="222"/>
        <v>0</v>
      </c>
      <c r="W208" s="137">
        <f t="shared" si="222"/>
        <v>0</v>
      </c>
      <c r="X208" s="137">
        <f t="shared" si="222"/>
        <v>0</v>
      </c>
      <c r="Y208" s="137">
        <f t="shared" si="222"/>
        <v>0</v>
      </c>
      <c r="Z208" s="137">
        <f t="shared" si="222"/>
        <v>0</v>
      </c>
      <c r="AA208" s="137">
        <f t="shared" si="222"/>
        <v>0</v>
      </c>
      <c r="AB208" s="137">
        <f t="shared" ref="AB208:AQ216" si="223">INDEX(AB$49:AB$52,MATCH($I$207,$B$49:$B$52,0),1)*INDEX(AB$81:AB$89,MATCH($B208,$B$81:$B$89,0))*INDEX(AB$138:AB$146,MATCH($B208,$B$138:$B$146,0))/1000</f>
        <v>0</v>
      </c>
      <c r="AC208" s="137">
        <f t="shared" si="223"/>
        <v>0</v>
      </c>
      <c r="AD208" s="137">
        <f t="shared" si="223"/>
        <v>0</v>
      </c>
      <c r="AE208" s="137">
        <f t="shared" si="223"/>
        <v>0</v>
      </c>
      <c r="AF208" s="137">
        <f t="shared" si="223"/>
        <v>0</v>
      </c>
      <c r="AG208" s="137">
        <f t="shared" si="223"/>
        <v>0</v>
      </c>
      <c r="AH208" s="137">
        <f t="shared" si="223"/>
        <v>0</v>
      </c>
      <c r="AI208" s="137">
        <f t="shared" si="223"/>
        <v>0</v>
      </c>
      <c r="AJ208" s="137">
        <f t="shared" si="223"/>
        <v>0</v>
      </c>
      <c r="AK208" s="137">
        <f t="shared" si="223"/>
        <v>0</v>
      </c>
      <c r="AL208" s="137">
        <f t="shared" si="223"/>
        <v>0</v>
      </c>
      <c r="AM208" s="137">
        <f t="shared" si="223"/>
        <v>0</v>
      </c>
      <c r="AN208" s="137">
        <f t="shared" si="223"/>
        <v>0</v>
      </c>
      <c r="AO208" s="137">
        <f t="shared" si="223"/>
        <v>1.349511485612642</v>
      </c>
      <c r="AP208" s="137">
        <f t="shared" si="223"/>
        <v>2.6806973666726477</v>
      </c>
      <c r="AQ208" s="137">
        <f t="shared" si="223"/>
        <v>3.9945469735390824</v>
      </c>
      <c r="AR208" s="137">
        <f t="shared" ref="AP208:BE216" si="224">INDEX(AR$49:AR$52,MATCH($I$207,$B$49:$B$52,0),1)*INDEX(AR$81:AR$89,MATCH($B208,$B$81:$B$89,0))*INDEX(AR$138:AR$146,MATCH($B208,$B$138:$B$146,0))/1000</f>
        <v>5.2919648589261232</v>
      </c>
      <c r="AS208" s="137">
        <f t="shared" si="224"/>
        <v>6.5737805762702681</v>
      </c>
      <c r="AT208" s="137">
        <f t="shared" si="224"/>
        <v>8.0117350528126003</v>
      </c>
      <c r="AU208" s="137">
        <f t="shared" si="224"/>
        <v>9.4292881015886199</v>
      </c>
      <c r="AV208" s="137">
        <f t="shared" si="224"/>
        <v>10.827557339442734</v>
      </c>
      <c r="AW208" s="137">
        <f t="shared" si="224"/>
        <v>12.207563249953269</v>
      </c>
      <c r="AX208" s="137">
        <f t="shared" si="224"/>
        <v>13.570240541062383</v>
      </c>
      <c r="AY208" s="137">
        <f t="shared" si="224"/>
        <v>14.865873522618118</v>
      </c>
      <c r="AZ208" s="137">
        <f t="shared" si="224"/>
        <v>16.147492685044416</v>
      </c>
      <c r="BA208" s="137">
        <f t="shared" si="224"/>
        <v>17.415716746734653</v>
      </c>
      <c r="BB208" s="137">
        <f t="shared" si="224"/>
        <v>18.671120799973167</v>
      </c>
      <c r="BC208" s="137">
        <f t="shared" si="224"/>
        <v>19.914240475284714</v>
      </c>
      <c r="BD208" s="137">
        <f t="shared" si="224"/>
        <v>21.145575609824494</v>
      </c>
      <c r="BE208" s="137">
        <f t="shared" si="224"/>
        <v>22.365593490003597</v>
      </c>
      <c r="BF208" s="137">
        <f t="shared" ref="AY208:BR214" si="225">INDEX(BF$49:BF$52,MATCH($I$207,$B$49:$B$52,0),1)*INDEX(BF$81:BF$89,MATCH($B208,$B$81:$B$89,0))*INDEX(BF$138:BF$146,MATCH($B208,$B$138:$B$146,0))/1000</f>
        <v>23.57473172711256</v>
      </c>
      <c r="BG208" s="137">
        <f t="shared" si="225"/>
        <v>24.773400815368845</v>
      </c>
      <c r="BH208" s="137">
        <f t="shared" si="225"/>
        <v>25.961986414144711</v>
      </c>
      <c r="BI208" s="137">
        <f t="shared" si="225"/>
        <v>26.684311732789446</v>
      </c>
      <c r="BJ208" s="137">
        <f t="shared" si="225"/>
        <v>27.405208147645489</v>
      </c>
      <c r="BK208" s="137">
        <f t="shared" si="225"/>
        <v>28.124695239481433</v>
      </c>
      <c r="BL208" s="137">
        <f t="shared" si="225"/>
        <v>28.84279215223599</v>
      </c>
      <c r="BM208" s="137">
        <f t="shared" si="225"/>
        <v>29.559517606457455</v>
      </c>
      <c r="BN208" s="137">
        <f t="shared" si="225"/>
        <v>30.274889912218011</v>
      </c>
      <c r="BO208" s="137">
        <f t="shared" si="225"/>
        <v>30.988926981527783</v>
      </c>
      <c r="BP208" s="137">
        <f t="shared" si="225"/>
        <v>31.70164634027185</v>
      </c>
      <c r="BQ208" s="137">
        <f t="shared" si="225"/>
        <v>32.413065139692392</v>
      </c>
      <c r="BR208" s="137">
        <f t="shared" si="225"/>
        <v>33.123200167437275</v>
      </c>
    </row>
    <row r="209" spans="1:70">
      <c r="A209" t="s">
        <v>16</v>
      </c>
      <c r="B209" s="70" t="str">
        <f t="shared" si="221"/>
        <v>CNH</v>
      </c>
      <c r="C209" s="70" t="str">
        <f t="shared" si="221"/>
        <v>Commercial - Space Heating</v>
      </c>
      <c r="E209" s="89"/>
      <c r="F209" s="89"/>
      <c r="I209" s="135"/>
      <c r="J209" s="90"/>
      <c r="K209" s="90"/>
      <c r="L209" s="137">
        <f t="shared" si="222"/>
        <v>0</v>
      </c>
      <c r="M209" s="137">
        <f t="shared" si="222"/>
        <v>0</v>
      </c>
      <c r="N209" s="137">
        <f t="shared" si="222"/>
        <v>0</v>
      </c>
      <c r="O209" s="137">
        <f t="shared" si="222"/>
        <v>0</v>
      </c>
      <c r="P209" s="137">
        <f t="shared" si="222"/>
        <v>0</v>
      </c>
      <c r="Q209" s="137">
        <f t="shared" si="222"/>
        <v>0</v>
      </c>
      <c r="R209" s="137">
        <f t="shared" si="222"/>
        <v>0</v>
      </c>
      <c r="S209" s="137">
        <f t="shared" si="222"/>
        <v>0</v>
      </c>
      <c r="T209" s="137">
        <f t="shared" si="222"/>
        <v>0</v>
      </c>
      <c r="U209" s="137">
        <f t="shared" si="222"/>
        <v>0</v>
      </c>
      <c r="V209" s="137">
        <f t="shared" si="222"/>
        <v>0</v>
      </c>
      <c r="W209" s="137">
        <f t="shared" si="222"/>
        <v>0</v>
      </c>
      <c r="X209" s="137">
        <f t="shared" si="222"/>
        <v>0</v>
      </c>
      <c r="Y209" s="137">
        <f t="shared" si="222"/>
        <v>0</v>
      </c>
      <c r="Z209" s="137">
        <f t="shared" si="222"/>
        <v>0</v>
      </c>
      <c r="AA209" s="137">
        <f t="shared" si="222"/>
        <v>0</v>
      </c>
      <c r="AB209" s="137">
        <f t="shared" si="223"/>
        <v>0</v>
      </c>
      <c r="AC209" s="137">
        <f t="shared" si="223"/>
        <v>0</v>
      </c>
      <c r="AD209" s="137">
        <f t="shared" si="223"/>
        <v>0</v>
      </c>
      <c r="AE209" s="137">
        <f t="shared" si="223"/>
        <v>0</v>
      </c>
      <c r="AF209" s="137">
        <f t="shared" si="223"/>
        <v>0</v>
      </c>
      <c r="AG209" s="137">
        <f t="shared" si="223"/>
        <v>0</v>
      </c>
      <c r="AH209" s="137">
        <f t="shared" si="223"/>
        <v>0</v>
      </c>
      <c r="AI209" s="137">
        <f t="shared" si="223"/>
        <v>0</v>
      </c>
      <c r="AJ209" s="137">
        <f t="shared" si="223"/>
        <v>0</v>
      </c>
      <c r="AK209" s="137">
        <f t="shared" si="223"/>
        <v>0</v>
      </c>
      <c r="AL209" s="137">
        <f t="shared" si="223"/>
        <v>0</v>
      </c>
      <c r="AM209" s="137">
        <f t="shared" si="223"/>
        <v>0</v>
      </c>
      <c r="AN209" s="137">
        <f t="shared" si="223"/>
        <v>0</v>
      </c>
      <c r="AO209" s="137">
        <f t="shared" si="223"/>
        <v>9.437873124778412E-2</v>
      </c>
      <c r="AP209" s="137">
        <f t="shared" si="224"/>
        <v>0.18747585257563393</v>
      </c>
      <c r="AQ209" s="137">
        <f t="shared" si="224"/>
        <v>0.27936055327542947</v>
      </c>
      <c r="AR209" s="137">
        <f t="shared" si="224"/>
        <v>0.3700960936739045</v>
      </c>
      <c r="AS209" s="137">
        <f t="shared" si="224"/>
        <v>0.45974048898743425</v>
      </c>
      <c r="AT209" s="137">
        <f t="shared" si="224"/>
        <v>0.56030452311014289</v>
      </c>
      <c r="AU209" s="137">
        <f t="shared" si="224"/>
        <v>0.65944177362355616</v>
      </c>
      <c r="AV209" s="137">
        <f t="shared" si="224"/>
        <v>0.75723040159626875</v>
      </c>
      <c r="AW209" s="137">
        <f t="shared" si="224"/>
        <v>0.8537417750354509</v>
      </c>
      <c r="AX209" s="137">
        <f t="shared" si="224"/>
        <v>0.94904126318812954</v>
      </c>
      <c r="AY209" s="137">
        <f t="shared" si="225"/>
        <v>1.039651975483403</v>
      </c>
      <c r="AZ209" s="137">
        <f t="shared" si="225"/>
        <v>1.1292826246347363</v>
      </c>
      <c r="BA209" s="137">
        <f t="shared" si="225"/>
        <v>1.217976481008918</v>
      </c>
      <c r="BB209" s="137">
        <f t="shared" si="225"/>
        <v>1.3057737639599318</v>
      </c>
      <c r="BC209" s="137">
        <f t="shared" si="225"/>
        <v>1.3927119330647315</v>
      </c>
      <c r="BD209" s="137">
        <f t="shared" si="225"/>
        <v>1.4788259446738488</v>
      </c>
      <c r="BE209" s="137">
        <f t="shared" si="225"/>
        <v>1.5641484786859563</v>
      </c>
      <c r="BF209" s="137">
        <f t="shared" si="225"/>
        <v>1.6487101396559782</v>
      </c>
      <c r="BG209" s="137">
        <f t="shared" si="225"/>
        <v>1.73253963569336</v>
      </c>
      <c r="BH209" s="137">
        <f t="shared" si="225"/>
        <v>1.8156639380707704</v>
      </c>
      <c r="BI209" s="137">
        <f t="shared" si="225"/>
        <v>1.8661801047345121</v>
      </c>
      <c r="BJ209" s="137">
        <f t="shared" si="225"/>
        <v>1.9165963403283146</v>
      </c>
      <c r="BK209" s="137">
        <f t="shared" si="225"/>
        <v>1.9669140142425963</v>
      </c>
      <c r="BL209" s="137">
        <f t="shared" si="225"/>
        <v>2.0171344653178669</v>
      </c>
      <c r="BM209" s="137">
        <f t="shared" si="225"/>
        <v>2.0672590027846267</v>
      </c>
      <c r="BN209" s="137">
        <f t="shared" si="225"/>
        <v>2.117288907166532</v>
      </c>
      <c r="BO209" s="137">
        <f t="shared" si="225"/>
        <v>2.1672254311485779</v>
      </c>
      <c r="BP209" s="137">
        <f t="shared" si="225"/>
        <v>2.2170698004119211</v>
      </c>
      <c r="BQ209" s="137">
        <f t="shared" si="225"/>
        <v>2.2668232144368869</v>
      </c>
      <c r="BR209" s="137">
        <f t="shared" si="225"/>
        <v>2.3164868472756592</v>
      </c>
    </row>
    <row r="210" spans="1:70">
      <c r="A210" t="s">
        <v>16</v>
      </c>
      <c r="B210" s="70" t="str">
        <f t="shared" si="221"/>
        <v>CNK</v>
      </c>
      <c r="C210" s="70" t="str">
        <f t="shared" si="221"/>
        <v>Commercial - Cooking</v>
      </c>
      <c r="E210" s="89"/>
      <c r="F210" s="89"/>
      <c r="I210" s="135"/>
      <c r="J210" s="90"/>
      <c r="K210" s="90"/>
      <c r="L210" s="137">
        <f t="shared" si="222"/>
        <v>0</v>
      </c>
      <c r="M210" s="137">
        <f t="shared" si="222"/>
        <v>0</v>
      </c>
      <c r="N210" s="137">
        <f t="shared" si="222"/>
        <v>0</v>
      </c>
      <c r="O210" s="137">
        <f t="shared" si="222"/>
        <v>0</v>
      </c>
      <c r="P210" s="137">
        <f t="shared" si="222"/>
        <v>0</v>
      </c>
      <c r="Q210" s="137">
        <f t="shared" si="222"/>
        <v>0</v>
      </c>
      <c r="R210" s="137">
        <f t="shared" si="222"/>
        <v>0</v>
      </c>
      <c r="S210" s="137">
        <f t="shared" si="222"/>
        <v>0</v>
      </c>
      <c r="T210" s="137">
        <f t="shared" si="222"/>
        <v>0</v>
      </c>
      <c r="U210" s="137">
        <f t="shared" si="222"/>
        <v>0</v>
      </c>
      <c r="V210" s="137">
        <f t="shared" si="222"/>
        <v>0</v>
      </c>
      <c r="W210" s="137">
        <f t="shared" si="222"/>
        <v>0</v>
      </c>
      <c r="X210" s="137">
        <f t="shared" si="222"/>
        <v>0</v>
      </c>
      <c r="Y210" s="137">
        <f t="shared" si="222"/>
        <v>0</v>
      </c>
      <c r="Z210" s="137">
        <f t="shared" si="222"/>
        <v>0</v>
      </c>
      <c r="AA210" s="137">
        <f t="shared" si="222"/>
        <v>0</v>
      </c>
      <c r="AB210" s="137">
        <f t="shared" si="223"/>
        <v>0</v>
      </c>
      <c r="AC210" s="137">
        <f t="shared" si="223"/>
        <v>0</v>
      </c>
      <c r="AD210" s="137">
        <f t="shared" si="223"/>
        <v>0</v>
      </c>
      <c r="AE210" s="137">
        <f t="shared" si="223"/>
        <v>0</v>
      </c>
      <c r="AF210" s="137">
        <f t="shared" si="223"/>
        <v>0</v>
      </c>
      <c r="AG210" s="137">
        <f t="shared" si="223"/>
        <v>0</v>
      </c>
      <c r="AH210" s="137">
        <f t="shared" si="223"/>
        <v>0</v>
      </c>
      <c r="AI210" s="137">
        <f t="shared" si="223"/>
        <v>0</v>
      </c>
      <c r="AJ210" s="137">
        <f t="shared" si="223"/>
        <v>0</v>
      </c>
      <c r="AK210" s="137">
        <f t="shared" si="223"/>
        <v>0</v>
      </c>
      <c r="AL210" s="137">
        <f t="shared" si="223"/>
        <v>0</v>
      </c>
      <c r="AM210" s="137">
        <f t="shared" si="223"/>
        <v>0</v>
      </c>
      <c r="AN210" s="137">
        <f t="shared" si="223"/>
        <v>0</v>
      </c>
      <c r="AO210" s="137">
        <f t="shared" si="223"/>
        <v>9.5084794391073091E-2</v>
      </c>
      <c r="AP210" s="137">
        <f t="shared" si="224"/>
        <v>0.1888783909231013</v>
      </c>
      <c r="AQ210" s="137">
        <f t="shared" si="224"/>
        <v>0.28145049650468035</v>
      </c>
      <c r="AR210" s="137">
        <f t="shared" si="224"/>
        <v>0.37286484472367559</v>
      </c>
      <c r="AS210" s="137">
        <f t="shared" si="224"/>
        <v>0.46317988481804206</v>
      </c>
      <c r="AT210" s="137">
        <f t="shared" si="224"/>
        <v>0.56449625537392523</v>
      </c>
      <c r="AU210" s="137">
        <f t="shared" si="224"/>
        <v>0.66437516831264443</v>
      </c>
      <c r="AV210" s="137">
        <f t="shared" si="224"/>
        <v>0.76289536943887881</v>
      </c>
      <c r="AW210" s="137">
        <f t="shared" si="224"/>
        <v>0.86012876067584976</v>
      </c>
      <c r="AX210" s="137">
        <f t="shared" si="224"/>
        <v>0.95614120030890193</v>
      </c>
      <c r="AY210" s="137">
        <f t="shared" si="225"/>
        <v>1.0474297865646853</v>
      </c>
      <c r="AZ210" s="137">
        <f t="shared" si="225"/>
        <v>1.137730977659507</v>
      </c>
      <c r="BA210" s="137">
        <f t="shared" si="225"/>
        <v>1.2270883676730375</v>
      </c>
      <c r="BB210" s="137">
        <f t="shared" si="225"/>
        <v>1.315542476847005</v>
      </c>
      <c r="BC210" s="137">
        <f t="shared" si="225"/>
        <v>1.4031310449997507</v>
      </c>
      <c r="BD210" s="137">
        <f t="shared" si="225"/>
        <v>1.4898892899961371</v>
      </c>
      <c r="BE210" s="137">
        <f t="shared" si="225"/>
        <v>1.5758501362186499</v>
      </c>
      <c r="BF210" s="137">
        <f t="shared" si="225"/>
        <v>1.6610444171800285</v>
      </c>
      <c r="BG210" s="137">
        <f t="shared" si="225"/>
        <v>1.7455010557599082</v>
      </c>
      <c r="BH210" s="137">
        <f t="shared" si="225"/>
        <v>1.8292472250075802</v>
      </c>
      <c r="BI210" s="137">
        <f t="shared" si="225"/>
        <v>1.8801413116004195</v>
      </c>
      <c r="BJ210" s="137">
        <f t="shared" si="225"/>
        <v>1.9309347195221982</v>
      </c>
      <c r="BK210" s="137">
        <f t="shared" si="225"/>
        <v>1.9816288284079739</v>
      </c>
      <c r="BL210" s="137">
        <f t="shared" si="225"/>
        <v>2.0322249871143478</v>
      </c>
      <c r="BM210" s="137">
        <f t="shared" si="225"/>
        <v>2.0827245146663924</v>
      </c>
      <c r="BN210" s="137">
        <f t="shared" si="225"/>
        <v>2.1331287011675766</v>
      </c>
      <c r="BO210" s="137">
        <f t="shared" si="225"/>
        <v>2.1834388086744445</v>
      </c>
      <c r="BP210" s="137">
        <f t="shared" si="225"/>
        <v>2.2336560720376766</v>
      </c>
      <c r="BQ210" s="137">
        <f t="shared" si="225"/>
        <v>2.2837816997111138</v>
      </c>
      <c r="BR210" s="137">
        <f t="shared" si="225"/>
        <v>2.3338168745302204</v>
      </c>
    </row>
    <row r="211" spans="1:70">
      <c r="A211" t="s">
        <v>16</v>
      </c>
      <c r="B211" s="70" t="str">
        <f t="shared" si="221"/>
        <v>CNL</v>
      </c>
      <c r="C211" s="70" t="str">
        <f t="shared" si="221"/>
        <v>Commercial - Lighting</v>
      </c>
      <c r="E211" s="89"/>
      <c r="F211" s="89"/>
      <c r="I211" s="135"/>
      <c r="J211" s="90"/>
      <c r="K211" s="90"/>
      <c r="L211" s="137">
        <f t="shared" si="222"/>
        <v>0</v>
      </c>
      <c r="M211" s="137">
        <f t="shared" si="222"/>
        <v>0</v>
      </c>
      <c r="N211" s="137">
        <f t="shared" si="222"/>
        <v>0</v>
      </c>
      <c r="O211" s="137">
        <f t="shared" si="222"/>
        <v>0</v>
      </c>
      <c r="P211" s="137">
        <f t="shared" si="222"/>
        <v>0</v>
      </c>
      <c r="Q211" s="137">
        <f t="shared" si="222"/>
        <v>0</v>
      </c>
      <c r="R211" s="137">
        <f t="shared" si="222"/>
        <v>0</v>
      </c>
      <c r="S211" s="137">
        <f t="shared" si="222"/>
        <v>0</v>
      </c>
      <c r="T211" s="137">
        <f t="shared" si="222"/>
        <v>0</v>
      </c>
      <c r="U211" s="137">
        <f t="shared" si="222"/>
        <v>0</v>
      </c>
      <c r="V211" s="137">
        <f t="shared" si="222"/>
        <v>0</v>
      </c>
      <c r="W211" s="137">
        <f t="shared" si="222"/>
        <v>0</v>
      </c>
      <c r="X211" s="137">
        <f t="shared" si="222"/>
        <v>0</v>
      </c>
      <c r="Y211" s="137">
        <f t="shared" si="222"/>
        <v>0</v>
      </c>
      <c r="Z211" s="137">
        <f t="shared" si="222"/>
        <v>0</v>
      </c>
      <c r="AA211" s="137">
        <f t="shared" si="222"/>
        <v>0</v>
      </c>
      <c r="AB211" s="137">
        <f t="shared" si="223"/>
        <v>0</v>
      </c>
      <c r="AC211" s="137">
        <f t="shared" si="223"/>
        <v>0</v>
      </c>
      <c r="AD211" s="137">
        <f t="shared" si="223"/>
        <v>0</v>
      </c>
      <c r="AE211" s="137">
        <f t="shared" si="223"/>
        <v>0</v>
      </c>
      <c r="AF211" s="137">
        <f t="shared" si="223"/>
        <v>0</v>
      </c>
      <c r="AG211" s="137">
        <f t="shared" si="223"/>
        <v>0</v>
      </c>
      <c r="AH211" s="137">
        <f t="shared" si="223"/>
        <v>0</v>
      </c>
      <c r="AI211" s="137">
        <f t="shared" si="223"/>
        <v>0</v>
      </c>
      <c r="AJ211" s="137">
        <f t="shared" si="223"/>
        <v>0</v>
      </c>
      <c r="AK211" s="137">
        <f t="shared" si="223"/>
        <v>0</v>
      </c>
      <c r="AL211" s="137">
        <f t="shared" si="223"/>
        <v>0</v>
      </c>
      <c r="AM211" s="137">
        <f t="shared" si="223"/>
        <v>0</v>
      </c>
      <c r="AN211" s="137">
        <f t="shared" si="223"/>
        <v>0</v>
      </c>
      <c r="AO211" s="137">
        <f t="shared" si="223"/>
        <v>1.1743865976722272</v>
      </c>
      <c r="AP211" s="137">
        <f t="shared" si="224"/>
        <v>2.3328256879610052</v>
      </c>
      <c r="AQ211" s="137">
        <f t="shared" si="224"/>
        <v>3.4761782167172903</v>
      </c>
      <c r="AR211" s="137">
        <f t="shared" si="224"/>
        <v>4.6052313536656415</v>
      </c>
      <c r="AS211" s="137">
        <f t="shared" si="224"/>
        <v>5.7207070018415349</v>
      </c>
      <c r="AT211" s="137">
        <f t="shared" si="224"/>
        <v>6.9720594233049704</v>
      </c>
      <c r="AU211" s="137">
        <f t="shared" si="224"/>
        <v>8.2056578918768839</v>
      </c>
      <c r="AV211" s="137">
        <f t="shared" si="224"/>
        <v>9.4224749922721127</v>
      </c>
      <c r="AW211" s="137">
        <f t="shared" si="224"/>
        <v>10.623398780835716</v>
      </c>
      <c r="AX211" s="137">
        <f t="shared" si="224"/>
        <v>11.809242669303504</v>
      </c>
      <c r="AY211" s="137">
        <f t="shared" si="225"/>
        <v>12.936742527780378</v>
      </c>
      <c r="AZ211" s="137">
        <f t="shared" si="225"/>
        <v>14.052047127792777</v>
      </c>
      <c r="BA211" s="137">
        <f t="shared" si="225"/>
        <v>15.155694897206395</v>
      </c>
      <c r="BB211" s="137">
        <f t="shared" si="225"/>
        <v>16.248186299098684</v>
      </c>
      <c r="BC211" s="137">
        <f t="shared" si="225"/>
        <v>17.329987455704458</v>
      </c>
      <c r="BD211" s="137">
        <f t="shared" si="225"/>
        <v>18.401533340762242</v>
      </c>
      <c r="BE211" s="137">
        <f t="shared" si="225"/>
        <v>19.463230601347156</v>
      </c>
      <c r="BF211" s="137">
        <f t="shared" si="225"/>
        <v>20.515460060327385</v>
      </c>
      <c r="BG211" s="137">
        <f t="shared" si="225"/>
        <v>21.558578942456137</v>
      </c>
      <c r="BH211" s="137">
        <f t="shared" si="225"/>
        <v>22.592922860436875</v>
      </c>
      <c r="BI211" s="137">
        <f t="shared" si="225"/>
        <v>23.221512674172768</v>
      </c>
      <c r="BJ211" s="137">
        <f t="shared" si="225"/>
        <v>23.848859011675454</v>
      </c>
      <c r="BK211" s="137">
        <f t="shared" si="225"/>
        <v>24.474978912734848</v>
      </c>
      <c r="BL211" s="137">
        <f t="shared" si="225"/>
        <v>25.099889036998004</v>
      </c>
      <c r="BM211" s="137">
        <f t="shared" si="225"/>
        <v>25.723605675664558</v>
      </c>
      <c r="BN211" s="137">
        <f t="shared" si="225"/>
        <v>26.346144762725146</v>
      </c>
      <c r="BO211" s="137">
        <f t="shared" si="225"/>
        <v>26.967521885764505</v>
      </c>
      <c r="BP211" s="137">
        <f t="shared" si="225"/>
        <v>27.587752296349411</v>
      </c>
      <c r="BQ211" s="137">
        <f t="shared" si="225"/>
        <v>28.206850920020823</v>
      </c>
      <c r="BR211" s="137">
        <f t="shared" si="225"/>
        <v>28.824832365908698</v>
      </c>
    </row>
    <row r="212" spans="1:70">
      <c r="A212" t="s">
        <v>16</v>
      </c>
      <c r="B212" s="70" t="str">
        <f t="shared" si="221"/>
        <v>CNR</v>
      </c>
      <c r="C212" s="70" t="str">
        <f t="shared" si="221"/>
        <v>Commercial - Refrigeration</v>
      </c>
      <c r="E212" s="89"/>
      <c r="F212" s="89"/>
      <c r="I212" s="135"/>
      <c r="J212" s="90"/>
      <c r="K212" s="90"/>
      <c r="L212" s="137">
        <f t="shared" si="222"/>
        <v>0</v>
      </c>
      <c r="M212" s="137">
        <f t="shared" si="222"/>
        <v>0</v>
      </c>
      <c r="N212" s="137">
        <f t="shared" si="222"/>
        <v>0</v>
      </c>
      <c r="O212" s="137">
        <f t="shared" si="222"/>
        <v>0</v>
      </c>
      <c r="P212" s="137">
        <f t="shared" si="222"/>
        <v>0</v>
      </c>
      <c r="Q212" s="137">
        <f t="shared" si="222"/>
        <v>0</v>
      </c>
      <c r="R212" s="137">
        <f t="shared" si="222"/>
        <v>0</v>
      </c>
      <c r="S212" s="137">
        <f t="shared" si="222"/>
        <v>0</v>
      </c>
      <c r="T212" s="137">
        <f t="shared" si="222"/>
        <v>0</v>
      </c>
      <c r="U212" s="137">
        <f t="shared" si="222"/>
        <v>0</v>
      </c>
      <c r="V212" s="137">
        <f t="shared" si="222"/>
        <v>0</v>
      </c>
      <c r="W212" s="137">
        <f t="shared" si="222"/>
        <v>0</v>
      </c>
      <c r="X212" s="137">
        <f t="shared" si="222"/>
        <v>0</v>
      </c>
      <c r="Y212" s="137">
        <f t="shared" si="222"/>
        <v>0</v>
      </c>
      <c r="Z212" s="137">
        <f t="shared" si="222"/>
        <v>0</v>
      </c>
      <c r="AA212" s="137">
        <f t="shared" si="222"/>
        <v>0</v>
      </c>
      <c r="AB212" s="137">
        <f t="shared" si="223"/>
        <v>0</v>
      </c>
      <c r="AC212" s="137">
        <f t="shared" si="223"/>
        <v>0</v>
      </c>
      <c r="AD212" s="137">
        <f t="shared" si="223"/>
        <v>0</v>
      </c>
      <c r="AE212" s="137">
        <f t="shared" si="223"/>
        <v>0</v>
      </c>
      <c r="AF212" s="137">
        <f t="shared" si="223"/>
        <v>0</v>
      </c>
      <c r="AG212" s="137">
        <f t="shared" si="223"/>
        <v>0</v>
      </c>
      <c r="AH212" s="137">
        <f t="shared" si="223"/>
        <v>0</v>
      </c>
      <c r="AI212" s="137">
        <f t="shared" si="223"/>
        <v>0</v>
      </c>
      <c r="AJ212" s="137">
        <f t="shared" si="223"/>
        <v>0</v>
      </c>
      <c r="AK212" s="137">
        <f t="shared" si="223"/>
        <v>0</v>
      </c>
      <c r="AL212" s="137">
        <f t="shared" si="223"/>
        <v>0</v>
      </c>
      <c r="AM212" s="137">
        <f t="shared" si="223"/>
        <v>0</v>
      </c>
      <c r="AN212" s="137">
        <f t="shared" si="223"/>
        <v>0</v>
      </c>
      <c r="AO212" s="137">
        <f t="shared" si="223"/>
        <v>0.2856861520222459</v>
      </c>
      <c r="AP212" s="137">
        <f t="shared" si="224"/>
        <v>0.56749284729000027</v>
      </c>
      <c r="AQ212" s="137">
        <f t="shared" si="224"/>
        <v>0.84562952305990957</v>
      </c>
      <c r="AR212" s="137">
        <f t="shared" si="224"/>
        <v>1.1202876695022836</v>
      </c>
      <c r="AS212" s="137">
        <f t="shared" si="224"/>
        <v>1.3916428997420918</v>
      </c>
      <c r="AT212" s="137">
        <f t="shared" si="224"/>
        <v>1.696052077111966</v>
      </c>
      <c r="AU212" s="137">
        <f t="shared" si="224"/>
        <v>1.9961423543046617</v>
      </c>
      <c r="AV212" s="137">
        <f t="shared" si="224"/>
        <v>2.2921503263096379</v>
      </c>
      <c r="AW212" s="137">
        <f t="shared" si="224"/>
        <v>2.5842920253947197</v>
      </c>
      <c r="AX212" s="137">
        <f t="shared" si="224"/>
        <v>2.8727653254706573</v>
      </c>
      <c r="AY212" s="137">
        <f t="shared" si="225"/>
        <v>3.1470456149531385</v>
      </c>
      <c r="AZ212" s="137">
        <f t="shared" si="225"/>
        <v>3.4183592353076362</v>
      </c>
      <c r="BA212" s="137">
        <f t="shared" si="225"/>
        <v>3.6868371667287434</v>
      </c>
      <c r="BB212" s="137">
        <f t="shared" si="225"/>
        <v>3.952601153939288</v>
      </c>
      <c r="BC212" s="137">
        <f t="shared" si="225"/>
        <v>4.2157645877663619</v>
      </c>
      <c r="BD212" s="137">
        <f t="shared" si="225"/>
        <v>4.4764332817247299</v>
      </c>
      <c r="BE212" s="137">
        <f t="shared" si="225"/>
        <v>4.7347061584675885</v>
      </c>
      <c r="BF212" s="137">
        <f t="shared" si="225"/>
        <v>4.9906758585445061</v>
      </c>
      <c r="BG212" s="137">
        <f t="shared" si="225"/>
        <v>5.2444292819297758</v>
      </c>
      <c r="BH212" s="137">
        <f t="shared" si="225"/>
        <v>5.4960480711608897</v>
      </c>
      <c r="BI212" s="137">
        <f t="shared" si="225"/>
        <v>5.648961434990599</v>
      </c>
      <c r="BJ212" s="137">
        <f t="shared" si="225"/>
        <v>5.8015723056371424</v>
      </c>
      <c r="BK212" s="137">
        <f t="shared" si="225"/>
        <v>5.9538848282704526</v>
      </c>
      <c r="BL212" s="137">
        <f t="shared" si="225"/>
        <v>6.1059030555853324</v>
      </c>
      <c r="BM212" s="137">
        <f t="shared" si="225"/>
        <v>6.2576309506465373</v>
      </c>
      <c r="BN212" s="137">
        <f t="shared" si="225"/>
        <v>6.4090723896226836</v>
      </c>
      <c r="BO212" s="137">
        <f t="shared" si="225"/>
        <v>6.5602311644142484</v>
      </c>
      <c r="BP212" s="137">
        <f t="shared" si="225"/>
        <v>6.7111109851805892</v>
      </c>
      <c r="BQ212" s="137">
        <f t="shared" si="225"/>
        <v>6.8617154827706734</v>
      </c>
      <c r="BR212" s="137">
        <f t="shared" si="225"/>
        <v>7.0120482110620133</v>
      </c>
    </row>
    <row r="213" spans="1:70">
      <c r="A213" t="s">
        <v>16</v>
      </c>
      <c r="B213" s="70" t="str">
        <f t="shared" si="221"/>
        <v>CNW</v>
      </c>
      <c r="C213" s="70" t="str">
        <f t="shared" si="221"/>
        <v>Commercial - Water Heating</v>
      </c>
      <c r="E213" s="89"/>
      <c r="F213" s="89"/>
      <c r="I213" s="132"/>
      <c r="L213" s="137">
        <f t="shared" si="222"/>
        <v>0</v>
      </c>
      <c r="M213" s="137">
        <f t="shared" si="222"/>
        <v>0</v>
      </c>
      <c r="N213" s="137">
        <f t="shared" si="222"/>
        <v>0</v>
      </c>
      <c r="O213" s="137">
        <f t="shared" si="222"/>
        <v>0</v>
      </c>
      <c r="P213" s="137">
        <f t="shared" si="222"/>
        <v>0</v>
      </c>
      <c r="Q213" s="137">
        <f t="shared" si="222"/>
        <v>0</v>
      </c>
      <c r="R213" s="137">
        <f t="shared" si="222"/>
        <v>0</v>
      </c>
      <c r="S213" s="137">
        <f t="shared" si="222"/>
        <v>0</v>
      </c>
      <c r="T213" s="137">
        <f t="shared" si="222"/>
        <v>0</v>
      </c>
      <c r="U213" s="137">
        <f t="shared" si="222"/>
        <v>0</v>
      </c>
      <c r="V213" s="137">
        <f t="shared" si="222"/>
        <v>0</v>
      </c>
      <c r="W213" s="137">
        <f t="shared" si="222"/>
        <v>0</v>
      </c>
      <c r="X213" s="137">
        <f t="shared" si="222"/>
        <v>0</v>
      </c>
      <c r="Y213" s="137">
        <f t="shared" si="222"/>
        <v>0</v>
      </c>
      <c r="Z213" s="137">
        <f t="shared" si="222"/>
        <v>0</v>
      </c>
      <c r="AA213" s="137">
        <f t="shared" si="222"/>
        <v>0</v>
      </c>
      <c r="AB213" s="137">
        <f t="shared" si="223"/>
        <v>0</v>
      </c>
      <c r="AC213" s="137">
        <f t="shared" si="223"/>
        <v>0</v>
      </c>
      <c r="AD213" s="137">
        <f t="shared" si="223"/>
        <v>0</v>
      </c>
      <c r="AE213" s="137">
        <f t="shared" si="223"/>
        <v>0</v>
      </c>
      <c r="AF213" s="137">
        <f t="shared" si="223"/>
        <v>0</v>
      </c>
      <c r="AG213" s="137">
        <f t="shared" si="223"/>
        <v>0</v>
      </c>
      <c r="AH213" s="137">
        <f t="shared" si="223"/>
        <v>0</v>
      </c>
      <c r="AI213" s="137">
        <f t="shared" si="223"/>
        <v>0</v>
      </c>
      <c r="AJ213" s="137">
        <f t="shared" si="223"/>
        <v>0</v>
      </c>
      <c r="AK213" s="137">
        <f t="shared" si="223"/>
        <v>0</v>
      </c>
      <c r="AL213" s="137">
        <f t="shared" si="223"/>
        <v>0</v>
      </c>
      <c r="AM213" s="137">
        <f t="shared" si="223"/>
        <v>0</v>
      </c>
      <c r="AN213" s="137">
        <f t="shared" si="223"/>
        <v>0</v>
      </c>
      <c r="AO213" s="137">
        <f t="shared" si="223"/>
        <v>0.11484837765537052</v>
      </c>
      <c r="AP213" s="137">
        <f t="shared" si="224"/>
        <v>0.22813717914198492</v>
      </c>
      <c r="AQ213" s="137">
        <f t="shared" si="224"/>
        <v>0.33995060010242589</v>
      </c>
      <c r="AR213" s="137">
        <f t="shared" si="224"/>
        <v>0.45036562129071767</v>
      </c>
      <c r="AS213" s="137">
        <f t="shared" si="224"/>
        <v>0.55945284074724466</v>
      </c>
      <c r="AT213" s="137">
        <f t="shared" si="224"/>
        <v>0.68182804135414599</v>
      </c>
      <c r="AU213" s="137">
        <f t="shared" si="224"/>
        <v>0.80246700562234674</v>
      </c>
      <c r="AV213" s="137">
        <f t="shared" si="224"/>
        <v>0.92146484684490848</v>
      </c>
      <c r="AW213" s="137">
        <f t="shared" si="224"/>
        <v>1.0389084119176475</v>
      </c>
      <c r="AX213" s="137">
        <f t="shared" si="224"/>
        <v>1.1548772479151044</v>
      </c>
      <c r="AY213" s="137">
        <f t="shared" si="225"/>
        <v>1.2651403672400319</v>
      </c>
      <c r="AZ213" s="137">
        <f t="shared" si="225"/>
        <v>1.3742108591520543</v>
      </c>
      <c r="BA213" s="137">
        <f t="shared" si="225"/>
        <v>1.4821413788560089</v>
      </c>
      <c r="BB213" s="137">
        <f t="shared" si="225"/>
        <v>1.5889808688148253</v>
      </c>
      <c r="BC213" s="137">
        <f t="shared" si="225"/>
        <v>1.694774913150942</v>
      </c>
      <c r="BD213" s="137">
        <f t="shared" si="225"/>
        <v>1.7995660498397499</v>
      </c>
      <c r="BE213" s="137">
        <f t="shared" si="225"/>
        <v>1.9033940466689172</v>
      </c>
      <c r="BF213" s="137">
        <f t="shared" si="225"/>
        <v>2.006296145964499</v>
      </c>
      <c r="BG213" s="137">
        <f t="shared" si="225"/>
        <v>2.1083072822901596</v>
      </c>
      <c r="BH213" s="137">
        <f t="shared" si="225"/>
        <v>2.2094602766731413</v>
      </c>
      <c r="BI213" s="137">
        <f t="shared" si="225"/>
        <v>2.2709328108976909</v>
      </c>
      <c r="BJ213" s="137">
        <f t="shared" si="225"/>
        <v>2.3322837401683696</v>
      </c>
      <c r="BK213" s="137">
        <f t="shared" si="225"/>
        <v>2.3935147308804097</v>
      </c>
      <c r="BL213" s="137">
        <f t="shared" si="225"/>
        <v>2.4546274122532186</v>
      </c>
      <c r="BM213" s="137">
        <f t="shared" si="225"/>
        <v>2.5156233774741259</v>
      </c>
      <c r="BN213" s="137">
        <f t="shared" si="225"/>
        <v>2.576504184797439</v>
      </c>
      <c r="BO213" s="137">
        <f t="shared" si="225"/>
        <v>2.6372713586009247</v>
      </c>
      <c r="BP213" s="137">
        <f t="shared" si="225"/>
        <v>2.6979263904016886</v>
      </c>
      <c r="BQ213" s="137">
        <f t="shared" si="225"/>
        <v>2.7584707398333563</v>
      </c>
      <c r="BR213" s="137">
        <f t="shared" si="225"/>
        <v>2.8189058355863406</v>
      </c>
    </row>
    <row r="214" spans="1:70">
      <c r="A214" t="s">
        <v>16</v>
      </c>
      <c r="B214" s="70" t="str">
        <f t="shared" si="221"/>
        <v>CNG</v>
      </c>
      <c r="C214" s="70" t="str">
        <f t="shared" si="221"/>
        <v>Commercial - Public lights</v>
      </c>
      <c r="E214" s="89"/>
      <c r="F214" s="89"/>
      <c r="I214" s="132"/>
      <c r="L214" s="137">
        <f t="shared" si="222"/>
        <v>0</v>
      </c>
      <c r="M214" s="137">
        <f t="shared" si="222"/>
        <v>0</v>
      </c>
      <c r="N214" s="137">
        <f t="shared" si="222"/>
        <v>0</v>
      </c>
      <c r="O214" s="137">
        <f t="shared" si="222"/>
        <v>0</v>
      </c>
      <c r="P214" s="137">
        <f t="shared" si="222"/>
        <v>0</v>
      </c>
      <c r="Q214" s="137">
        <f t="shared" si="222"/>
        <v>0</v>
      </c>
      <c r="R214" s="137">
        <f t="shared" si="222"/>
        <v>0</v>
      </c>
      <c r="S214" s="137">
        <f t="shared" si="222"/>
        <v>0</v>
      </c>
      <c r="T214" s="137">
        <f t="shared" si="222"/>
        <v>0</v>
      </c>
      <c r="U214" s="137">
        <f t="shared" si="222"/>
        <v>0</v>
      </c>
      <c r="V214" s="137">
        <f t="shared" si="222"/>
        <v>0</v>
      </c>
      <c r="W214" s="137">
        <f t="shared" si="222"/>
        <v>0</v>
      </c>
      <c r="X214" s="137">
        <f t="shared" si="222"/>
        <v>0</v>
      </c>
      <c r="Y214" s="137">
        <f t="shared" si="222"/>
        <v>0</v>
      </c>
      <c r="Z214" s="137">
        <f t="shared" si="222"/>
        <v>0</v>
      </c>
      <c r="AA214" s="137">
        <f t="shared" si="222"/>
        <v>0</v>
      </c>
      <c r="AB214" s="137">
        <f t="shared" si="223"/>
        <v>0</v>
      </c>
      <c r="AC214" s="137">
        <f t="shared" si="223"/>
        <v>0</v>
      </c>
      <c r="AD214" s="137">
        <f t="shared" si="223"/>
        <v>0</v>
      </c>
      <c r="AE214" s="137">
        <f t="shared" si="223"/>
        <v>0</v>
      </c>
      <c r="AF214" s="137">
        <f t="shared" si="223"/>
        <v>0</v>
      </c>
      <c r="AG214" s="137">
        <f t="shared" si="223"/>
        <v>0</v>
      </c>
      <c r="AH214" s="137">
        <f t="shared" si="223"/>
        <v>0</v>
      </c>
      <c r="AI214" s="137">
        <f t="shared" si="223"/>
        <v>0</v>
      </c>
      <c r="AJ214" s="137">
        <f t="shared" si="223"/>
        <v>0</v>
      </c>
      <c r="AK214" s="137">
        <f t="shared" si="223"/>
        <v>0</v>
      </c>
      <c r="AL214" s="137">
        <f t="shared" si="223"/>
        <v>0</v>
      </c>
      <c r="AM214" s="137">
        <f t="shared" si="223"/>
        <v>0</v>
      </c>
      <c r="AN214" s="137">
        <f t="shared" si="223"/>
        <v>0</v>
      </c>
      <c r="AO214" s="137">
        <f t="shared" si="223"/>
        <v>0</v>
      </c>
      <c r="AP214" s="137">
        <f t="shared" si="224"/>
        <v>0</v>
      </c>
      <c r="AQ214" s="137">
        <f t="shared" si="224"/>
        <v>0</v>
      </c>
      <c r="AR214" s="137">
        <f t="shared" si="224"/>
        <v>0</v>
      </c>
      <c r="AS214" s="137">
        <f t="shared" si="224"/>
        <v>0</v>
      </c>
      <c r="AT214" s="137">
        <f t="shared" si="224"/>
        <v>0</v>
      </c>
      <c r="AU214" s="137">
        <f t="shared" si="224"/>
        <v>0</v>
      </c>
      <c r="AV214" s="137">
        <f t="shared" si="224"/>
        <v>0</v>
      </c>
      <c r="AW214" s="137">
        <f t="shared" si="224"/>
        <v>0</v>
      </c>
      <c r="AX214" s="137">
        <f t="shared" si="224"/>
        <v>0</v>
      </c>
      <c r="AY214" s="137">
        <f t="shared" si="225"/>
        <v>0</v>
      </c>
      <c r="AZ214" s="137">
        <f t="shared" si="225"/>
        <v>0</v>
      </c>
      <c r="BA214" s="137">
        <f t="shared" si="225"/>
        <v>0</v>
      </c>
      <c r="BB214" s="137">
        <f t="shared" si="225"/>
        <v>0</v>
      </c>
      <c r="BC214" s="137">
        <f t="shared" si="225"/>
        <v>0</v>
      </c>
      <c r="BD214" s="137">
        <f t="shared" si="225"/>
        <v>0</v>
      </c>
      <c r="BE214" s="137">
        <f t="shared" si="225"/>
        <v>0</v>
      </c>
      <c r="BF214" s="137">
        <f t="shared" si="225"/>
        <v>0</v>
      </c>
      <c r="BG214" s="137">
        <f t="shared" si="225"/>
        <v>0</v>
      </c>
      <c r="BH214" s="137">
        <f t="shared" si="225"/>
        <v>0</v>
      </c>
      <c r="BI214" s="137">
        <f t="shared" si="225"/>
        <v>0</v>
      </c>
      <c r="BJ214" s="137">
        <f t="shared" si="225"/>
        <v>0</v>
      </c>
      <c r="BK214" s="137">
        <f t="shared" si="225"/>
        <v>0</v>
      </c>
      <c r="BL214" s="137">
        <f t="shared" si="225"/>
        <v>0</v>
      </c>
      <c r="BM214" s="137">
        <f t="shared" si="225"/>
        <v>0</v>
      </c>
      <c r="BN214" s="137">
        <f t="shared" si="225"/>
        <v>0</v>
      </c>
      <c r="BO214" s="137">
        <f t="shared" si="225"/>
        <v>0</v>
      </c>
      <c r="BP214" s="137">
        <f t="shared" si="225"/>
        <v>0</v>
      </c>
      <c r="BQ214" s="137">
        <f t="shared" si="225"/>
        <v>0</v>
      </c>
      <c r="BR214" s="137">
        <f t="shared" si="225"/>
        <v>0</v>
      </c>
    </row>
    <row r="215" spans="1:70">
      <c r="A215" t="s">
        <v>16</v>
      </c>
      <c r="B215" s="70" t="str">
        <f t="shared" si="221"/>
        <v>CNT</v>
      </c>
      <c r="C215" s="70" t="str">
        <f t="shared" si="221"/>
        <v>Commercial - Public Water</v>
      </c>
      <c r="E215" s="89"/>
      <c r="F215" s="89"/>
      <c r="I215" s="132"/>
      <c r="L215" s="137">
        <f t="shared" si="222"/>
        <v>0</v>
      </c>
      <c r="M215" s="137">
        <f t="shared" si="222"/>
        <v>0</v>
      </c>
      <c r="N215" s="137">
        <f t="shared" si="222"/>
        <v>0</v>
      </c>
      <c r="O215" s="137">
        <f t="shared" si="222"/>
        <v>0</v>
      </c>
      <c r="P215" s="137">
        <f t="shared" si="222"/>
        <v>0</v>
      </c>
      <c r="Q215" s="137">
        <f t="shared" si="222"/>
        <v>0</v>
      </c>
      <c r="R215" s="137">
        <f t="shared" si="222"/>
        <v>0</v>
      </c>
      <c r="S215" s="137">
        <f t="shared" si="222"/>
        <v>0</v>
      </c>
      <c r="T215" s="137">
        <f t="shared" si="222"/>
        <v>0</v>
      </c>
      <c r="U215" s="137">
        <f t="shared" si="222"/>
        <v>0</v>
      </c>
      <c r="V215" s="137">
        <f t="shared" si="222"/>
        <v>0</v>
      </c>
      <c r="W215" s="137">
        <f t="shared" si="222"/>
        <v>0</v>
      </c>
      <c r="X215" s="137">
        <f t="shared" si="222"/>
        <v>0</v>
      </c>
      <c r="Y215" s="137">
        <f t="shared" si="222"/>
        <v>0</v>
      </c>
      <c r="Z215" s="137">
        <f t="shared" si="222"/>
        <v>0</v>
      </c>
      <c r="AA215" s="137">
        <f t="shared" si="222"/>
        <v>0</v>
      </c>
      <c r="AB215" s="137">
        <f t="shared" si="223"/>
        <v>0</v>
      </c>
      <c r="AC215" s="137">
        <f t="shared" si="223"/>
        <v>0</v>
      </c>
      <c r="AD215" s="137">
        <f t="shared" si="223"/>
        <v>0</v>
      </c>
      <c r="AE215" s="137">
        <f t="shared" si="223"/>
        <v>0</v>
      </c>
      <c r="AF215" s="137">
        <f t="shared" si="223"/>
        <v>0</v>
      </c>
      <c r="AG215" s="137">
        <f t="shared" si="223"/>
        <v>0</v>
      </c>
      <c r="AH215" s="137">
        <f t="shared" si="223"/>
        <v>0</v>
      </c>
      <c r="AI215" s="137">
        <f t="shared" si="223"/>
        <v>0</v>
      </c>
      <c r="AJ215" s="137">
        <f t="shared" si="223"/>
        <v>0</v>
      </c>
      <c r="AK215" s="137">
        <f t="shared" si="223"/>
        <v>0</v>
      </c>
      <c r="AL215" s="137">
        <f t="shared" si="223"/>
        <v>0</v>
      </c>
      <c r="AM215" s="137">
        <f t="shared" si="223"/>
        <v>0</v>
      </c>
      <c r="AN215" s="137">
        <f t="shared" si="223"/>
        <v>0</v>
      </c>
      <c r="AO215" s="137">
        <f t="shared" si="223"/>
        <v>0</v>
      </c>
      <c r="AP215" s="137">
        <f t="shared" si="224"/>
        <v>0</v>
      </c>
      <c r="AQ215" s="137">
        <f t="shared" si="224"/>
        <v>0</v>
      </c>
      <c r="AR215" s="137">
        <f t="shared" si="224"/>
        <v>0</v>
      </c>
      <c r="AS215" s="137">
        <f t="shared" si="224"/>
        <v>0</v>
      </c>
      <c r="AT215" s="137">
        <f t="shared" si="224"/>
        <v>0</v>
      </c>
      <c r="AU215" s="137">
        <f t="shared" si="224"/>
        <v>0</v>
      </c>
      <c r="AV215" s="137">
        <f t="shared" si="224"/>
        <v>0</v>
      </c>
      <c r="AW215" s="137">
        <f t="shared" si="224"/>
        <v>0</v>
      </c>
      <c r="AX215" s="137">
        <f t="shared" si="224"/>
        <v>0</v>
      </c>
      <c r="AY215" s="137">
        <f t="shared" ref="AY215:BR216" si="226">INDEX(AY$49:AY$52,MATCH($I$207,$B$49:$B$52,0),1)*INDEX(AY$81:AY$89,MATCH($B215,$B$81:$B$89,0))*INDEX(AY$138:AY$146,MATCH($B215,$B$138:$B$146,0))/1000</f>
        <v>0</v>
      </c>
      <c r="AZ215" s="137">
        <f t="shared" si="226"/>
        <v>0</v>
      </c>
      <c r="BA215" s="137">
        <f t="shared" si="226"/>
        <v>0</v>
      </c>
      <c r="BB215" s="137">
        <f t="shared" si="226"/>
        <v>0</v>
      </c>
      <c r="BC215" s="137">
        <f t="shared" si="226"/>
        <v>0</v>
      </c>
      <c r="BD215" s="137">
        <f t="shared" si="226"/>
        <v>0</v>
      </c>
      <c r="BE215" s="137">
        <f t="shared" si="226"/>
        <v>0</v>
      </c>
      <c r="BF215" s="137">
        <f t="shared" si="226"/>
        <v>0</v>
      </c>
      <c r="BG215" s="137">
        <f t="shared" si="226"/>
        <v>0</v>
      </c>
      <c r="BH215" s="137">
        <f t="shared" si="226"/>
        <v>0</v>
      </c>
      <c r="BI215" s="137">
        <f t="shared" si="226"/>
        <v>0</v>
      </c>
      <c r="BJ215" s="137">
        <f t="shared" si="226"/>
        <v>0</v>
      </c>
      <c r="BK215" s="137">
        <f t="shared" si="226"/>
        <v>0</v>
      </c>
      <c r="BL215" s="137">
        <f t="shared" si="226"/>
        <v>0</v>
      </c>
      <c r="BM215" s="137">
        <f t="shared" si="226"/>
        <v>0</v>
      </c>
      <c r="BN215" s="137">
        <f t="shared" si="226"/>
        <v>0</v>
      </c>
      <c r="BO215" s="137">
        <f t="shared" si="226"/>
        <v>0</v>
      </c>
      <c r="BP215" s="137">
        <f t="shared" si="226"/>
        <v>0</v>
      </c>
      <c r="BQ215" s="137">
        <f t="shared" si="226"/>
        <v>0</v>
      </c>
      <c r="BR215" s="137">
        <f t="shared" si="226"/>
        <v>0</v>
      </c>
    </row>
    <row r="216" spans="1:70">
      <c r="A216" t="s">
        <v>16</v>
      </c>
      <c r="B216" s="70" t="str">
        <f t="shared" si="221"/>
        <v>CNO</v>
      </c>
      <c r="C216" s="70" t="str">
        <f t="shared" si="221"/>
        <v>Commercial - Other</v>
      </c>
      <c r="E216" s="89"/>
      <c r="F216" s="89"/>
      <c r="I216" s="132"/>
      <c r="L216" s="137">
        <f t="shared" si="222"/>
        <v>0</v>
      </c>
      <c r="M216" s="137">
        <f t="shared" si="222"/>
        <v>0</v>
      </c>
      <c r="N216" s="137">
        <f t="shared" si="222"/>
        <v>0</v>
      </c>
      <c r="O216" s="137">
        <f t="shared" si="222"/>
        <v>0</v>
      </c>
      <c r="P216" s="137">
        <f t="shared" si="222"/>
        <v>0</v>
      </c>
      <c r="Q216" s="137">
        <f t="shared" si="222"/>
        <v>0</v>
      </c>
      <c r="R216" s="137">
        <f t="shared" si="222"/>
        <v>0</v>
      </c>
      <c r="S216" s="137">
        <f t="shared" si="222"/>
        <v>0</v>
      </c>
      <c r="T216" s="137">
        <f t="shared" si="222"/>
        <v>0</v>
      </c>
      <c r="U216" s="137">
        <f t="shared" si="222"/>
        <v>0</v>
      </c>
      <c r="V216" s="137">
        <f t="shared" si="222"/>
        <v>0</v>
      </c>
      <c r="W216" s="137">
        <f t="shared" si="222"/>
        <v>0</v>
      </c>
      <c r="X216" s="137">
        <f t="shared" si="222"/>
        <v>0</v>
      </c>
      <c r="Y216" s="137">
        <f t="shared" si="222"/>
        <v>0</v>
      </c>
      <c r="Z216" s="137">
        <f t="shared" si="222"/>
        <v>0</v>
      </c>
      <c r="AA216" s="137">
        <f t="shared" si="222"/>
        <v>0</v>
      </c>
      <c r="AB216" s="137">
        <f t="shared" si="223"/>
        <v>0</v>
      </c>
      <c r="AC216" s="137">
        <f t="shared" si="223"/>
        <v>0</v>
      </c>
      <c r="AD216" s="137">
        <f t="shared" si="223"/>
        <v>0</v>
      </c>
      <c r="AE216" s="137">
        <f t="shared" si="223"/>
        <v>0</v>
      </c>
      <c r="AF216" s="137">
        <f t="shared" si="223"/>
        <v>0</v>
      </c>
      <c r="AG216" s="137">
        <f t="shared" si="223"/>
        <v>0</v>
      </c>
      <c r="AH216" s="137">
        <f t="shared" si="223"/>
        <v>0</v>
      </c>
      <c r="AI216" s="137">
        <f t="shared" si="223"/>
        <v>0</v>
      </c>
      <c r="AJ216" s="137">
        <f t="shared" si="223"/>
        <v>0</v>
      </c>
      <c r="AK216" s="137">
        <f t="shared" si="223"/>
        <v>0</v>
      </c>
      <c r="AL216" s="137">
        <f t="shared" si="223"/>
        <v>0</v>
      </c>
      <c r="AM216" s="137">
        <f t="shared" si="223"/>
        <v>0</v>
      </c>
      <c r="AN216" s="137">
        <f t="shared" si="223"/>
        <v>0</v>
      </c>
      <c r="AO216" s="137">
        <f t="shared" si="223"/>
        <v>0.19271054807345406</v>
      </c>
      <c r="AP216" s="137">
        <f t="shared" si="224"/>
        <v>0.38280419563530355</v>
      </c>
      <c r="AQ216" s="137">
        <f t="shared" si="224"/>
        <v>0.57042221928656578</v>
      </c>
      <c r="AR216" s="137">
        <f t="shared" si="224"/>
        <v>0.75569378936122367</v>
      </c>
      <c r="AS216" s="137">
        <f t="shared" si="224"/>
        <v>0.93873736627929472</v>
      </c>
      <c r="AT216" s="137">
        <f t="shared" si="224"/>
        <v>1.1440775936381968</v>
      </c>
      <c r="AU216" s="137">
        <f t="shared" si="224"/>
        <v>1.3465044924569254</v>
      </c>
      <c r="AV216" s="137">
        <f t="shared" si="224"/>
        <v>1.5461776586758769</v>
      </c>
      <c r="AW216" s="137">
        <f t="shared" si="224"/>
        <v>1.7432428175828873</v>
      </c>
      <c r="AX216" s="137">
        <f t="shared" si="224"/>
        <v>1.9378334456853763</v>
      </c>
      <c r="AY216" s="137">
        <f t="shared" si="226"/>
        <v>2.1228501310856496</v>
      </c>
      <c r="AZ216" s="137">
        <f t="shared" si="226"/>
        <v>2.3058656399166022</v>
      </c>
      <c r="BA216" s="137">
        <f t="shared" si="226"/>
        <v>2.4869683253059871</v>
      </c>
      <c r="BB216" s="137">
        <f t="shared" si="226"/>
        <v>2.6662403105632295</v>
      </c>
      <c r="BC216" s="137">
        <f t="shared" si="226"/>
        <v>2.8437580838494849</v>
      </c>
      <c r="BD216" s="137">
        <f t="shared" si="226"/>
        <v>3.0195930220245661</v>
      </c>
      <c r="BE216" s="137">
        <f t="shared" si="226"/>
        <v>3.1938118536946023</v>
      </c>
      <c r="BF216" s="137">
        <f t="shared" si="226"/>
        <v>3.3664770698517339</v>
      </c>
      <c r="BG216" s="137">
        <f t="shared" si="226"/>
        <v>3.5376472891638802</v>
      </c>
      <c r="BH216" s="137">
        <f t="shared" si="226"/>
        <v>3.7073775838773981</v>
      </c>
      <c r="BI216" s="137">
        <f t="shared" si="226"/>
        <v>3.8105258041981505</v>
      </c>
      <c r="BJ216" s="137">
        <f t="shared" si="226"/>
        <v>3.9134699767318346</v>
      </c>
      <c r="BK216" s="137">
        <f t="shared" si="226"/>
        <v>4.0162128976166738</v>
      </c>
      <c r="BL216" s="137">
        <f t="shared" si="226"/>
        <v>4.1187573006114828</v>
      </c>
      <c r="BM216" s="137">
        <f t="shared" si="226"/>
        <v>4.2211058590148296</v>
      </c>
      <c r="BN216" s="137">
        <f t="shared" si="226"/>
        <v>4.3232611875092015</v>
      </c>
      <c r="BO216" s="137">
        <f t="shared" si="226"/>
        <v>4.4252258439337311</v>
      </c>
      <c r="BP216" s="137">
        <f t="shared" si="226"/>
        <v>4.5270023309888057</v>
      </c>
      <c r="BQ216" s="137">
        <f t="shared" si="226"/>
        <v>4.628593097875723</v>
      </c>
      <c r="BR216" s="137">
        <f t="shared" si="226"/>
        <v>4.7300005418744284</v>
      </c>
    </row>
    <row r="217" spans="1:70">
      <c r="A217" t="s">
        <v>16</v>
      </c>
      <c r="E217" s="89"/>
      <c r="F217" s="89"/>
      <c r="I217" s="132"/>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c r="AI217" s="137"/>
      <c r="AJ217" s="137"/>
      <c r="AK217" s="137"/>
      <c r="AL217" s="137"/>
      <c r="AM217" s="137"/>
      <c r="AN217" s="137"/>
      <c r="AO217" s="137"/>
      <c r="AP217" s="137"/>
      <c r="AQ217" s="137"/>
      <c r="AR217" s="137"/>
      <c r="AS217" s="137"/>
      <c r="AT217" s="137"/>
      <c r="AU217" s="137"/>
      <c r="AV217" s="137"/>
      <c r="AW217" s="137"/>
      <c r="AX217" s="137"/>
      <c r="AY217" s="137"/>
      <c r="AZ217" s="137"/>
      <c r="BA217" s="137"/>
      <c r="BB217" s="137"/>
      <c r="BC217" s="137"/>
      <c r="BD217" s="137"/>
      <c r="BE217" s="137"/>
      <c r="BF217" s="137"/>
      <c r="BG217" s="137"/>
      <c r="BH217" s="137"/>
      <c r="BI217" s="137"/>
      <c r="BJ217" s="137"/>
      <c r="BK217" s="137"/>
      <c r="BL217" s="137"/>
      <c r="BM217" s="137"/>
      <c r="BN217" s="137"/>
      <c r="BO217" s="137"/>
      <c r="BP217" s="137"/>
      <c r="BQ217" s="137"/>
      <c r="BR217" s="137"/>
    </row>
    <row r="218" spans="1:70" ht="15.75" thickBot="1">
      <c r="A218" t="s">
        <v>16</v>
      </c>
      <c r="B218" s="68" t="s">
        <v>466</v>
      </c>
      <c r="C218" s="68"/>
      <c r="D218" s="68"/>
      <c r="E218" s="68"/>
      <c r="F218" s="68"/>
      <c r="G218" s="68"/>
      <c r="H218" s="68"/>
      <c r="I218" s="133"/>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row>
    <row r="219" spans="1:70">
      <c r="A219" t="s">
        <v>16</v>
      </c>
      <c r="E219" s="89"/>
      <c r="F219" s="89"/>
      <c r="I219" s="132"/>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c r="AI219" s="137"/>
      <c r="AJ219" s="137"/>
      <c r="AK219" s="137"/>
      <c r="AL219" s="137"/>
      <c r="AM219" s="137"/>
      <c r="AN219" s="137"/>
      <c r="AO219" s="137"/>
      <c r="AP219" s="137"/>
      <c r="AQ219" s="137"/>
      <c r="AR219" s="137"/>
      <c r="AS219" s="137"/>
      <c r="AT219" s="137"/>
      <c r="AU219" s="137"/>
      <c r="AV219" s="137"/>
      <c r="AW219" s="137"/>
      <c r="AX219" s="137"/>
      <c r="AY219" s="137"/>
      <c r="AZ219" s="137"/>
      <c r="BA219" s="137"/>
      <c r="BB219" s="137"/>
      <c r="BC219" s="137"/>
      <c r="BD219" s="137"/>
      <c r="BE219" s="137"/>
      <c r="BF219" s="137"/>
      <c r="BG219" s="137"/>
      <c r="BH219" s="137"/>
      <c r="BI219" s="137"/>
      <c r="BJ219" s="137"/>
      <c r="BK219" s="137"/>
      <c r="BL219" s="137"/>
      <c r="BM219" s="137"/>
      <c r="BN219" s="137"/>
      <c r="BO219" s="137"/>
      <c r="BP219" s="137"/>
      <c r="BQ219" s="137"/>
      <c r="BR219" s="137"/>
    </row>
    <row r="220" spans="1:70">
      <c r="A220" t="s">
        <v>16</v>
      </c>
      <c r="B220" s="70" t="str">
        <f t="shared" ref="B220:C228" si="227">B208</f>
        <v>CNC</v>
      </c>
      <c r="C220" s="70" t="str">
        <f t="shared" si="227"/>
        <v>Commercial - Cooling</v>
      </c>
      <c r="E220" s="89"/>
      <c r="F220" s="89"/>
      <c r="I220" s="132"/>
      <c r="L220" s="137">
        <f t="shared" ref="L220:AX226" si="228">L186+L197+L208</f>
        <v>0</v>
      </c>
      <c r="M220" s="137">
        <f t="shared" si="228"/>
        <v>0</v>
      </c>
      <c r="N220" s="137">
        <f t="shared" si="228"/>
        <v>0</v>
      </c>
      <c r="O220" s="137">
        <f t="shared" si="228"/>
        <v>0</v>
      </c>
      <c r="P220" s="137">
        <f t="shared" si="228"/>
        <v>0</v>
      </c>
      <c r="Q220" s="137">
        <f t="shared" si="228"/>
        <v>0</v>
      </c>
      <c r="R220" s="137">
        <f t="shared" si="228"/>
        <v>1.6937258662331782</v>
      </c>
      <c r="S220" s="137">
        <f t="shared" si="228"/>
        <v>3.2631004380656852</v>
      </c>
      <c r="T220" s="137">
        <f t="shared" si="228"/>
        <v>4.2481843124195784</v>
      </c>
      <c r="U220" s="137">
        <f t="shared" si="228"/>
        <v>7.2513038866541759</v>
      </c>
      <c r="V220" s="137">
        <f t="shared" si="228"/>
        <v>8.745787562750623</v>
      </c>
      <c r="W220" s="137">
        <f t="shared" si="228"/>
        <v>9.4236823396923111</v>
      </c>
      <c r="X220" s="137">
        <f t="shared" si="228"/>
        <v>10.352310122641784</v>
      </c>
      <c r="Y220" s="137">
        <f t="shared" si="228"/>
        <v>11.229817849504327</v>
      </c>
      <c r="Z220" s="137">
        <f t="shared" si="228"/>
        <v>12.126812934403056</v>
      </c>
      <c r="AA220" s="137">
        <f t="shared" si="228"/>
        <v>12.995706783327593</v>
      </c>
      <c r="AB220" s="137">
        <f t="shared" si="228"/>
        <v>13.82872857875264</v>
      </c>
      <c r="AC220" s="137">
        <f t="shared" si="228"/>
        <v>14.686400677906796</v>
      </c>
      <c r="AD220" s="137">
        <f t="shared" si="228"/>
        <v>15.558666614278101</v>
      </c>
      <c r="AE220" s="137">
        <f t="shared" si="228"/>
        <v>16.982516291115292</v>
      </c>
      <c r="AF220" s="137">
        <f t="shared" si="228"/>
        <v>18.437509078138614</v>
      </c>
      <c r="AG220" s="137">
        <f t="shared" si="228"/>
        <v>19.930482092622192</v>
      </c>
      <c r="AH220" s="137">
        <f t="shared" si="228"/>
        <v>21.536591596551681</v>
      </c>
      <c r="AI220" s="137">
        <f t="shared" si="228"/>
        <v>23.183553803960816</v>
      </c>
      <c r="AJ220" s="137">
        <f t="shared" si="228"/>
        <v>24.87278041722427</v>
      </c>
      <c r="AK220" s="137">
        <f t="shared" si="228"/>
        <v>26.60963577309272</v>
      </c>
      <c r="AL220" s="137">
        <f t="shared" si="228"/>
        <v>28.376420438052385</v>
      </c>
      <c r="AM220" s="137">
        <f t="shared" si="228"/>
        <v>30.137350154510393</v>
      </c>
      <c r="AN220" s="137">
        <f t="shared" si="228"/>
        <v>31.879527959409508</v>
      </c>
      <c r="AO220" s="137">
        <f t="shared" si="228"/>
        <v>33.229039445022153</v>
      </c>
      <c r="AP220" s="137">
        <f t="shared" si="228"/>
        <v>34.560225326082154</v>
      </c>
      <c r="AQ220" s="137">
        <f t="shared" si="228"/>
        <v>35.874074932948588</v>
      </c>
      <c r="AR220" s="137">
        <f t="shared" si="228"/>
        <v>37.171492818335629</v>
      </c>
      <c r="AS220" s="137">
        <f t="shared" si="228"/>
        <v>38.453308535679774</v>
      </c>
      <c r="AT220" s="137">
        <f t="shared" si="228"/>
        <v>39.891263012222112</v>
      </c>
      <c r="AU220" s="137">
        <f t="shared" si="228"/>
        <v>41.308816060998126</v>
      </c>
      <c r="AV220" s="137">
        <f t="shared" si="228"/>
        <v>42.707085298852242</v>
      </c>
      <c r="AW220" s="137">
        <f t="shared" si="228"/>
        <v>44.087091209362775</v>
      </c>
      <c r="AX220" s="137">
        <f t="shared" si="228"/>
        <v>45.44976850047189</v>
      </c>
      <c r="AY220" s="137">
        <f t="shared" ref="AY220:BR225" si="229">AY186+AY197+AY208</f>
        <v>46.745401482027624</v>
      </c>
      <c r="AZ220" s="137">
        <f t="shared" si="229"/>
        <v>48.027020644453927</v>
      </c>
      <c r="BA220" s="137">
        <f t="shared" si="229"/>
        <v>49.29524470614416</v>
      </c>
      <c r="BB220" s="137">
        <f t="shared" si="229"/>
        <v>50.550648759382675</v>
      </c>
      <c r="BC220" s="137">
        <f t="shared" si="229"/>
        <v>51.793768434694222</v>
      </c>
      <c r="BD220" s="137">
        <f t="shared" si="229"/>
        <v>53.025103569234005</v>
      </c>
      <c r="BE220" s="137">
        <f t="shared" si="229"/>
        <v>54.245121449413105</v>
      </c>
      <c r="BF220" s="137">
        <f t="shared" si="229"/>
        <v>55.454259686522064</v>
      </c>
      <c r="BG220" s="137">
        <f t="shared" si="229"/>
        <v>56.652928774778353</v>
      </c>
      <c r="BH220" s="137">
        <f t="shared" si="229"/>
        <v>57.841514373554219</v>
      </c>
      <c r="BI220" s="137">
        <f t="shared" si="229"/>
        <v>58.563839692198954</v>
      </c>
      <c r="BJ220" s="137">
        <f t="shared" si="229"/>
        <v>59.284736107054997</v>
      </c>
      <c r="BK220" s="137">
        <f t="shared" si="229"/>
        <v>60.004223198890941</v>
      </c>
      <c r="BL220" s="137">
        <f t="shared" si="229"/>
        <v>60.722320111645502</v>
      </c>
      <c r="BM220" s="137">
        <f t="shared" si="229"/>
        <v>61.439045565866962</v>
      </c>
      <c r="BN220" s="137">
        <f t="shared" si="229"/>
        <v>62.154417871627516</v>
      </c>
      <c r="BO220" s="137">
        <f t="shared" si="229"/>
        <v>62.868454940937291</v>
      </c>
      <c r="BP220" s="137">
        <f t="shared" si="229"/>
        <v>63.581174299681358</v>
      </c>
      <c r="BQ220" s="137">
        <f t="shared" si="229"/>
        <v>64.292593099101907</v>
      </c>
      <c r="BR220" s="137">
        <f t="shared" si="229"/>
        <v>65.00272812684679</v>
      </c>
    </row>
    <row r="221" spans="1:70">
      <c r="A221" t="s">
        <v>16</v>
      </c>
      <c r="B221" s="70" t="str">
        <f t="shared" si="227"/>
        <v>CNH</v>
      </c>
      <c r="C221" s="70" t="str">
        <f t="shared" si="227"/>
        <v>Commercial - Space Heating</v>
      </c>
      <c r="E221" s="89"/>
      <c r="F221" s="89"/>
      <c r="I221" s="132"/>
      <c r="L221" s="137">
        <f t="shared" si="228"/>
        <v>0</v>
      </c>
      <c r="M221" s="137">
        <f t="shared" si="228"/>
        <v>0</v>
      </c>
      <c r="N221" s="137">
        <f t="shared" si="228"/>
        <v>0</v>
      </c>
      <c r="O221" s="137">
        <f t="shared" si="228"/>
        <v>0</v>
      </c>
      <c r="P221" s="137">
        <f t="shared" si="228"/>
        <v>0</v>
      </c>
      <c r="Q221" s="137">
        <f t="shared" si="228"/>
        <v>0</v>
      </c>
      <c r="R221" s="137">
        <f t="shared" si="228"/>
        <v>0.15818291117343533</v>
      </c>
      <c r="S221" s="137">
        <f t="shared" si="228"/>
        <v>0.3047522252774526</v>
      </c>
      <c r="T221" s="137">
        <f t="shared" si="228"/>
        <v>0.39675261217704844</v>
      </c>
      <c r="U221" s="137">
        <f t="shared" si="228"/>
        <v>0.66522669420813563</v>
      </c>
      <c r="V221" s="137">
        <f t="shared" si="228"/>
        <v>0.78687902352032635</v>
      </c>
      <c r="W221" s="137">
        <f t="shared" si="228"/>
        <v>0.83005676906906911</v>
      </c>
      <c r="X221" s="137">
        <f t="shared" si="228"/>
        <v>0.89086163145376862</v>
      </c>
      <c r="Y221" s="137">
        <f t="shared" si="228"/>
        <v>0.94188948561735575</v>
      </c>
      <c r="Z221" s="137">
        <f t="shared" si="228"/>
        <v>0.98861227454724632</v>
      </c>
      <c r="AA221" s="137">
        <f t="shared" si="228"/>
        <v>1.0264023477943514</v>
      </c>
      <c r="AB221" s="137">
        <f t="shared" si="228"/>
        <v>1.0540444928140638</v>
      </c>
      <c r="AC221" s="137">
        <f t="shared" si="228"/>
        <v>1.0753066021771158</v>
      </c>
      <c r="AD221" s="137">
        <f t="shared" si="228"/>
        <v>1.0881027917270423</v>
      </c>
      <c r="AE221" s="137">
        <f t="shared" si="228"/>
        <v>1.1876803999357313</v>
      </c>
      <c r="AF221" s="137">
        <f t="shared" si="228"/>
        <v>1.2894360164517322</v>
      </c>
      <c r="AG221" s="137">
        <f t="shared" si="228"/>
        <v>1.3938477983419562</v>
      </c>
      <c r="AH221" s="137">
        <f t="shared" si="228"/>
        <v>1.5061718347372883</v>
      </c>
      <c r="AI221" s="137">
        <f t="shared" si="228"/>
        <v>1.6213529244912295</v>
      </c>
      <c r="AJ221" s="137">
        <f t="shared" si="228"/>
        <v>1.7394897956846007</v>
      </c>
      <c r="AK221" s="137">
        <f t="shared" si="228"/>
        <v>1.8609576057739434</v>
      </c>
      <c r="AL221" s="137">
        <f t="shared" si="228"/>
        <v>1.9845185364104365</v>
      </c>
      <c r="AM221" s="137">
        <f t="shared" si="228"/>
        <v>2.1076699984229137</v>
      </c>
      <c r="AN221" s="137">
        <f t="shared" si="228"/>
        <v>2.2295100365310621</v>
      </c>
      <c r="AO221" s="137">
        <f t="shared" si="228"/>
        <v>2.323888767778846</v>
      </c>
      <c r="AP221" s="137">
        <f t="shared" si="228"/>
        <v>2.4169858891066962</v>
      </c>
      <c r="AQ221" s="137">
        <f t="shared" si="228"/>
        <v>2.5088705898064916</v>
      </c>
      <c r="AR221" s="137">
        <f t="shared" si="228"/>
        <v>2.5996061302049664</v>
      </c>
      <c r="AS221" s="137">
        <f t="shared" si="228"/>
        <v>2.6892505255184962</v>
      </c>
      <c r="AT221" s="137">
        <f t="shared" si="228"/>
        <v>2.7898145596412052</v>
      </c>
      <c r="AU221" s="137">
        <f t="shared" si="228"/>
        <v>2.8889518101546181</v>
      </c>
      <c r="AV221" s="137">
        <f t="shared" si="228"/>
        <v>2.986740438127331</v>
      </c>
      <c r="AW221" s="137">
        <f t="shared" si="228"/>
        <v>3.0832518115665128</v>
      </c>
      <c r="AX221" s="137">
        <f t="shared" si="228"/>
        <v>3.1785512997191914</v>
      </c>
      <c r="AY221" s="137">
        <f t="shared" si="229"/>
        <v>3.2691620120144651</v>
      </c>
      <c r="AZ221" s="137">
        <f t="shared" si="229"/>
        <v>3.3587926611657983</v>
      </c>
      <c r="BA221" s="137">
        <f t="shared" si="229"/>
        <v>3.4474865175399803</v>
      </c>
      <c r="BB221" s="137">
        <f t="shared" si="229"/>
        <v>3.5352838004909941</v>
      </c>
      <c r="BC221" s="137">
        <f t="shared" si="229"/>
        <v>3.6222219695957936</v>
      </c>
      <c r="BD221" s="137">
        <f t="shared" si="229"/>
        <v>3.708335981204911</v>
      </c>
      <c r="BE221" s="137">
        <f t="shared" si="229"/>
        <v>3.7936585152170181</v>
      </c>
      <c r="BF221" s="137">
        <f t="shared" si="229"/>
        <v>3.8782201761870403</v>
      </c>
      <c r="BG221" s="137">
        <f t="shared" si="229"/>
        <v>3.9620496722244223</v>
      </c>
      <c r="BH221" s="137">
        <f t="shared" si="229"/>
        <v>4.0451739746018323</v>
      </c>
      <c r="BI221" s="137">
        <f t="shared" si="229"/>
        <v>4.0956901412655746</v>
      </c>
      <c r="BJ221" s="137">
        <f t="shared" si="229"/>
        <v>4.1461063768593771</v>
      </c>
      <c r="BK221" s="137">
        <f t="shared" si="229"/>
        <v>4.1964240507736585</v>
      </c>
      <c r="BL221" s="137">
        <f t="shared" si="229"/>
        <v>4.2466445018489285</v>
      </c>
      <c r="BM221" s="137">
        <f t="shared" si="229"/>
        <v>4.2967690393156888</v>
      </c>
      <c r="BN221" s="137">
        <f t="shared" si="229"/>
        <v>4.3467989436975945</v>
      </c>
      <c r="BO221" s="137">
        <f t="shared" si="229"/>
        <v>4.3967354676796404</v>
      </c>
      <c r="BP221" s="137">
        <f t="shared" si="229"/>
        <v>4.4465798369429832</v>
      </c>
      <c r="BQ221" s="137">
        <f t="shared" si="229"/>
        <v>4.4963332509679486</v>
      </c>
      <c r="BR221" s="137">
        <f t="shared" si="229"/>
        <v>4.5459968838067208</v>
      </c>
    </row>
    <row r="222" spans="1:70">
      <c r="A222" t="s">
        <v>16</v>
      </c>
      <c r="B222" s="70" t="str">
        <f t="shared" si="227"/>
        <v>CNK</v>
      </c>
      <c r="C222" s="70" t="str">
        <f t="shared" si="227"/>
        <v>Commercial - Cooking</v>
      </c>
      <c r="E222" s="89"/>
      <c r="F222" s="89"/>
      <c r="I222" s="132"/>
      <c r="L222" s="137">
        <f t="shared" si="228"/>
        <v>0</v>
      </c>
      <c r="M222" s="137">
        <f t="shared" si="228"/>
        <v>0</v>
      </c>
      <c r="N222" s="137">
        <f t="shared" si="228"/>
        <v>0</v>
      </c>
      <c r="O222" s="137">
        <f t="shared" si="228"/>
        <v>0</v>
      </c>
      <c r="P222" s="137">
        <f t="shared" si="228"/>
        <v>0</v>
      </c>
      <c r="Q222" s="137">
        <f t="shared" si="228"/>
        <v>0</v>
      </c>
      <c r="R222" s="137">
        <f t="shared" si="228"/>
        <v>0.11821918095627622</v>
      </c>
      <c r="S222" s="137">
        <f t="shared" si="228"/>
        <v>0.22775885334036872</v>
      </c>
      <c r="T222" s="137">
        <f t="shared" si="228"/>
        <v>0.29651603011912847</v>
      </c>
      <c r="U222" s="137">
        <f t="shared" si="228"/>
        <v>0.50646641489839994</v>
      </c>
      <c r="V222" s="137">
        <f t="shared" si="228"/>
        <v>0.61128338265642834</v>
      </c>
      <c r="W222" s="137">
        <f t="shared" si="228"/>
        <v>0.65916606583913251</v>
      </c>
      <c r="X222" s="137">
        <f t="shared" si="228"/>
        <v>0.72471247549795592</v>
      </c>
      <c r="Y222" s="137">
        <f t="shared" si="228"/>
        <v>0.78683162732447087</v>
      </c>
      <c r="Z222" s="137">
        <f t="shared" si="228"/>
        <v>0.85048339392881778</v>
      </c>
      <c r="AA222" s="137">
        <f t="shared" si="228"/>
        <v>0.91235132951489606</v>
      </c>
      <c r="AB222" s="137">
        <f t="shared" si="228"/>
        <v>0.97190682360806147</v>
      </c>
      <c r="AC222" s="137">
        <f t="shared" si="228"/>
        <v>1.0334272854144815</v>
      </c>
      <c r="AD222" s="137">
        <f t="shared" si="228"/>
        <v>1.0962430715039686</v>
      </c>
      <c r="AE222" s="137">
        <f t="shared" si="228"/>
        <v>1.1965656365278583</v>
      </c>
      <c r="AF222" s="137">
        <f t="shared" si="228"/>
        <v>1.2990825039050935</v>
      </c>
      <c r="AG222" s="137">
        <f t="shared" si="228"/>
        <v>1.4042754078759301</v>
      </c>
      <c r="AH222" s="137">
        <f t="shared" si="228"/>
        <v>1.5174397592570186</v>
      </c>
      <c r="AI222" s="137">
        <f t="shared" si="228"/>
        <v>1.6334825380928526</v>
      </c>
      <c r="AJ222" s="137">
        <f t="shared" si="228"/>
        <v>1.7525032110656114</v>
      </c>
      <c r="AK222" s="137">
        <f t="shared" si="228"/>
        <v>1.8748797422477914</v>
      </c>
      <c r="AL222" s="137">
        <f t="shared" si="228"/>
        <v>1.9993650529635618</v>
      </c>
      <c r="AM222" s="137">
        <f t="shared" si="228"/>
        <v>2.1234378317517528</v>
      </c>
      <c r="AN222" s="137">
        <f t="shared" si="228"/>
        <v>2.2461893756530782</v>
      </c>
      <c r="AO222" s="137">
        <f t="shared" si="228"/>
        <v>2.3412741700441515</v>
      </c>
      <c r="AP222" s="137">
        <f t="shared" si="228"/>
        <v>2.4350677665761795</v>
      </c>
      <c r="AQ222" s="137">
        <f t="shared" si="228"/>
        <v>2.5276398721577586</v>
      </c>
      <c r="AR222" s="137">
        <f t="shared" si="228"/>
        <v>2.6190542203767539</v>
      </c>
      <c r="AS222" s="137">
        <f t="shared" si="228"/>
        <v>2.7093692604711204</v>
      </c>
      <c r="AT222" s="137">
        <f t="shared" si="228"/>
        <v>2.8106856310270034</v>
      </c>
      <c r="AU222" s="137">
        <f t="shared" si="228"/>
        <v>2.9105645439657226</v>
      </c>
      <c r="AV222" s="137">
        <f t="shared" si="228"/>
        <v>3.0090847450919571</v>
      </c>
      <c r="AW222" s="137">
        <f t="shared" si="228"/>
        <v>3.1063181363289281</v>
      </c>
      <c r="AX222" s="137">
        <f t="shared" si="228"/>
        <v>3.2023305759619802</v>
      </c>
      <c r="AY222" s="137">
        <f t="shared" si="229"/>
        <v>3.2936191622177633</v>
      </c>
      <c r="AZ222" s="137">
        <f t="shared" si="229"/>
        <v>3.3839203533125852</v>
      </c>
      <c r="BA222" s="137">
        <f t="shared" si="229"/>
        <v>3.4732777433261157</v>
      </c>
      <c r="BB222" s="137">
        <f t="shared" si="229"/>
        <v>3.561731852500083</v>
      </c>
      <c r="BC222" s="137">
        <f t="shared" si="229"/>
        <v>3.6493204206528289</v>
      </c>
      <c r="BD222" s="137">
        <f t="shared" si="229"/>
        <v>3.7360786656492153</v>
      </c>
      <c r="BE222" s="137">
        <f t="shared" si="229"/>
        <v>3.8220395118717283</v>
      </c>
      <c r="BF222" s="137">
        <f t="shared" si="229"/>
        <v>3.9072337928331065</v>
      </c>
      <c r="BG222" s="137">
        <f t="shared" si="229"/>
        <v>3.9916904314129864</v>
      </c>
      <c r="BH222" s="137">
        <f t="shared" si="229"/>
        <v>4.0754366006606588</v>
      </c>
      <c r="BI222" s="137">
        <f t="shared" si="229"/>
        <v>4.1263306872534979</v>
      </c>
      <c r="BJ222" s="137">
        <f t="shared" si="229"/>
        <v>4.1771240951752766</v>
      </c>
      <c r="BK222" s="137">
        <f t="shared" si="229"/>
        <v>4.2278182040610517</v>
      </c>
      <c r="BL222" s="137">
        <f t="shared" si="229"/>
        <v>4.2784143627674265</v>
      </c>
      <c r="BM222" s="137">
        <f t="shared" si="229"/>
        <v>4.3289138903194706</v>
      </c>
      <c r="BN222" s="137">
        <f t="shared" si="229"/>
        <v>4.3793180768206543</v>
      </c>
      <c r="BO222" s="137">
        <f t="shared" si="229"/>
        <v>4.4296281843275231</v>
      </c>
      <c r="BP222" s="137">
        <f t="shared" si="229"/>
        <v>4.4798454476907548</v>
      </c>
      <c r="BQ222" s="137">
        <f t="shared" si="229"/>
        <v>4.529971075364192</v>
      </c>
      <c r="BR222" s="137">
        <f t="shared" si="229"/>
        <v>4.580006250183299</v>
      </c>
    </row>
    <row r="223" spans="1:70">
      <c r="A223" t="s">
        <v>16</v>
      </c>
      <c r="B223" s="70" t="str">
        <f t="shared" si="227"/>
        <v>CNL</v>
      </c>
      <c r="C223" s="70" t="str">
        <f t="shared" si="227"/>
        <v>Commercial - Lighting</v>
      </c>
      <c r="E223" s="89"/>
      <c r="F223" s="89"/>
      <c r="I223" s="132"/>
      <c r="L223" s="137">
        <f t="shared" si="228"/>
        <v>0</v>
      </c>
      <c r="M223" s="137">
        <f t="shared" si="228"/>
        <v>0</v>
      </c>
      <c r="N223" s="137">
        <f t="shared" si="228"/>
        <v>0</v>
      </c>
      <c r="O223" s="137">
        <f t="shared" si="228"/>
        <v>0</v>
      </c>
      <c r="P223" s="137">
        <f t="shared" si="228"/>
        <v>0</v>
      </c>
      <c r="Q223" s="137">
        <f t="shared" si="228"/>
        <v>0</v>
      </c>
      <c r="R223" s="137">
        <f t="shared" si="228"/>
        <v>1.4739325886745098</v>
      </c>
      <c r="S223" s="137">
        <f t="shared" si="228"/>
        <v>2.8396508382313019</v>
      </c>
      <c r="T223" s="137">
        <f t="shared" si="228"/>
        <v>3.6969012669663002</v>
      </c>
      <c r="U223" s="137">
        <f t="shared" si="228"/>
        <v>6.3103087235076201</v>
      </c>
      <c r="V223" s="137">
        <f t="shared" si="228"/>
        <v>7.6108546013004421</v>
      </c>
      <c r="W223" s="137">
        <f t="shared" si="228"/>
        <v>8.2007795846442573</v>
      </c>
      <c r="X223" s="137">
        <f t="shared" si="228"/>
        <v>9.0089001780209408</v>
      </c>
      <c r="Y223" s="137">
        <f t="shared" si="228"/>
        <v>9.772534518867884</v>
      </c>
      <c r="Z223" s="137">
        <f t="shared" si="228"/>
        <v>10.553127360880422</v>
      </c>
      <c r="AA223" s="137">
        <f t="shared" si="228"/>
        <v>11.30926563895782</v>
      </c>
      <c r="AB223" s="137">
        <f t="shared" si="228"/>
        <v>12.034186947554112</v>
      </c>
      <c r="AC223" s="137">
        <f t="shared" si="228"/>
        <v>12.78055971220442</v>
      </c>
      <c r="AD223" s="137">
        <f t="shared" si="228"/>
        <v>13.539632484982953</v>
      </c>
      <c r="AE223" s="137">
        <f t="shared" si="228"/>
        <v>14.778710473873442</v>
      </c>
      <c r="AF223" s="137">
        <f t="shared" si="228"/>
        <v>16.044890159638946</v>
      </c>
      <c r="AG223" s="137">
        <f t="shared" si="228"/>
        <v>17.344121413013461</v>
      </c>
      <c r="AH223" s="137">
        <f t="shared" si="228"/>
        <v>18.741807535671761</v>
      </c>
      <c r="AI223" s="137">
        <f t="shared" si="228"/>
        <v>20.175044943337024</v>
      </c>
      <c r="AJ223" s="137">
        <f t="shared" si="228"/>
        <v>21.645062143040406</v>
      </c>
      <c r="AK223" s="137">
        <f t="shared" si="228"/>
        <v>23.156527346392231</v>
      </c>
      <c r="AL223" s="137">
        <f t="shared" si="228"/>
        <v>24.694037959397129</v>
      </c>
      <c r="AM223" s="137">
        <f t="shared" si="228"/>
        <v>26.226453415285022</v>
      </c>
      <c r="AN223" s="137">
        <f t="shared" si="228"/>
        <v>27.742550378258784</v>
      </c>
      <c r="AO223" s="137">
        <f t="shared" si="228"/>
        <v>28.916936975931012</v>
      </c>
      <c r="AP223" s="137">
        <f t="shared" si="228"/>
        <v>30.075376066219789</v>
      </c>
      <c r="AQ223" s="137">
        <f t="shared" si="228"/>
        <v>31.218728594976074</v>
      </c>
      <c r="AR223" s="137">
        <f t="shared" si="228"/>
        <v>32.347781731924428</v>
      </c>
      <c r="AS223" s="137">
        <f t="shared" si="228"/>
        <v>33.463257380100316</v>
      </c>
      <c r="AT223" s="137">
        <f t="shared" si="228"/>
        <v>34.714609801563753</v>
      </c>
      <c r="AU223" s="137">
        <f t="shared" si="228"/>
        <v>35.948208270135666</v>
      </c>
      <c r="AV223" s="137">
        <f t="shared" si="228"/>
        <v>37.165025370530898</v>
      </c>
      <c r="AW223" s="137">
        <f t="shared" si="228"/>
        <v>38.365949159094498</v>
      </c>
      <c r="AX223" s="137">
        <f t="shared" si="228"/>
        <v>39.551793047562285</v>
      </c>
      <c r="AY223" s="137">
        <f t="shared" si="229"/>
        <v>40.679292906039166</v>
      </c>
      <c r="AZ223" s="137">
        <f t="shared" si="229"/>
        <v>41.794597506051559</v>
      </c>
      <c r="BA223" s="137">
        <f t="shared" si="229"/>
        <v>42.898245275465179</v>
      </c>
      <c r="BB223" s="137">
        <f t="shared" si="229"/>
        <v>43.990736677357468</v>
      </c>
      <c r="BC223" s="137">
        <f t="shared" si="229"/>
        <v>45.072537833963239</v>
      </c>
      <c r="BD223" s="137">
        <f t="shared" si="229"/>
        <v>46.144083719021026</v>
      </c>
      <c r="BE223" s="137">
        <f t="shared" si="229"/>
        <v>47.20578097960594</v>
      </c>
      <c r="BF223" s="137">
        <f t="shared" si="229"/>
        <v>48.258010438586169</v>
      </c>
      <c r="BG223" s="137">
        <f t="shared" si="229"/>
        <v>49.301129320714921</v>
      </c>
      <c r="BH223" s="137">
        <f t="shared" si="229"/>
        <v>50.335473238695656</v>
      </c>
      <c r="BI223" s="137">
        <f t="shared" si="229"/>
        <v>50.964063052431555</v>
      </c>
      <c r="BJ223" s="137">
        <f t="shared" si="229"/>
        <v>51.591409389934242</v>
      </c>
      <c r="BK223" s="137">
        <f t="shared" si="229"/>
        <v>52.217529290993632</v>
      </c>
      <c r="BL223" s="137">
        <f t="shared" si="229"/>
        <v>52.842439415256791</v>
      </c>
      <c r="BM223" s="137">
        <f t="shared" si="229"/>
        <v>53.466156053923342</v>
      </c>
      <c r="BN223" s="137">
        <f t="shared" si="229"/>
        <v>54.08869514098393</v>
      </c>
      <c r="BO223" s="137">
        <f t="shared" si="229"/>
        <v>54.710072264023289</v>
      </c>
      <c r="BP223" s="137">
        <f t="shared" si="229"/>
        <v>55.330302674608191</v>
      </c>
      <c r="BQ223" s="137">
        <f t="shared" si="229"/>
        <v>55.949401298279611</v>
      </c>
      <c r="BR223" s="137">
        <f t="shared" si="229"/>
        <v>56.567382744167482</v>
      </c>
    </row>
    <row r="224" spans="1:70">
      <c r="A224" t="s">
        <v>16</v>
      </c>
      <c r="B224" s="70" t="str">
        <f t="shared" si="227"/>
        <v>CNR</v>
      </c>
      <c r="C224" s="70" t="str">
        <f t="shared" si="227"/>
        <v>Commercial - Refrigeration</v>
      </c>
      <c r="E224" s="89"/>
      <c r="F224" s="89"/>
      <c r="I224" s="132"/>
      <c r="L224" s="137">
        <f t="shared" si="228"/>
        <v>0</v>
      </c>
      <c r="M224" s="137">
        <f t="shared" si="228"/>
        <v>0</v>
      </c>
      <c r="N224" s="137">
        <f t="shared" si="228"/>
        <v>0</v>
      </c>
      <c r="O224" s="137">
        <f t="shared" si="228"/>
        <v>0</v>
      </c>
      <c r="P224" s="137">
        <f t="shared" si="228"/>
        <v>0</v>
      </c>
      <c r="Q224" s="137">
        <f t="shared" si="228"/>
        <v>0</v>
      </c>
      <c r="R224" s="137">
        <f t="shared" si="228"/>
        <v>0.3585549515238371</v>
      </c>
      <c r="S224" s="137">
        <f t="shared" si="228"/>
        <v>0.69078523432491357</v>
      </c>
      <c r="T224" s="137">
        <f t="shared" si="228"/>
        <v>0.89932352724323594</v>
      </c>
      <c r="U224" s="137">
        <f t="shared" si="228"/>
        <v>1.5350718586746517</v>
      </c>
      <c r="V224" s="137">
        <f t="shared" si="228"/>
        <v>1.8514480401565225</v>
      </c>
      <c r="W224" s="137">
        <f t="shared" si="228"/>
        <v>1.994955637064844</v>
      </c>
      <c r="X224" s="137">
        <f t="shared" si="228"/>
        <v>2.1915424025723245</v>
      </c>
      <c r="Y224" s="137">
        <f t="shared" si="228"/>
        <v>2.3773072578772352</v>
      </c>
      <c r="Z224" s="137">
        <f t="shared" si="228"/>
        <v>2.5671975084750289</v>
      </c>
      <c r="AA224" s="137">
        <f t="shared" si="228"/>
        <v>2.7511388404766297</v>
      </c>
      <c r="AB224" s="137">
        <f t="shared" si="228"/>
        <v>2.9274862030762203</v>
      </c>
      <c r="AC224" s="137">
        <f t="shared" si="228"/>
        <v>3.1090519357998345</v>
      </c>
      <c r="AD224" s="137">
        <f t="shared" si="228"/>
        <v>3.2937071251470176</v>
      </c>
      <c r="AE224" s="137">
        <f t="shared" si="228"/>
        <v>3.5951303731670752</v>
      </c>
      <c r="AF224" s="137">
        <f t="shared" si="228"/>
        <v>3.9031464923156367</v>
      </c>
      <c r="AG224" s="137">
        <f t="shared" si="228"/>
        <v>4.2192028728118993</v>
      </c>
      <c r="AH224" s="137">
        <f t="shared" si="228"/>
        <v>4.5592097929424611</v>
      </c>
      <c r="AI224" s="137">
        <f t="shared" si="228"/>
        <v>4.9078650660372141</v>
      </c>
      <c r="AJ224" s="137">
        <f t="shared" si="228"/>
        <v>5.2654675438091783</v>
      </c>
      <c r="AK224" s="137">
        <f t="shared" si="228"/>
        <v>5.6331528347661699</v>
      </c>
      <c r="AL224" s="137">
        <f t="shared" si="228"/>
        <v>6.0071740400433509</v>
      </c>
      <c r="AM224" s="137">
        <f t="shared" si="228"/>
        <v>6.3799557762789139</v>
      </c>
      <c r="AN224" s="137">
        <f t="shared" si="228"/>
        <v>6.7487678082819169</v>
      </c>
      <c r="AO224" s="137">
        <f t="shared" si="228"/>
        <v>7.0344539603041625</v>
      </c>
      <c r="AP224" s="137">
        <f t="shared" si="228"/>
        <v>7.3162606555719174</v>
      </c>
      <c r="AQ224" s="137">
        <f t="shared" si="228"/>
        <v>7.5943973313418267</v>
      </c>
      <c r="AR224" s="137">
        <f t="shared" si="228"/>
        <v>7.869055477784201</v>
      </c>
      <c r="AS224" s="137">
        <f t="shared" si="228"/>
        <v>8.1404107080240085</v>
      </c>
      <c r="AT224" s="137">
        <f t="shared" si="228"/>
        <v>8.4448198853938834</v>
      </c>
      <c r="AU224" s="137">
        <f t="shared" si="228"/>
        <v>8.7449101625865779</v>
      </c>
      <c r="AV224" s="137">
        <f t="shared" si="228"/>
        <v>9.0409181345915552</v>
      </c>
      <c r="AW224" s="137">
        <f t="shared" si="228"/>
        <v>9.3330598336766357</v>
      </c>
      <c r="AX224" s="137">
        <f t="shared" si="228"/>
        <v>9.6215331337525747</v>
      </c>
      <c r="AY224" s="137">
        <f t="shared" si="229"/>
        <v>9.8958134232350545</v>
      </c>
      <c r="AZ224" s="137">
        <f t="shared" si="229"/>
        <v>10.167127043589552</v>
      </c>
      <c r="BA224" s="137">
        <f t="shared" si="229"/>
        <v>10.43560497501066</v>
      </c>
      <c r="BB224" s="137">
        <f t="shared" si="229"/>
        <v>10.701368962221204</v>
      </c>
      <c r="BC224" s="137">
        <f t="shared" si="229"/>
        <v>10.964532396048279</v>
      </c>
      <c r="BD224" s="137">
        <f t="shared" si="229"/>
        <v>11.225201090006646</v>
      </c>
      <c r="BE224" s="137">
        <f t="shared" si="229"/>
        <v>11.483473966749505</v>
      </c>
      <c r="BF224" s="137">
        <f t="shared" si="229"/>
        <v>11.739443666826423</v>
      </c>
      <c r="BG224" s="137">
        <f t="shared" si="229"/>
        <v>11.993197090211693</v>
      </c>
      <c r="BH224" s="137">
        <f t="shared" si="229"/>
        <v>12.244815879442807</v>
      </c>
      <c r="BI224" s="137">
        <f t="shared" si="229"/>
        <v>12.397729243272515</v>
      </c>
      <c r="BJ224" s="137">
        <f t="shared" si="229"/>
        <v>12.550340113919059</v>
      </c>
      <c r="BK224" s="137">
        <f t="shared" si="229"/>
        <v>12.702652636552369</v>
      </c>
      <c r="BL224" s="137">
        <f t="shared" si="229"/>
        <v>12.854670863867248</v>
      </c>
      <c r="BM224" s="137">
        <f t="shared" si="229"/>
        <v>13.006398758928455</v>
      </c>
      <c r="BN224" s="137">
        <f t="shared" si="229"/>
        <v>13.157840197904601</v>
      </c>
      <c r="BO224" s="137">
        <f t="shared" si="229"/>
        <v>13.308998972696166</v>
      </c>
      <c r="BP224" s="137">
        <f t="shared" si="229"/>
        <v>13.459878793462506</v>
      </c>
      <c r="BQ224" s="137">
        <f t="shared" si="229"/>
        <v>13.61048329105259</v>
      </c>
      <c r="BR224" s="137">
        <f t="shared" si="229"/>
        <v>13.760816019343931</v>
      </c>
    </row>
    <row r="225" spans="1:70">
      <c r="A225" t="s">
        <v>16</v>
      </c>
      <c r="B225" s="70" t="str">
        <f t="shared" si="227"/>
        <v>CNW</v>
      </c>
      <c r="C225" s="70" t="str">
        <f t="shared" si="227"/>
        <v>Commercial - Water Heating</v>
      </c>
      <c r="E225" s="89"/>
      <c r="F225" s="89"/>
      <c r="I225" s="132"/>
      <c r="L225" s="137">
        <f t="shared" si="228"/>
        <v>0</v>
      </c>
      <c r="M225" s="137">
        <f t="shared" si="228"/>
        <v>0</v>
      </c>
      <c r="N225" s="137">
        <f t="shared" si="228"/>
        <v>0</v>
      </c>
      <c r="O225" s="137">
        <f t="shared" si="228"/>
        <v>0</v>
      </c>
      <c r="P225" s="137">
        <f t="shared" si="228"/>
        <v>0</v>
      </c>
      <c r="Q225" s="137">
        <f t="shared" si="228"/>
        <v>0</v>
      </c>
      <c r="R225" s="137">
        <f t="shared" si="228"/>
        <v>0.18982799702391095</v>
      </c>
      <c r="S225" s="137">
        <f t="shared" si="228"/>
        <v>0.36571905323938514</v>
      </c>
      <c r="T225" s="137">
        <f t="shared" si="228"/>
        <v>0.47612446328666219</v>
      </c>
      <c r="U225" s="137">
        <f t="shared" si="228"/>
        <v>0.79890994464715237</v>
      </c>
      <c r="V225" s="137">
        <f t="shared" si="228"/>
        <v>0.94579880192331833</v>
      </c>
      <c r="W225" s="137">
        <f t="shared" si="228"/>
        <v>0.99862488427144869</v>
      </c>
      <c r="X225" s="137">
        <f t="shared" si="228"/>
        <v>1.0728950344611337</v>
      </c>
      <c r="Y225" s="137">
        <f t="shared" si="228"/>
        <v>1.1356833316466897</v>
      </c>
      <c r="Z225" s="137">
        <f t="shared" si="228"/>
        <v>1.1936127301676287</v>
      </c>
      <c r="AA225" s="137">
        <f t="shared" si="228"/>
        <v>1.2411389947113591</v>
      </c>
      <c r="AB225" s="137">
        <f t="shared" si="228"/>
        <v>1.2768283709038679</v>
      </c>
      <c r="AC225" s="137">
        <f t="shared" si="228"/>
        <v>1.3052971137042466</v>
      </c>
      <c r="AD225" s="137">
        <f t="shared" si="228"/>
        <v>1.3240996006191212</v>
      </c>
      <c r="AE225" s="137">
        <f t="shared" si="228"/>
        <v>1.4452744310323935</v>
      </c>
      <c r="AF225" s="137">
        <f t="shared" si="228"/>
        <v>1.5690996543605478</v>
      </c>
      <c r="AG225" s="137">
        <f t="shared" si="228"/>
        <v>1.6961571343632809</v>
      </c>
      <c r="AH225" s="137">
        <f t="shared" si="228"/>
        <v>1.8328429446210825</v>
      </c>
      <c r="AI225" s="137">
        <f t="shared" si="228"/>
        <v>1.973005469799427</v>
      </c>
      <c r="AJ225" s="137">
        <f t="shared" si="228"/>
        <v>2.1167648509487549</v>
      </c>
      <c r="AK225" s="137">
        <f t="shared" si="228"/>
        <v>2.2645776128038175</v>
      </c>
      <c r="AL225" s="137">
        <f t="shared" si="228"/>
        <v>2.4149374686481622</v>
      </c>
      <c r="AM225" s="137">
        <f t="shared" si="228"/>
        <v>2.5647990468981043</v>
      </c>
      <c r="AN225" s="137">
        <f t="shared" si="228"/>
        <v>2.7130647686892928</v>
      </c>
      <c r="AO225" s="137">
        <f t="shared" si="228"/>
        <v>2.8279131463446632</v>
      </c>
      <c r="AP225" s="137">
        <f t="shared" si="228"/>
        <v>2.9412019478312779</v>
      </c>
      <c r="AQ225" s="137">
        <f t="shared" si="228"/>
        <v>3.0530153687917188</v>
      </c>
      <c r="AR225" s="137">
        <f t="shared" si="228"/>
        <v>3.1634303899800105</v>
      </c>
      <c r="AS225" s="137">
        <f t="shared" si="228"/>
        <v>3.2725176094365374</v>
      </c>
      <c r="AT225" s="137">
        <f t="shared" si="228"/>
        <v>3.394892810043439</v>
      </c>
      <c r="AU225" s="137">
        <f t="shared" si="228"/>
        <v>3.5155317743116394</v>
      </c>
      <c r="AV225" s="137">
        <f t="shared" si="228"/>
        <v>3.6345296155342011</v>
      </c>
      <c r="AW225" s="137">
        <f t="shared" si="228"/>
        <v>3.7519731806069405</v>
      </c>
      <c r="AX225" s="137">
        <f t="shared" si="228"/>
        <v>3.8679420166043972</v>
      </c>
      <c r="AY225" s="137">
        <f t="shared" si="229"/>
        <v>3.9782051359293247</v>
      </c>
      <c r="AZ225" s="137">
        <f t="shared" si="229"/>
        <v>4.0872756278413469</v>
      </c>
      <c r="BA225" s="137">
        <f t="shared" si="229"/>
        <v>4.195206147545302</v>
      </c>
      <c r="BB225" s="137">
        <f t="shared" si="229"/>
        <v>4.3020456375041185</v>
      </c>
      <c r="BC225" s="137">
        <f t="shared" si="229"/>
        <v>4.407839681840235</v>
      </c>
      <c r="BD225" s="137">
        <f t="shared" si="229"/>
        <v>4.5126308185290425</v>
      </c>
      <c r="BE225" s="137">
        <f t="shared" si="229"/>
        <v>4.61645881535821</v>
      </c>
      <c r="BF225" s="137">
        <f t="shared" si="229"/>
        <v>4.7193609146537918</v>
      </c>
      <c r="BG225" s="137">
        <f t="shared" si="229"/>
        <v>4.821372050979452</v>
      </c>
      <c r="BH225" s="137">
        <f t="shared" si="229"/>
        <v>4.9225250453624341</v>
      </c>
      <c r="BI225" s="137">
        <f t="shared" si="229"/>
        <v>4.9839975795869833</v>
      </c>
      <c r="BJ225" s="137">
        <f t="shared" si="229"/>
        <v>5.0453485088576624</v>
      </c>
      <c r="BK225" s="137">
        <f t="shared" si="229"/>
        <v>5.1065794995697029</v>
      </c>
      <c r="BL225" s="137">
        <f t="shared" si="229"/>
        <v>5.1676921809425114</v>
      </c>
      <c r="BM225" s="137">
        <f t="shared" si="229"/>
        <v>5.2286881461634191</v>
      </c>
      <c r="BN225" s="137">
        <f t="shared" si="229"/>
        <v>5.2895689534867323</v>
      </c>
      <c r="BO225" s="137">
        <f t="shared" si="229"/>
        <v>5.3503361272902179</v>
      </c>
      <c r="BP225" s="137">
        <f t="shared" si="229"/>
        <v>5.4109911590909814</v>
      </c>
      <c r="BQ225" s="137">
        <f t="shared" si="229"/>
        <v>5.4715355085226491</v>
      </c>
      <c r="BR225" s="137">
        <f t="shared" si="229"/>
        <v>5.5319706042756334</v>
      </c>
    </row>
    <row r="226" spans="1:70">
      <c r="A226" t="s">
        <v>16</v>
      </c>
      <c r="B226" s="70" t="str">
        <f t="shared" si="227"/>
        <v>CNG</v>
      </c>
      <c r="C226" s="70" t="str">
        <f t="shared" si="227"/>
        <v>Commercial - Public lights</v>
      </c>
      <c r="E226" s="89"/>
      <c r="F226" s="89"/>
      <c r="I226" s="132"/>
      <c r="L226" s="137">
        <f t="shared" si="228"/>
        <v>0</v>
      </c>
      <c r="M226" s="137">
        <f t="shared" si="228"/>
        <v>0</v>
      </c>
      <c r="N226" s="137">
        <f t="shared" si="228"/>
        <v>0</v>
      </c>
      <c r="O226" s="137">
        <f t="shared" si="228"/>
        <v>0</v>
      </c>
      <c r="P226" s="137">
        <f t="shared" si="228"/>
        <v>0</v>
      </c>
      <c r="Q226" s="137">
        <f t="shared" si="228"/>
        <v>0</v>
      </c>
      <c r="R226" s="137">
        <f t="shared" si="228"/>
        <v>0</v>
      </c>
      <c r="S226" s="137">
        <f t="shared" si="228"/>
        <v>0</v>
      </c>
      <c r="T226" s="137">
        <f t="shared" si="228"/>
        <v>0</v>
      </c>
      <c r="U226" s="137">
        <f t="shared" si="228"/>
        <v>0</v>
      </c>
      <c r="V226" s="137">
        <f t="shared" si="228"/>
        <v>0</v>
      </c>
      <c r="W226" s="137">
        <f t="shared" si="228"/>
        <v>0</v>
      </c>
      <c r="X226" s="137">
        <f t="shared" si="228"/>
        <v>0</v>
      </c>
      <c r="Y226" s="137">
        <f t="shared" si="228"/>
        <v>0</v>
      </c>
      <c r="Z226" s="137">
        <f t="shared" si="228"/>
        <v>0</v>
      </c>
      <c r="AA226" s="137">
        <f t="shared" si="228"/>
        <v>0</v>
      </c>
      <c r="AB226" s="137">
        <f t="shared" si="228"/>
        <v>0</v>
      </c>
      <c r="AC226" s="137">
        <f t="shared" si="228"/>
        <v>0</v>
      </c>
      <c r="AD226" s="137">
        <f t="shared" si="228"/>
        <v>0</v>
      </c>
      <c r="AE226" s="137">
        <f t="shared" si="228"/>
        <v>0</v>
      </c>
      <c r="AF226" s="137">
        <f t="shared" si="228"/>
        <v>0</v>
      </c>
      <c r="AG226" s="137">
        <f t="shared" ref="AG226:AX228" si="230">AG192+AG203+AG214</f>
        <v>0</v>
      </c>
      <c r="AH226" s="137">
        <f t="shared" si="230"/>
        <v>0</v>
      </c>
      <c r="AI226" s="137">
        <f t="shared" si="230"/>
        <v>0</v>
      </c>
      <c r="AJ226" s="137">
        <f t="shared" si="230"/>
        <v>0</v>
      </c>
      <c r="AK226" s="137">
        <f t="shared" si="230"/>
        <v>0</v>
      </c>
      <c r="AL226" s="137">
        <f t="shared" si="230"/>
        <v>0</v>
      </c>
      <c r="AM226" s="137">
        <f t="shared" si="230"/>
        <v>0</v>
      </c>
      <c r="AN226" s="137">
        <f t="shared" si="230"/>
        <v>0</v>
      </c>
      <c r="AO226" s="137">
        <f t="shared" si="230"/>
        <v>0</v>
      </c>
      <c r="AP226" s="137">
        <f t="shared" si="230"/>
        <v>0</v>
      </c>
      <c r="AQ226" s="137">
        <f t="shared" si="230"/>
        <v>0</v>
      </c>
      <c r="AR226" s="137">
        <f t="shared" si="230"/>
        <v>0</v>
      </c>
      <c r="AS226" s="137">
        <f t="shared" si="230"/>
        <v>0</v>
      </c>
      <c r="AT226" s="137">
        <f t="shared" si="230"/>
        <v>0</v>
      </c>
      <c r="AU226" s="137">
        <f t="shared" si="230"/>
        <v>0</v>
      </c>
      <c r="AV226" s="137">
        <f t="shared" si="230"/>
        <v>0</v>
      </c>
      <c r="AW226" s="137">
        <f t="shared" si="230"/>
        <v>0</v>
      </c>
      <c r="AX226" s="137">
        <f t="shared" si="230"/>
        <v>0</v>
      </c>
      <c r="AY226" s="137">
        <f t="shared" ref="AY226:BR226" si="231">AY192+AY203+AY214</f>
        <v>0</v>
      </c>
      <c r="AZ226" s="137">
        <f t="shared" si="231"/>
        <v>0</v>
      </c>
      <c r="BA226" s="137">
        <f t="shared" si="231"/>
        <v>0</v>
      </c>
      <c r="BB226" s="137">
        <f t="shared" si="231"/>
        <v>0</v>
      </c>
      <c r="BC226" s="137">
        <f t="shared" si="231"/>
        <v>0</v>
      </c>
      <c r="BD226" s="137">
        <f t="shared" si="231"/>
        <v>0</v>
      </c>
      <c r="BE226" s="137">
        <f t="shared" si="231"/>
        <v>0</v>
      </c>
      <c r="BF226" s="137">
        <f t="shared" si="231"/>
        <v>0</v>
      </c>
      <c r="BG226" s="137">
        <f t="shared" si="231"/>
        <v>0</v>
      </c>
      <c r="BH226" s="137">
        <f t="shared" si="231"/>
        <v>0</v>
      </c>
      <c r="BI226" s="137">
        <f t="shared" si="231"/>
        <v>0</v>
      </c>
      <c r="BJ226" s="137">
        <f t="shared" si="231"/>
        <v>0</v>
      </c>
      <c r="BK226" s="137">
        <f t="shared" si="231"/>
        <v>0</v>
      </c>
      <c r="BL226" s="137">
        <f t="shared" si="231"/>
        <v>0</v>
      </c>
      <c r="BM226" s="137">
        <f t="shared" si="231"/>
        <v>0</v>
      </c>
      <c r="BN226" s="137">
        <f t="shared" si="231"/>
        <v>0</v>
      </c>
      <c r="BO226" s="137">
        <f t="shared" si="231"/>
        <v>0</v>
      </c>
      <c r="BP226" s="137">
        <f t="shared" si="231"/>
        <v>0</v>
      </c>
      <c r="BQ226" s="137">
        <f t="shared" si="231"/>
        <v>0</v>
      </c>
      <c r="BR226" s="137">
        <f t="shared" si="231"/>
        <v>0</v>
      </c>
    </row>
    <row r="227" spans="1:70">
      <c r="A227" t="s">
        <v>16</v>
      </c>
      <c r="B227" s="70" t="str">
        <f t="shared" si="227"/>
        <v>CNT</v>
      </c>
      <c r="C227" s="70" t="str">
        <f t="shared" si="227"/>
        <v>Commercial - Public Water</v>
      </c>
      <c r="E227" s="89"/>
      <c r="F227" s="89"/>
      <c r="I227" s="132"/>
      <c r="L227" s="137">
        <f t="shared" ref="L227:AX228" si="232">L193+L204+L215</f>
        <v>0</v>
      </c>
      <c r="M227" s="137">
        <f t="shared" si="232"/>
        <v>0</v>
      </c>
      <c r="N227" s="137">
        <f t="shared" si="232"/>
        <v>0</v>
      </c>
      <c r="O227" s="137">
        <f t="shared" si="232"/>
        <v>0</v>
      </c>
      <c r="P227" s="137">
        <f t="shared" si="232"/>
        <v>0</v>
      </c>
      <c r="Q227" s="137">
        <f t="shared" si="232"/>
        <v>0</v>
      </c>
      <c r="R227" s="137">
        <f t="shared" si="232"/>
        <v>0</v>
      </c>
      <c r="S227" s="137">
        <f t="shared" si="232"/>
        <v>0</v>
      </c>
      <c r="T227" s="137">
        <f t="shared" si="232"/>
        <v>0</v>
      </c>
      <c r="U227" s="137">
        <f t="shared" si="232"/>
        <v>0</v>
      </c>
      <c r="V227" s="137">
        <f t="shared" si="232"/>
        <v>0</v>
      </c>
      <c r="W227" s="137">
        <f t="shared" si="232"/>
        <v>0</v>
      </c>
      <c r="X227" s="137">
        <f t="shared" si="232"/>
        <v>0</v>
      </c>
      <c r="Y227" s="137">
        <f t="shared" si="232"/>
        <v>0</v>
      </c>
      <c r="Z227" s="137">
        <f t="shared" si="232"/>
        <v>0</v>
      </c>
      <c r="AA227" s="137">
        <f t="shared" si="232"/>
        <v>0</v>
      </c>
      <c r="AB227" s="137">
        <f t="shared" si="232"/>
        <v>0</v>
      </c>
      <c r="AC227" s="137">
        <f t="shared" si="232"/>
        <v>0</v>
      </c>
      <c r="AD227" s="137">
        <f t="shared" si="232"/>
        <v>0</v>
      </c>
      <c r="AE227" s="137">
        <f t="shared" si="232"/>
        <v>0</v>
      </c>
      <c r="AF227" s="137">
        <f t="shared" si="232"/>
        <v>0</v>
      </c>
      <c r="AG227" s="137">
        <f t="shared" si="232"/>
        <v>0</v>
      </c>
      <c r="AH227" s="137">
        <f t="shared" si="232"/>
        <v>0</v>
      </c>
      <c r="AI227" s="137">
        <f t="shared" si="232"/>
        <v>0</v>
      </c>
      <c r="AJ227" s="137">
        <f t="shared" si="232"/>
        <v>0</v>
      </c>
      <c r="AK227" s="137">
        <f t="shared" si="230"/>
        <v>0</v>
      </c>
      <c r="AL227" s="137">
        <f t="shared" si="230"/>
        <v>0</v>
      </c>
      <c r="AM227" s="137">
        <f t="shared" si="230"/>
        <v>0</v>
      </c>
      <c r="AN227" s="137">
        <f t="shared" si="230"/>
        <v>0</v>
      </c>
      <c r="AO227" s="137">
        <f t="shared" si="230"/>
        <v>0</v>
      </c>
      <c r="AP227" s="137">
        <f t="shared" si="230"/>
        <v>0</v>
      </c>
      <c r="AQ227" s="137">
        <f t="shared" si="230"/>
        <v>0</v>
      </c>
      <c r="AR227" s="137">
        <f t="shared" si="230"/>
        <v>0</v>
      </c>
      <c r="AS227" s="137">
        <f t="shared" si="230"/>
        <v>0</v>
      </c>
      <c r="AT227" s="137">
        <f t="shared" si="230"/>
        <v>0</v>
      </c>
      <c r="AU227" s="137">
        <f t="shared" si="232"/>
        <v>0</v>
      </c>
      <c r="AV227" s="137">
        <f t="shared" si="232"/>
        <v>0</v>
      </c>
      <c r="AW227" s="137">
        <f t="shared" si="232"/>
        <v>0</v>
      </c>
      <c r="AX227" s="137">
        <f t="shared" si="232"/>
        <v>0</v>
      </c>
      <c r="AY227" s="137">
        <f t="shared" ref="AY227:BR227" si="233">AY193+AY204+AY215</f>
        <v>0</v>
      </c>
      <c r="AZ227" s="137">
        <f t="shared" si="233"/>
        <v>0</v>
      </c>
      <c r="BA227" s="137">
        <f t="shared" si="233"/>
        <v>0</v>
      </c>
      <c r="BB227" s="137">
        <f t="shared" si="233"/>
        <v>0</v>
      </c>
      <c r="BC227" s="137">
        <f t="shared" si="233"/>
        <v>0</v>
      </c>
      <c r="BD227" s="137">
        <f t="shared" si="233"/>
        <v>0</v>
      </c>
      <c r="BE227" s="137">
        <f t="shared" si="233"/>
        <v>0</v>
      </c>
      <c r="BF227" s="137">
        <f t="shared" si="233"/>
        <v>0</v>
      </c>
      <c r="BG227" s="137">
        <f t="shared" si="233"/>
        <v>0</v>
      </c>
      <c r="BH227" s="137">
        <f t="shared" si="233"/>
        <v>0</v>
      </c>
      <c r="BI227" s="137">
        <f t="shared" si="233"/>
        <v>0</v>
      </c>
      <c r="BJ227" s="137">
        <f t="shared" si="233"/>
        <v>0</v>
      </c>
      <c r="BK227" s="137">
        <f t="shared" si="233"/>
        <v>0</v>
      </c>
      <c r="BL227" s="137">
        <f t="shared" si="233"/>
        <v>0</v>
      </c>
      <c r="BM227" s="137">
        <f t="shared" si="233"/>
        <v>0</v>
      </c>
      <c r="BN227" s="137">
        <f t="shared" si="233"/>
        <v>0</v>
      </c>
      <c r="BO227" s="137">
        <f t="shared" si="233"/>
        <v>0</v>
      </c>
      <c r="BP227" s="137">
        <f t="shared" si="233"/>
        <v>0</v>
      </c>
      <c r="BQ227" s="137">
        <f t="shared" si="233"/>
        <v>0</v>
      </c>
      <c r="BR227" s="137">
        <f t="shared" si="233"/>
        <v>0</v>
      </c>
    </row>
    <row r="228" spans="1:70">
      <c r="A228" t="s">
        <v>16</v>
      </c>
      <c r="B228" s="70" t="str">
        <f t="shared" si="227"/>
        <v>CNO</v>
      </c>
      <c r="C228" s="70" t="str">
        <f t="shared" si="227"/>
        <v>Commercial - Other</v>
      </c>
      <c r="E228" s="89"/>
      <c r="F228" s="89"/>
      <c r="I228" s="132"/>
      <c r="L228" s="137">
        <f t="shared" si="232"/>
        <v>0</v>
      </c>
      <c r="M228" s="137">
        <f t="shared" si="232"/>
        <v>0</v>
      </c>
      <c r="N228" s="137">
        <f t="shared" si="232"/>
        <v>0</v>
      </c>
      <c r="O228" s="137">
        <f t="shared" si="232"/>
        <v>0</v>
      </c>
      <c r="P228" s="137">
        <f t="shared" si="232"/>
        <v>0</v>
      </c>
      <c r="Q228" s="137">
        <f t="shared" si="232"/>
        <v>0</v>
      </c>
      <c r="R228" s="137">
        <f t="shared" si="232"/>
        <v>0.2664183286493273</v>
      </c>
      <c r="S228" s="137">
        <f t="shared" si="232"/>
        <v>0.51327654743666928</v>
      </c>
      <c r="T228" s="137">
        <f t="shared" si="232"/>
        <v>0.668227478172846</v>
      </c>
      <c r="U228" s="137">
        <f t="shared" si="232"/>
        <v>1.1331952602511981</v>
      </c>
      <c r="V228" s="137">
        <f t="shared" si="232"/>
        <v>1.3571971918352403</v>
      </c>
      <c r="W228" s="137">
        <f t="shared" si="232"/>
        <v>1.4513858812895115</v>
      </c>
      <c r="X228" s="137">
        <f t="shared" si="232"/>
        <v>1.5814361471601028</v>
      </c>
      <c r="Y228" s="137">
        <f t="shared" si="232"/>
        <v>1.700353698059333</v>
      </c>
      <c r="Z228" s="137">
        <f t="shared" si="232"/>
        <v>1.8185512868703899</v>
      </c>
      <c r="AA228" s="137">
        <f t="shared" si="232"/>
        <v>1.9284301520081257</v>
      </c>
      <c r="AB228" s="137">
        <f t="shared" si="232"/>
        <v>2.0284654751050288</v>
      </c>
      <c r="AC228" s="137">
        <f t="shared" si="232"/>
        <v>2.1270126375500173</v>
      </c>
      <c r="AD228" s="137">
        <f t="shared" si="232"/>
        <v>2.2217811426543936</v>
      </c>
      <c r="AE228" s="137">
        <f t="shared" si="232"/>
        <v>2.4251072013970054</v>
      </c>
      <c r="AF228" s="137">
        <f t="shared" si="232"/>
        <v>2.63288050338035</v>
      </c>
      <c r="AG228" s="137">
        <f t="shared" si="232"/>
        <v>2.8460773905112462</v>
      </c>
      <c r="AH228" s="137">
        <f t="shared" si="232"/>
        <v>3.0754301941502042</v>
      </c>
      <c r="AI228" s="137">
        <f t="shared" si="232"/>
        <v>3.3106167731677187</v>
      </c>
      <c r="AJ228" s="137">
        <f t="shared" si="232"/>
        <v>3.5518387189850094</v>
      </c>
      <c r="AK228" s="137">
        <f t="shared" si="230"/>
        <v>3.7998620601140951</v>
      </c>
      <c r="AL228" s="137">
        <f t="shared" si="230"/>
        <v>4.0521593134105967</v>
      </c>
      <c r="AM228" s="137">
        <f t="shared" si="230"/>
        <v>4.3036204787250956</v>
      </c>
      <c r="AN228" s="137">
        <f t="shared" si="230"/>
        <v>4.5524038667902218</v>
      </c>
      <c r="AO228" s="137">
        <f t="shared" si="230"/>
        <v>4.7451144148636759</v>
      </c>
      <c r="AP228" s="137">
        <f t="shared" si="230"/>
        <v>4.9352080624255255</v>
      </c>
      <c r="AQ228" s="137">
        <f t="shared" si="230"/>
        <v>5.1228260860767874</v>
      </c>
      <c r="AR228" s="137">
        <f t="shared" si="230"/>
        <v>5.3080976561514452</v>
      </c>
      <c r="AS228" s="137">
        <f t="shared" si="230"/>
        <v>5.4911412330695164</v>
      </c>
      <c r="AT228" s="137">
        <f t="shared" si="230"/>
        <v>5.6964814604284184</v>
      </c>
      <c r="AU228" s="137">
        <f t="shared" si="232"/>
        <v>5.8989083592471472</v>
      </c>
      <c r="AV228" s="137">
        <f t="shared" si="232"/>
        <v>6.0985815254660984</v>
      </c>
      <c r="AW228" s="137">
        <f t="shared" si="232"/>
        <v>6.2956466843731089</v>
      </c>
      <c r="AX228" s="137">
        <f t="shared" si="232"/>
        <v>6.4902373124755979</v>
      </c>
      <c r="AY228" s="137">
        <f t="shared" ref="AY228:BR228" si="234">AY194+AY205+AY216</f>
        <v>6.6752539978758714</v>
      </c>
      <c r="AZ228" s="137">
        <f t="shared" si="234"/>
        <v>6.858269506706824</v>
      </c>
      <c r="BA228" s="137">
        <f t="shared" si="234"/>
        <v>7.0393721920962093</v>
      </c>
      <c r="BB228" s="137">
        <f t="shared" si="234"/>
        <v>7.2186441773534513</v>
      </c>
      <c r="BC228" s="137">
        <f t="shared" si="234"/>
        <v>7.3961619506397067</v>
      </c>
      <c r="BD228" s="137">
        <f t="shared" si="234"/>
        <v>7.5719968888147875</v>
      </c>
      <c r="BE228" s="137">
        <f t="shared" si="234"/>
        <v>7.7462157204848241</v>
      </c>
      <c r="BF228" s="137">
        <f t="shared" si="234"/>
        <v>7.9188809366419557</v>
      </c>
      <c r="BG228" s="137">
        <f t="shared" si="234"/>
        <v>8.090051155954102</v>
      </c>
      <c r="BH228" s="137">
        <f t="shared" si="234"/>
        <v>8.2597814506676208</v>
      </c>
      <c r="BI228" s="137">
        <f t="shared" si="234"/>
        <v>8.3629296709883718</v>
      </c>
      <c r="BJ228" s="137">
        <f t="shared" si="234"/>
        <v>8.465873843522056</v>
      </c>
      <c r="BK228" s="137">
        <f t="shared" si="234"/>
        <v>8.5686167644068956</v>
      </c>
      <c r="BL228" s="137">
        <f t="shared" si="234"/>
        <v>8.6711611674017046</v>
      </c>
      <c r="BM228" s="137">
        <f t="shared" si="234"/>
        <v>8.7735097258050523</v>
      </c>
      <c r="BN228" s="137">
        <f t="shared" si="234"/>
        <v>8.8756650542994233</v>
      </c>
      <c r="BO228" s="137">
        <f t="shared" si="234"/>
        <v>8.9776297107239529</v>
      </c>
      <c r="BP228" s="137">
        <f t="shared" si="234"/>
        <v>9.0794061977790275</v>
      </c>
      <c r="BQ228" s="137">
        <f t="shared" si="234"/>
        <v>9.1809969646659439</v>
      </c>
      <c r="BR228" s="137">
        <f t="shared" si="234"/>
        <v>9.2824044086646502</v>
      </c>
    </row>
    <row r="229" spans="1:70" ht="15.75" thickBot="1">
      <c r="A229" t="s">
        <v>16</v>
      </c>
      <c r="B229" s="68"/>
      <c r="C229" s="68"/>
      <c r="D229" s="68"/>
      <c r="E229" s="68"/>
      <c r="F229" s="68"/>
      <c r="G229" s="68"/>
      <c r="H229" s="68"/>
      <c r="I229" s="133"/>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row>
    <row r="230" spans="1:70">
      <c r="A230" t="s">
        <v>16</v>
      </c>
      <c r="E230" s="89"/>
      <c r="F230" s="89"/>
      <c r="I230" s="132"/>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row>
    <row r="231" spans="1:70" ht="15.75" thickBot="1">
      <c r="A231" t="s">
        <v>16</v>
      </c>
      <c r="B231" s="68" t="s">
        <v>483</v>
      </c>
      <c r="C231" s="68"/>
      <c r="E231" s="89"/>
      <c r="F231" s="89"/>
      <c r="I231" s="132"/>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row>
    <row r="232" spans="1:70">
      <c r="A232" t="s">
        <v>16</v>
      </c>
      <c r="E232" s="89"/>
      <c r="F232" s="89"/>
      <c r="I232" s="132"/>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c r="BG232" s="77"/>
      <c r="BH232" s="77"/>
      <c r="BI232" s="77"/>
      <c r="BJ232" s="77"/>
      <c r="BK232" s="77"/>
      <c r="BL232" s="77"/>
      <c r="BM232" s="77"/>
      <c r="BN232" s="77"/>
      <c r="BO232" s="77"/>
      <c r="BP232" s="77"/>
      <c r="BQ232" s="77"/>
      <c r="BR232" s="77"/>
    </row>
    <row r="233" spans="1:70">
      <c r="A233" t="s">
        <v>16</v>
      </c>
      <c r="B233" s="70" t="str">
        <f t="shared" ref="B233:C241" si="235">B162</f>
        <v>CEC</v>
      </c>
      <c r="C233" s="70" t="str">
        <f t="shared" si="235"/>
        <v>Commercial - Cooling</v>
      </c>
      <c r="E233" s="89"/>
      <c r="F233" s="89"/>
      <c r="I233" s="132"/>
      <c r="L233" s="77">
        <f t="shared" ref="L233:AX239" si="236">L162+L174+L151</f>
        <v>139.66439435388435</v>
      </c>
      <c r="M233" s="77">
        <f t="shared" si="236"/>
        <v>137.4546528607118</v>
      </c>
      <c r="N233" s="77">
        <f t="shared" si="236"/>
        <v>135.58181469226182</v>
      </c>
      <c r="O233" s="77">
        <f t="shared" si="236"/>
        <v>133.4362040887122</v>
      </c>
      <c r="P233" s="77">
        <f t="shared" si="236"/>
        <v>131.16029709988769</v>
      </c>
      <c r="Q233" s="77">
        <f t="shared" si="236"/>
        <v>128.41271933541799</v>
      </c>
      <c r="R233" s="77">
        <f t="shared" si="236"/>
        <v>127.5701706714746</v>
      </c>
      <c r="S233" s="77">
        <f t="shared" si="236"/>
        <v>126.6952018486339</v>
      </c>
      <c r="T233" s="77">
        <f t="shared" si="236"/>
        <v>125.66790009395055</v>
      </c>
      <c r="U233" s="77">
        <f t="shared" si="236"/>
        <v>120.88343774366243</v>
      </c>
      <c r="V233" s="77">
        <f t="shared" si="236"/>
        <v>115.78072607996171</v>
      </c>
      <c r="W233" s="77">
        <f t="shared" si="236"/>
        <v>110.54871044182232</v>
      </c>
      <c r="X233" s="77">
        <f t="shared" si="236"/>
        <v>105.45744845726982</v>
      </c>
      <c r="Y233" s="77">
        <f t="shared" si="236"/>
        <v>100.43004755893899</v>
      </c>
      <c r="Z233" s="77">
        <f t="shared" si="236"/>
        <v>95.482342178926345</v>
      </c>
      <c r="AA233" s="77">
        <f t="shared" si="236"/>
        <v>90.601505172019984</v>
      </c>
      <c r="AB233" s="77">
        <f t="shared" si="236"/>
        <v>85.784388033840415</v>
      </c>
      <c r="AC233" s="77">
        <f t="shared" si="236"/>
        <v>81.04244792357872</v>
      </c>
      <c r="AD233" s="77">
        <f t="shared" si="236"/>
        <v>76.370433206571349</v>
      </c>
      <c r="AE233" s="77">
        <f t="shared" si="236"/>
        <v>75.868426062404353</v>
      </c>
      <c r="AF233" s="77">
        <f t="shared" si="236"/>
        <v>75.373829530766045</v>
      </c>
      <c r="AG233" s="77">
        <f t="shared" si="236"/>
        <v>74.888270527742534</v>
      </c>
      <c r="AH233" s="77">
        <f t="shared" si="236"/>
        <v>74.429632750027906</v>
      </c>
      <c r="AI233" s="77">
        <f t="shared" si="236"/>
        <v>73.980716016692867</v>
      </c>
      <c r="AJ233" s="77">
        <f t="shared" si="236"/>
        <v>73.541856247279227</v>
      </c>
      <c r="AK233" s="77">
        <f t="shared" si="236"/>
        <v>73.114329904571065</v>
      </c>
      <c r="AL233" s="77">
        <f t="shared" si="236"/>
        <v>72.693925346154856</v>
      </c>
      <c r="AM233" s="77">
        <f t="shared" si="236"/>
        <v>72.272127582164075</v>
      </c>
      <c r="AN233" s="77">
        <f t="shared" si="236"/>
        <v>71.84586773490976</v>
      </c>
      <c r="AO233" s="77">
        <f t="shared" si="236"/>
        <v>71.438563907275395</v>
      </c>
      <c r="AP233" s="77">
        <f t="shared" si="236"/>
        <v>71.025373212923455</v>
      </c>
      <c r="AQ233" s="77">
        <f t="shared" si="236"/>
        <v>70.606613461612781</v>
      </c>
      <c r="AR233" s="77">
        <f t="shared" si="236"/>
        <v>70.182575229365114</v>
      </c>
      <c r="AS233" s="77">
        <f t="shared" si="236"/>
        <v>69.753524999640931</v>
      </c>
      <c r="AT233" s="77">
        <f t="shared" si="236"/>
        <v>69.374632354743369</v>
      </c>
      <c r="AU233" s="77">
        <f t="shared" si="236"/>
        <v>68.989186011398132</v>
      </c>
      <c r="AV233" s="77">
        <f t="shared" si="236"/>
        <v>68.597544989761246</v>
      </c>
      <c r="AW233" s="77">
        <f t="shared" si="236"/>
        <v>68.200037107165841</v>
      </c>
      <c r="AX233" s="77">
        <f t="shared" si="236"/>
        <v>67.796962626616008</v>
      </c>
      <c r="AY233" s="77">
        <f t="shared" ref="AY233:BR238" si="237">AY162+AY174+AY151</f>
        <v>67.372351016779177</v>
      </c>
      <c r="AZ233" s="77">
        <f t="shared" si="237"/>
        <v>66.943237646294719</v>
      </c>
      <c r="BA233" s="77">
        <f t="shared" si="237"/>
        <v>66.509821270554667</v>
      </c>
      <c r="BB233" s="77">
        <f t="shared" si="237"/>
        <v>66.072286630620027</v>
      </c>
      <c r="BC233" s="77">
        <f t="shared" si="237"/>
        <v>65.630805790964828</v>
      </c>
      <c r="BD233" s="77">
        <f t="shared" si="237"/>
        <v>65.185539317899725</v>
      </c>
      <c r="BE233" s="77">
        <f t="shared" si="237"/>
        <v>64.736637321223981</v>
      </c>
      <c r="BF233" s="77">
        <f t="shared" si="237"/>
        <v>64.284240377982911</v>
      </c>
      <c r="BG233" s="77">
        <f t="shared" si="237"/>
        <v>63.828480354207983</v>
      </c>
      <c r="BH233" s="77">
        <f t="shared" si="237"/>
        <v>63.369481138053416</v>
      </c>
      <c r="BI233" s="77">
        <f t="shared" si="237"/>
        <v>62.760701754104176</v>
      </c>
      <c r="BJ233" s="77">
        <f t="shared" si="237"/>
        <v>62.151463353038615</v>
      </c>
      <c r="BK233" s="77">
        <f t="shared" si="237"/>
        <v>61.54177222492892</v>
      </c>
      <c r="BL233" s="77">
        <f t="shared" si="237"/>
        <v>60.931634519521204</v>
      </c>
      <c r="BM233" s="77">
        <f t="shared" si="237"/>
        <v>60.321056250552815</v>
      </c>
      <c r="BN233" s="77">
        <f t="shared" si="237"/>
        <v>59.710043299900917</v>
      </c>
      <c r="BO233" s="77">
        <f t="shared" si="237"/>
        <v>59.098601421570294</v>
      </c>
      <c r="BP233" s="77">
        <f t="shared" si="237"/>
        <v>58.486736245527936</v>
      </c>
      <c r="BQ233" s="77">
        <f t="shared" si="237"/>
        <v>57.874453281391695</v>
      </c>
      <c r="BR233" s="77">
        <f t="shared" si="237"/>
        <v>57.261757921979267</v>
      </c>
    </row>
    <row r="234" spans="1:70">
      <c r="A234" t="s">
        <v>16</v>
      </c>
      <c r="B234" s="70" t="str">
        <f t="shared" si="235"/>
        <v>CEH</v>
      </c>
      <c r="C234" s="70" t="str">
        <f t="shared" si="235"/>
        <v>Commercial - Space Heating</v>
      </c>
      <c r="E234" s="89"/>
      <c r="F234" s="89"/>
      <c r="I234" s="132"/>
      <c r="L234" s="77">
        <f t="shared" si="236"/>
        <v>7.8517549075018991</v>
      </c>
      <c r="M234" s="77">
        <f t="shared" si="236"/>
        <v>8.6464867087259751</v>
      </c>
      <c r="N234" s="77">
        <f t="shared" si="236"/>
        <v>9.4819790623114137</v>
      </c>
      <c r="O234" s="77">
        <f t="shared" si="236"/>
        <v>10.319932556631571</v>
      </c>
      <c r="P234" s="77">
        <f t="shared" si="236"/>
        <v>11.168015722760602</v>
      </c>
      <c r="Q234" s="77">
        <f t="shared" si="236"/>
        <v>11.992907577983001</v>
      </c>
      <c r="R234" s="77">
        <f t="shared" si="236"/>
        <v>11.914219046901959</v>
      </c>
      <c r="S234" s="77">
        <f t="shared" si="236"/>
        <v>11.832502685156392</v>
      </c>
      <c r="T234" s="77">
        <f t="shared" si="236"/>
        <v>11.736559424532528</v>
      </c>
      <c r="U234" s="77">
        <f t="shared" si="236"/>
        <v>11.097890296865071</v>
      </c>
      <c r="V234" s="77">
        <f t="shared" si="236"/>
        <v>10.432217555393779</v>
      </c>
      <c r="W234" s="77">
        <f t="shared" si="236"/>
        <v>9.7579560498029316</v>
      </c>
      <c r="X234" s="77">
        <f t="shared" si="236"/>
        <v>9.0995868051351216</v>
      </c>
      <c r="Y234" s="77">
        <f t="shared" si="236"/>
        <v>8.4500913967169602</v>
      </c>
      <c r="Z234" s="77">
        <f t="shared" si="236"/>
        <v>7.8107164292691316</v>
      </c>
      <c r="AA234" s="77">
        <f t="shared" si="236"/>
        <v>7.180226026992897</v>
      </c>
      <c r="AB234" s="77">
        <f t="shared" si="236"/>
        <v>6.5582248611592204</v>
      </c>
      <c r="AC234" s="77">
        <f t="shared" si="236"/>
        <v>5.9453930221674813</v>
      </c>
      <c r="AD234" s="77">
        <f t="shared" si="236"/>
        <v>5.3410027759843191</v>
      </c>
      <c r="AE234" s="77">
        <f t="shared" si="236"/>
        <v>5.3058946662357798</v>
      </c>
      <c r="AF234" s="77">
        <f t="shared" si="236"/>
        <v>5.2713048212190952</v>
      </c>
      <c r="AG234" s="77">
        <f t="shared" si="236"/>
        <v>5.2373470200889365</v>
      </c>
      <c r="AH234" s="77">
        <f t="shared" si="236"/>
        <v>5.2052719677277768</v>
      </c>
      <c r="AI234" s="77">
        <f t="shared" si="236"/>
        <v>5.1738767612550989</v>
      </c>
      <c r="AJ234" s="77">
        <f t="shared" si="236"/>
        <v>5.1431848933647331</v>
      </c>
      <c r="AK234" s="77">
        <f t="shared" si="236"/>
        <v>5.1132856340920458</v>
      </c>
      <c r="AL234" s="77">
        <f t="shared" si="236"/>
        <v>5.0838844402103245</v>
      </c>
      <c r="AM234" s="77">
        <f t="shared" si="236"/>
        <v>5.0543858118303442</v>
      </c>
      <c r="AN234" s="77">
        <f t="shared" si="236"/>
        <v>5.0245751255230156</v>
      </c>
      <c r="AO234" s="77">
        <f t="shared" si="236"/>
        <v>4.9960901375148952</v>
      </c>
      <c r="AP234" s="77">
        <f t="shared" si="236"/>
        <v>4.9671934486670599</v>
      </c>
      <c r="AQ234" s="77">
        <f t="shared" si="236"/>
        <v>4.9379072851570118</v>
      </c>
      <c r="AR234" s="77">
        <f t="shared" si="236"/>
        <v>4.9082519685578223</v>
      </c>
      <c r="AS234" s="77">
        <f t="shared" si="236"/>
        <v>4.8782461355177595</v>
      </c>
      <c r="AT234" s="77">
        <f t="shared" si="236"/>
        <v>4.8517480971640392</v>
      </c>
      <c r="AU234" s="77">
        <f t="shared" si="236"/>
        <v>4.8247917227746022</v>
      </c>
      <c r="AV234" s="77">
        <f t="shared" si="236"/>
        <v>4.7974021205957849</v>
      </c>
      <c r="AW234" s="77">
        <f t="shared" si="236"/>
        <v>4.7696022166895808</v>
      </c>
      <c r="AX234" s="77">
        <f t="shared" si="236"/>
        <v>4.7414130100928098</v>
      </c>
      <c r="AY234" s="77">
        <f t="shared" si="237"/>
        <v>4.711717594057661</v>
      </c>
      <c r="AZ234" s="77">
        <f t="shared" si="237"/>
        <v>4.6817073452383262</v>
      </c>
      <c r="BA234" s="77">
        <f t="shared" si="237"/>
        <v>4.6513961636882204</v>
      </c>
      <c r="BB234" s="77">
        <f t="shared" si="237"/>
        <v>4.6207969693618072</v>
      </c>
      <c r="BC234" s="77">
        <f t="shared" si="237"/>
        <v>4.5899217956703806</v>
      </c>
      <c r="BD234" s="77">
        <f t="shared" si="237"/>
        <v>4.5587818718956807</v>
      </c>
      <c r="BE234" s="77">
        <f t="shared" si="237"/>
        <v>4.5273876960383195</v>
      </c>
      <c r="BF234" s="77">
        <f t="shared" si="237"/>
        <v>4.4957490994212002</v>
      </c>
      <c r="BG234" s="77">
        <f t="shared" si="237"/>
        <v>4.463875304158309</v>
      </c>
      <c r="BH234" s="77">
        <f t="shared" si="237"/>
        <v>4.4317749744269683</v>
      </c>
      <c r="BI234" s="77">
        <f t="shared" si="237"/>
        <v>4.3891996970177116</v>
      </c>
      <c r="BJ234" s="77">
        <f t="shared" si="237"/>
        <v>4.3465923180268664</v>
      </c>
      <c r="BK234" s="77">
        <f t="shared" si="237"/>
        <v>4.3039532773536404</v>
      </c>
      <c r="BL234" s="77">
        <f t="shared" si="237"/>
        <v>4.2612830050834702</v>
      </c>
      <c r="BM234" s="77">
        <f t="shared" si="237"/>
        <v>4.2185819217899523</v>
      </c>
      <c r="BN234" s="77">
        <f t="shared" si="237"/>
        <v>4.1758504388249795</v>
      </c>
      <c r="BO234" s="77">
        <f t="shared" si="237"/>
        <v>4.1330889585976296</v>
      </c>
      <c r="BP234" s="77">
        <f t="shared" si="237"/>
        <v>4.0902978748423378</v>
      </c>
      <c r="BQ234" s="77">
        <f t="shared" si="237"/>
        <v>4.0474775728768613</v>
      </c>
      <c r="BR234" s="77">
        <f t="shared" si="237"/>
        <v>4.0046284298504879</v>
      </c>
    </row>
    <row r="235" spans="1:70">
      <c r="A235" t="s">
        <v>16</v>
      </c>
      <c r="B235" s="70" t="str">
        <f t="shared" si="235"/>
        <v>CEK</v>
      </c>
      <c r="C235" s="70" t="str">
        <f t="shared" si="235"/>
        <v>Commercial - Cooking</v>
      </c>
      <c r="E235" s="89"/>
      <c r="F235" s="89"/>
      <c r="I235" s="132"/>
      <c r="L235" s="77">
        <f t="shared" si="236"/>
        <v>9.8944997565297612</v>
      </c>
      <c r="M235" s="77">
        <f t="shared" si="236"/>
        <v>9.7120807580170077</v>
      </c>
      <c r="N235" s="77">
        <f t="shared" si="236"/>
        <v>9.5529153405684184</v>
      </c>
      <c r="O235" s="77">
        <f t="shared" si="236"/>
        <v>9.3739244191123756</v>
      </c>
      <c r="P235" s="77">
        <f t="shared" si="236"/>
        <v>9.1852112925639346</v>
      </c>
      <c r="Q235" s="77">
        <f t="shared" si="236"/>
        <v>8.9629891158025892</v>
      </c>
      <c r="R235" s="77">
        <f t="shared" si="236"/>
        <v>8.904180653965307</v>
      </c>
      <c r="S235" s="77">
        <f t="shared" si="236"/>
        <v>8.8431093202502762</v>
      </c>
      <c r="T235" s="77">
        <f t="shared" si="236"/>
        <v>8.7714054073238561</v>
      </c>
      <c r="U235" s="77">
        <f t="shared" si="236"/>
        <v>8.4428584584866169</v>
      </c>
      <c r="V235" s="77">
        <f t="shared" si="236"/>
        <v>8.0920217112027082</v>
      </c>
      <c r="W235" s="77">
        <f t="shared" si="236"/>
        <v>7.7320615912374242</v>
      </c>
      <c r="X235" s="77">
        <f t="shared" si="236"/>
        <v>7.3818485099244802</v>
      </c>
      <c r="Y235" s="77">
        <f t="shared" si="236"/>
        <v>7.036010912860986</v>
      </c>
      <c r="Z235" s="77">
        <f t="shared" si="236"/>
        <v>6.6956605540275085</v>
      </c>
      <c r="AA235" s="77">
        <f t="shared" si="236"/>
        <v>6.3599031876040177</v>
      </c>
      <c r="AB235" s="77">
        <f t="shared" si="236"/>
        <v>6.0285219045171932</v>
      </c>
      <c r="AC235" s="77">
        <f t="shared" si="236"/>
        <v>5.7023273722264545</v>
      </c>
      <c r="AD235" s="77">
        <f t="shared" si="236"/>
        <v>5.3809597149945079</v>
      </c>
      <c r="AE235" s="77">
        <f t="shared" si="236"/>
        <v>5.3455889555790748</v>
      </c>
      <c r="AF235" s="77">
        <f t="shared" si="236"/>
        <v>5.3107403381210201</v>
      </c>
      <c r="AG235" s="77">
        <f t="shared" si="236"/>
        <v>5.2765284929759853</v>
      </c>
      <c r="AH235" s="77">
        <f t="shared" si="236"/>
        <v>5.2442134817597763</v>
      </c>
      <c r="AI235" s="77">
        <f t="shared" si="236"/>
        <v>5.2125834024733484</v>
      </c>
      <c r="AJ235" s="77">
        <f t="shared" si="236"/>
        <v>5.1816619235633219</v>
      </c>
      <c r="AK235" s="77">
        <f t="shared" si="236"/>
        <v>5.1515389829091935</v>
      </c>
      <c r="AL235" s="77">
        <f t="shared" si="236"/>
        <v>5.1219178337568945</v>
      </c>
      <c r="AM235" s="77">
        <f t="shared" si="236"/>
        <v>5.0921985211824836</v>
      </c>
      <c r="AN235" s="77">
        <f t="shared" si="236"/>
        <v>5.062164816122948</v>
      </c>
      <c r="AO235" s="77">
        <f t="shared" si="236"/>
        <v>5.0334667271343037</v>
      </c>
      <c r="AP235" s="77">
        <f t="shared" si="236"/>
        <v>5.0043538573027995</v>
      </c>
      <c r="AQ235" s="77">
        <f t="shared" si="236"/>
        <v>4.9748485990837068</v>
      </c>
      <c r="AR235" s="77">
        <f t="shared" si="236"/>
        <v>4.9449714260791966</v>
      </c>
      <c r="AS235" s="77">
        <f t="shared" si="236"/>
        <v>4.914741114361437</v>
      </c>
      <c r="AT235" s="77">
        <f t="shared" si="236"/>
        <v>4.8880448397313474</v>
      </c>
      <c r="AU235" s="77">
        <f t="shared" si="236"/>
        <v>4.8608868001766616</v>
      </c>
      <c r="AV235" s="77">
        <f t="shared" si="236"/>
        <v>4.8332922917827243</v>
      </c>
      <c r="AW235" s="77">
        <f t="shared" si="236"/>
        <v>4.8052844121252507</v>
      </c>
      <c r="AX235" s="77">
        <f t="shared" si="236"/>
        <v>4.7768843173383813</v>
      </c>
      <c r="AY235" s="77">
        <f t="shared" si="237"/>
        <v>4.7469667449072972</v>
      </c>
      <c r="AZ235" s="77">
        <f t="shared" si="237"/>
        <v>4.7167319843750777</v>
      </c>
      <c r="BA235" s="77">
        <f t="shared" si="237"/>
        <v>4.6861940397837749</v>
      </c>
      <c r="BB235" s="77">
        <f t="shared" si="237"/>
        <v>4.6553659277442012</v>
      </c>
      <c r="BC235" s="77">
        <f t="shared" si="237"/>
        <v>4.6242597716916229</v>
      </c>
      <c r="BD235" s="77">
        <f t="shared" si="237"/>
        <v>4.5928868849159219</v>
      </c>
      <c r="BE235" s="77">
        <f t="shared" si="237"/>
        <v>4.5612578439550173</v>
      </c>
      <c r="BF235" s="77">
        <f t="shared" si="237"/>
        <v>4.5293825536815895</v>
      </c>
      <c r="BG235" s="77">
        <f t="shared" si="237"/>
        <v>4.4972703052018099</v>
      </c>
      <c r="BH235" s="77">
        <f t="shared" si="237"/>
        <v>4.4649298275111668</v>
      </c>
      <c r="BI235" s="77">
        <f t="shared" si="237"/>
        <v>4.4220360372993266</v>
      </c>
      <c r="BJ235" s="77">
        <f t="shared" si="237"/>
        <v>4.3791099053485745</v>
      </c>
      <c r="BK235" s="77">
        <f t="shared" si="237"/>
        <v>4.3361518748490759</v>
      </c>
      <c r="BL235" s="77">
        <f t="shared" si="237"/>
        <v>4.2931623791038085</v>
      </c>
      <c r="BM235" s="77">
        <f t="shared" si="237"/>
        <v>4.250141841832753</v>
      </c>
      <c r="BN235" s="77">
        <f t="shared" si="237"/>
        <v>4.2070906774651942</v>
      </c>
      <c r="BO235" s="77">
        <f t="shared" si="237"/>
        <v>4.1640092914206983</v>
      </c>
      <c r="BP235" s="77">
        <f t="shared" si="237"/>
        <v>4.1208980803792947</v>
      </c>
      <c r="BQ235" s="77">
        <f t="shared" si="237"/>
        <v>4.0777574325413681</v>
      </c>
      <c r="BR235" s="77">
        <f t="shared" si="237"/>
        <v>4.0345877278777227</v>
      </c>
    </row>
    <row r="236" spans="1:70">
      <c r="A236" t="s">
        <v>16</v>
      </c>
      <c r="B236" s="70" t="str">
        <f t="shared" si="235"/>
        <v>CEL</v>
      </c>
      <c r="C236" s="70" t="str">
        <f t="shared" si="235"/>
        <v>Commercial - Lighting</v>
      </c>
      <c r="E236" s="89"/>
      <c r="F236" s="89"/>
      <c r="I236" s="132"/>
      <c r="L236" s="77">
        <f t="shared" si="236"/>
        <v>121.54027190568891</v>
      </c>
      <c r="M236" s="77">
        <f t="shared" si="236"/>
        <v>119.61728657242656</v>
      </c>
      <c r="N236" s="77">
        <f t="shared" si="236"/>
        <v>117.98748492339632</v>
      </c>
      <c r="O236" s="77">
        <f t="shared" si="236"/>
        <v>116.12030827207033</v>
      </c>
      <c r="P236" s="77">
        <f t="shared" si="236"/>
        <v>114.13974367983143</v>
      </c>
      <c r="Q236" s="77">
        <f t="shared" si="236"/>
        <v>111.748716602955</v>
      </c>
      <c r="R236" s="77">
        <f t="shared" si="236"/>
        <v>111.01550471897272</v>
      </c>
      <c r="S236" s="77">
        <f t="shared" si="236"/>
        <v>110.25407981086335</v>
      </c>
      <c r="T236" s="77">
        <f t="shared" si="236"/>
        <v>109.3600900780397</v>
      </c>
      <c r="U236" s="77">
        <f t="shared" si="236"/>
        <v>105.19650309034176</v>
      </c>
      <c r="V236" s="77">
        <f t="shared" si="236"/>
        <v>100.75596571550396</v>
      </c>
      <c r="W236" s="77">
        <f t="shared" si="236"/>
        <v>96.202904026330572</v>
      </c>
      <c r="X236" s="77">
        <f t="shared" si="236"/>
        <v>91.772330516107957</v>
      </c>
      <c r="Y236" s="77">
        <f t="shared" si="236"/>
        <v>87.39733089656437</v>
      </c>
      <c r="Z236" s="77">
        <f t="shared" si="236"/>
        <v>83.091684779829194</v>
      </c>
      <c r="AA236" s="77">
        <f t="shared" si="236"/>
        <v>78.84422958775184</v>
      </c>
      <c r="AB236" s="77">
        <f t="shared" si="236"/>
        <v>74.652225394525558</v>
      </c>
      <c r="AC236" s="77">
        <f t="shared" si="236"/>
        <v>70.525642574129961</v>
      </c>
      <c r="AD236" s="77">
        <f t="shared" si="236"/>
        <v>66.459910991793663</v>
      </c>
      <c r="AE236" s="77">
        <f t="shared" si="236"/>
        <v>66.023048861807581</v>
      </c>
      <c r="AF236" s="77">
        <f t="shared" si="236"/>
        <v>65.592635675848285</v>
      </c>
      <c r="AG236" s="77">
        <f t="shared" si="236"/>
        <v>65.170087226569223</v>
      </c>
      <c r="AH236" s="77">
        <f t="shared" si="236"/>
        <v>64.770966459479396</v>
      </c>
      <c r="AI236" s="77">
        <f t="shared" si="236"/>
        <v>64.380305245610501</v>
      </c>
      <c r="AJ236" s="77">
        <f t="shared" si="236"/>
        <v>63.99839591252843</v>
      </c>
      <c r="AK236" s="77">
        <f t="shared" si="236"/>
        <v>63.626349277593448</v>
      </c>
      <c r="AL236" s="77">
        <f t="shared" si="236"/>
        <v>63.260500239428239</v>
      </c>
      <c r="AM236" s="77">
        <f t="shared" si="236"/>
        <v>62.893438790718882</v>
      </c>
      <c r="AN236" s="77">
        <f t="shared" si="236"/>
        <v>62.522494299265354</v>
      </c>
      <c r="AO236" s="77">
        <f t="shared" si="236"/>
        <v>62.168045921868078</v>
      </c>
      <c r="AP236" s="77">
        <f t="shared" si="236"/>
        <v>61.808474611135942</v>
      </c>
      <c r="AQ236" s="77">
        <f t="shared" si="236"/>
        <v>61.444056934942125</v>
      </c>
      <c r="AR236" s="77">
        <f t="shared" si="236"/>
        <v>61.075045761520215</v>
      </c>
      <c r="AS236" s="77">
        <f t="shared" si="236"/>
        <v>60.701672993012409</v>
      </c>
      <c r="AT236" s="77">
        <f t="shared" si="236"/>
        <v>60.371948904801123</v>
      </c>
      <c r="AU236" s="77">
        <f t="shared" si="236"/>
        <v>60.036521585676894</v>
      </c>
      <c r="AV236" s="77">
        <f t="shared" si="236"/>
        <v>59.695703466074001</v>
      </c>
      <c r="AW236" s="77">
        <f t="shared" si="236"/>
        <v>59.349779822765996</v>
      </c>
      <c r="AX236" s="77">
        <f t="shared" si="236"/>
        <v>58.999011953897863</v>
      </c>
      <c r="AY236" s="77">
        <f t="shared" si="237"/>
        <v>58.62950180957921</v>
      </c>
      <c r="AZ236" s="77">
        <f t="shared" si="237"/>
        <v>58.256074094030623</v>
      </c>
      <c r="BA236" s="77">
        <f t="shared" si="237"/>
        <v>57.878901770336242</v>
      </c>
      <c r="BB236" s="77">
        <f t="shared" si="237"/>
        <v>57.498145605876232</v>
      </c>
      <c r="BC236" s="77">
        <f t="shared" si="237"/>
        <v>57.113955336473097</v>
      </c>
      <c r="BD236" s="77">
        <f t="shared" si="237"/>
        <v>56.726470691892217</v>
      </c>
      <c r="BE236" s="77">
        <f t="shared" si="237"/>
        <v>56.335822302319627</v>
      </c>
      <c r="BF236" s="77">
        <f t="shared" si="237"/>
        <v>55.942132502244299</v>
      </c>
      <c r="BG236" s="77">
        <f t="shared" si="237"/>
        <v>55.545516045561783</v>
      </c>
      <c r="BH236" s="77">
        <f t="shared" si="237"/>
        <v>55.14608074357227</v>
      </c>
      <c r="BI236" s="77">
        <f t="shared" si="237"/>
        <v>54.616302111029121</v>
      </c>
      <c r="BJ236" s="77">
        <f t="shared" si="237"/>
        <v>54.086124027606708</v>
      </c>
      <c r="BK236" s="77">
        <f t="shared" si="237"/>
        <v>53.555551967120209</v>
      </c>
      <c r="BL236" s="77">
        <f t="shared" si="237"/>
        <v>53.024591281268755</v>
      </c>
      <c r="BM236" s="77">
        <f t="shared" si="237"/>
        <v>52.493247203392421</v>
      </c>
      <c r="BN236" s="77">
        <f t="shared" si="237"/>
        <v>51.961524852082455</v>
      </c>
      <c r="BO236" s="77">
        <f t="shared" si="237"/>
        <v>51.42942923465165</v>
      </c>
      <c r="BP236" s="77">
        <f t="shared" si="237"/>
        <v>50.896965250471268</v>
      </c>
      <c r="BQ236" s="77">
        <f t="shared" si="237"/>
        <v>50.364137694181004</v>
      </c>
      <c r="BR236" s="77">
        <f t="shared" si="237"/>
        <v>49.830951258777475</v>
      </c>
    </row>
    <row r="237" spans="1:70">
      <c r="A237" t="s">
        <v>16</v>
      </c>
      <c r="B237" s="70" t="str">
        <f t="shared" si="235"/>
        <v>CER</v>
      </c>
      <c r="C237" s="70" t="str">
        <f t="shared" si="235"/>
        <v>Commercial - Refrigeration</v>
      </c>
      <c r="E237" s="89"/>
      <c r="F237" s="89"/>
      <c r="I237" s="132"/>
      <c r="L237" s="77">
        <f t="shared" si="236"/>
        <v>29.566390373747055</v>
      </c>
      <c r="M237" s="77">
        <f t="shared" si="236"/>
        <v>29.09859699008291</v>
      </c>
      <c r="N237" s="77">
        <f t="shared" si="236"/>
        <v>28.702124684801294</v>
      </c>
      <c r="O237" s="77">
        <f t="shared" si="236"/>
        <v>28.247907552452883</v>
      </c>
      <c r="P237" s="77">
        <f t="shared" si="236"/>
        <v>27.766107199562498</v>
      </c>
      <c r="Q237" s="77">
        <f t="shared" si="236"/>
        <v>27.184456041138404</v>
      </c>
      <c r="R237" s="77">
        <f t="shared" si="236"/>
        <v>27.006091878802874</v>
      </c>
      <c r="S237" s="77">
        <f t="shared" si="236"/>
        <v>26.82086449926463</v>
      </c>
      <c r="T237" s="77">
        <f t="shared" si="236"/>
        <v>26.603388850935517</v>
      </c>
      <c r="U237" s="77">
        <f t="shared" si="236"/>
        <v>25.590537420679915</v>
      </c>
      <c r="V237" s="77">
        <f t="shared" si="236"/>
        <v>24.510313891185536</v>
      </c>
      <c r="W237" s="77">
        <f t="shared" si="236"/>
        <v>23.402717230530442</v>
      </c>
      <c r="X237" s="77">
        <f t="shared" si="236"/>
        <v>22.324917552046301</v>
      </c>
      <c r="Y237" s="77">
        <f t="shared" si="236"/>
        <v>21.260637008583352</v>
      </c>
      <c r="Z237" s="77">
        <f t="shared" si="236"/>
        <v>20.213227685709832</v>
      </c>
      <c r="AA237" s="77">
        <f t="shared" si="236"/>
        <v>19.179974128391756</v>
      </c>
      <c r="AB237" s="77">
        <f t="shared" si="236"/>
        <v>18.160209810919365</v>
      </c>
      <c r="AC237" s="77">
        <f t="shared" si="236"/>
        <v>17.156360167797864</v>
      </c>
      <c r="AD237" s="77">
        <f t="shared" si="236"/>
        <v>16.167313449097875</v>
      </c>
      <c r="AE237" s="77">
        <f t="shared" si="236"/>
        <v>16.061040556400233</v>
      </c>
      <c r="AF237" s="77">
        <f t="shared" si="236"/>
        <v>15.956336460559843</v>
      </c>
      <c r="AG237" s="77">
        <f t="shared" si="236"/>
        <v>15.85354557316656</v>
      </c>
      <c r="AH237" s="77">
        <f t="shared" si="236"/>
        <v>15.756453800859159</v>
      </c>
      <c r="AI237" s="77">
        <f t="shared" si="236"/>
        <v>15.661419934536294</v>
      </c>
      <c r="AJ237" s="77">
        <f t="shared" si="236"/>
        <v>15.568515087013461</v>
      </c>
      <c r="AK237" s="77">
        <f t="shared" si="236"/>
        <v>15.478009480326467</v>
      </c>
      <c r="AL237" s="77">
        <f t="shared" si="236"/>
        <v>15.389011526721045</v>
      </c>
      <c r="AM237" s="77">
        <f t="shared" si="236"/>
        <v>15.299718637100762</v>
      </c>
      <c r="AN237" s="77">
        <f t="shared" si="236"/>
        <v>15.209481142405865</v>
      </c>
      <c r="AO237" s="77">
        <f t="shared" si="236"/>
        <v>15.123256560798863</v>
      </c>
      <c r="AP237" s="77">
        <f t="shared" si="236"/>
        <v>15.035785753192346</v>
      </c>
      <c r="AQ237" s="77">
        <f t="shared" si="236"/>
        <v>14.947135998633621</v>
      </c>
      <c r="AR237" s="77">
        <f t="shared" si="236"/>
        <v>14.857368810897423</v>
      </c>
      <c r="AS237" s="77">
        <f t="shared" si="236"/>
        <v>14.76654060346018</v>
      </c>
      <c r="AT237" s="77">
        <f t="shared" si="236"/>
        <v>14.68633055493201</v>
      </c>
      <c r="AU237" s="77">
        <f t="shared" si="236"/>
        <v>14.604733114809923</v>
      </c>
      <c r="AV237" s="77">
        <f t="shared" si="236"/>
        <v>14.521824286216507</v>
      </c>
      <c r="AW237" s="77">
        <f t="shared" si="236"/>
        <v>14.437673466762281</v>
      </c>
      <c r="AX237" s="77">
        <f t="shared" si="236"/>
        <v>14.352344220917168</v>
      </c>
      <c r="AY237" s="77">
        <f t="shared" si="237"/>
        <v>14.262455651452209</v>
      </c>
      <c r="AZ237" s="77">
        <f t="shared" si="237"/>
        <v>14.171614077370048</v>
      </c>
      <c r="BA237" s="77">
        <f t="shared" si="237"/>
        <v>14.079861574387543</v>
      </c>
      <c r="BB237" s="77">
        <f t="shared" si="237"/>
        <v>13.987237251444029</v>
      </c>
      <c r="BC237" s="77">
        <f t="shared" si="237"/>
        <v>13.893777533896394</v>
      </c>
      <c r="BD237" s="77">
        <f t="shared" si="237"/>
        <v>13.799516412986604</v>
      </c>
      <c r="BE237" s="77">
        <f t="shared" si="237"/>
        <v>13.704485666355222</v>
      </c>
      <c r="BF237" s="77">
        <f t="shared" si="237"/>
        <v>13.608715053597159</v>
      </c>
      <c r="BG237" s="77">
        <f t="shared" si="237"/>
        <v>13.51223249022074</v>
      </c>
      <c r="BH237" s="77">
        <f t="shared" si="237"/>
        <v>13.415064202849774</v>
      </c>
      <c r="BI237" s="77">
        <f t="shared" si="237"/>
        <v>13.286188056566381</v>
      </c>
      <c r="BJ237" s="77">
        <f t="shared" si="237"/>
        <v>13.157214738206228</v>
      </c>
      <c r="BK237" s="77">
        <f t="shared" si="237"/>
        <v>13.028145579352284</v>
      </c>
      <c r="BL237" s="77">
        <f t="shared" si="237"/>
        <v>12.89898188188106</v>
      </c>
      <c r="BM237" s="77">
        <f t="shared" si="237"/>
        <v>12.769724918876559</v>
      </c>
      <c r="BN237" s="77">
        <f t="shared" si="237"/>
        <v>12.64037593550851</v>
      </c>
      <c r="BO237" s="77">
        <f t="shared" si="237"/>
        <v>12.510936149876578</v>
      </c>
      <c r="BP237" s="77">
        <f t="shared" si="237"/>
        <v>12.381406753822127</v>
      </c>
      <c r="BQ237" s="77">
        <f t="shared" si="237"/>
        <v>12.251788913709079</v>
      </c>
      <c r="BR237" s="77">
        <f t="shared" si="237"/>
        <v>12.122083771175253</v>
      </c>
    </row>
    <row r="238" spans="1:70">
      <c r="A238" t="s">
        <v>16</v>
      </c>
      <c r="B238" s="70" t="str">
        <f t="shared" si="235"/>
        <v>CEW</v>
      </c>
      <c r="C238" s="70" t="str">
        <f t="shared" si="235"/>
        <v>Commercial - Water Heating</v>
      </c>
      <c r="E238" s="89"/>
      <c r="F238" s="89"/>
      <c r="I238" s="132"/>
      <c r="L238" s="77">
        <f t="shared" si="236"/>
        <v>9.6831090230750316</v>
      </c>
      <c r="M238" s="77">
        <f t="shared" si="236"/>
        <v>10.586585246419229</v>
      </c>
      <c r="N238" s="77">
        <f t="shared" si="236"/>
        <v>11.538509766671879</v>
      </c>
      <c r="O238" s="77">
        <f t="shared" si="236"/>
        <v>12.49198569052334</v>
      </c>
      <c r="P238" s="77">
        <f t="shared" si="236"/>
        <v>13.456498623549578</v>
      </c>
      <c r="Q238" s="77">
        <f t="shared" si="236"/>
        <v>14.3921338097343</v>
      </c>
      <c r="R238" s="77">
        <f t="shared" si="236"/>
        <v>14.297703342289619</v>
      </c>
      <c r="S238" s="77">
        <f t="shared" si="236"/>
        <v>14.199639315277025</v>
      </c>
      <c r="T238" s="77">
        <f t="shared" si="236"/>
        <v>14.08450224479915</v>
      </c>
      <c r="U238" s="77">
        <f t="shared" si="236"/>
        <v>13.327692814661191</v>
      </c>
      <c r="V238" s="77">
        <f t="shared" si="236"/>
        <v>12.538341142730044</v>
      </c>
      <c r="W238" s="77">
        <f t="shared" si="236"/>
        <v>11.738507463660122</v>
      </c>
      <c r="X238" s="77">
        <f t="shared" si="236"/>
        <v>10.957607493096273</v>
      </c>
      <c r="Y238" s="77">
        <f t="shared" si="236"/>
        <v>10.187210571447293</v>
      </c>
      <c r="Z238" s="77">
        <f t="shared" si="236"/>
        <v>9.4288243466859498</v>
      </c>
      <c r="AA238" s="77">
        <f t="shared" si="236"/>
        <v>8.6809676038020438</v>
      </c>
      <c r="AB238" s="77">
        <f t="shared" si="236"/>
        <v>7.9431710101709685</v>
      </c>
      <c r="AC238" s="77">
        <f t="shared" si="236"/>
        <v>7.2162702812300772</v>
      </c>
      <c r="AD238" s="77">
        <f t="shared" si="236"/>
        <v>6.4994040051691346</v>
      </c>
      <c r="AE238" s="77">
        <f t="shared" si="236"/>
        <v>6.4566813557558831</v>
      </c>
      <c r="AF238" s="77">
        <f t="shared" si="236"/>
        <v>6.4145893766521676</v>
      </c>
      <c r="AG238" s="77">
        <f t="shared" si="236"/>
        <v>6.3732665243847073</v>
      </c>
      <c r="AH238" s="77">
        <f t="shared" si="236"/>
        <v>6.3342347671425117</v>
      </c>
      <c r="AI238" s="77">
        <f t="shared" si="236"/>
        <v>6.2960303064354051</v>
      </c>
      <c r="AJ238" s="77">
        <f t="shared" si="236"/>
        <v>6.258681730248604</v>
      </c>
      <c r="AK238" s="77">
        <f t="shared" si="236"/>
        <v>6.2222976702473085</v>
      </c>
      <c r="AL238" s="77">
        <f t="shared" si="236"/>
        <v>6.1865197002131342</v>
      </c>
      <c r="AM238" s="77">
        <f t="shared" si="236"/>
        <v>6.1506231632740569</v>
      </c>
      <c r="AN238" s="77">
        <f t="shared" si="236"/>
        <v>6.1143468866815978</v>
      </c>
      <c r="AO238" s="77">
        <f t="shared" si="236"/>
        <v>6.0796838368925901</v>
      </c>
      <c r="AP238" s="77">
        <f t="shared" si="236"/>
        <v>6.0445197931519221</v>
      </c>
      <c r="AQ238" s="77">
        <f t="shared" si="236"/>
        <v>6.0088818022358499</v>
      </c>
      <c r="AR238" s="77">
        <f t="shared" si="236"/>
        <v>5.9727945932297057</v>
      </c>
      <c r="AS238" s="77">
        <f t="shared" si="236"/>
        <v>5.9362808448534805</v>
      </c>
      <c r="AT238" s="77">
        <f t="shared" si="236"/>
        <v>5.9040356909322576</v>
      </c>
      <c r="AU238" s="77">
        <f t="shared" si="236"/>
        <v>5.8712327932330979</v>
      </c>
      <c r="AV238" s="77">
        <f t="shared" si="236"/>
        <v>5.8379027056882187</v>
      </c>
      <c r="AW238" s="77">
        <f t="shared" si="236"/>
        <v>5.8040733267551596</v>
      </c>
      <c r="AX238" s="77">
        <f t="shared" si="236"/>
        <v>5.7697702099169854</v>
      </c>
      <c r="AY238" s="77">
        <f t="shared" si="237"/>
        <v>5.733634204374761</v>
      </c>
      <c r="AZ238" s="77">
        <f t="shared" si="237"/>
        <v>5.6971150824882235</v>
      </c>
      <c r="BA238" s="77">
        <f t="shared" si="237"/>
        <v>5.6602297590703072</v>
      </c>
      <c r="BB238" s="77">
        <f t="shared" si="237"/>
        <v>5.6229939562629614</v>
      </c>
      <c r="BC238" s="77">
        <f t="shared" si="237"/>
        <v>5.5854223173840882</v>
      </c>
      <c r="BD238" s="77">
        <f t="shared" si="237"/>
        <v>5.5475285072157066</v>
      </c>
      <c r="BE238" s="77">
        <f t="shared" si="237"/>
        <v>5.509325300652363</v>
      </c>
      <c r="BF238" s="77">
        <f t="shared" si="237"/>
        <v>5.4708246613162714</v>
      </c>
      <c r="BG238" s="77">
        <f t="shared" si="237"/>
        <v>5.4320378114904173</v>
      </c>
      <c r="BH238" s="77">
        <f t="shared" si="237"/>
        <v>5.3929752945111638</v>
      </c>
      <c r="BI238" s="77">
        <f t="shared" si="237"/>
        <v>5.3411659358343346</v>
      </c>
      <c r="BJ238" s="77">
        <f t="shared" si="237"/>
        <v>5.2893175131171564</v>
      </c>
      <c r="BK238" s="77">
        <f t="shared" si="237"/>
        <v>5.2374305616678463</v>
      </c>
      <c r="BL238" s="77">
        <f t="shared" si="237"/>
        <v>5.185505604852354</v>
      </c>
      <c r="BM238" s="77">
        <f t="shared" si="237"/>
        <v>5.1335431544617895</v>
      </c>
      <c r="BN238" s="77">
        <f t="shared" si="237"/>
        <v>5.0815437110654749</v>
      </c>
      <c r="BO238" s="77">
        <f t="shared" si="237"/>
        <v>5.0295077643503223</v>
      </c>
      <c r="BP238" s="77">
        <f t="shared" si="237"/>
        <v>4.977435793447178</v>
      </c>
      <c r="BQ238" s="77">
        <f t="shared" si="237"/>
        <v>4.9253282672447263</v>
      </c>
      <c r="BR238" s="77">
        <f t="shared" si="237"/>
        <v>4.8731856446915387</v>
      </c>
    </row>
    <row r="239" spans="1:70">
      <c r="A239" t="s">
        <v>16</v>
      </c>
      <c r="B239" s="70" t="str">
        <f t="shared" si="235"/>
        <v>CEG</v>
      </c>
      <c r="C239" s="70" t="str">
        <f t="shared" si="235"/>
        <v>Commercial - Public lights</v>
      </c>
      <c r="E239" s="89"/>
      <c r="F239" s="89"/>
      <c r="I239" s="132"/>
      <c r="L239" s="77">
        <f t="shared" si="236"/>
        <v>10.30055287377321</v>
      </c>
      <c r="M239" s="77">
        <f t="shared" si="236"/>
        <v>10.137579632145703</v>
      </c>
      <c r="N239" s="77">
        <f t="shared" si="236"/>
        <v>9.9994537435297453</v>
      </c>
      <c r="O239" s="77">
        <f t="shared" si="236"/>
        <v>9.8412102945058564</v>
      </c>
      <c r="P239" s="77">
        <f t="shared" si="236"/>
        <v>9.6733572036545379</v>
      </c>
      <c r="Q239" s="77">
        <f t="shared" si="236"/>
        <v>9.4707173671475111</v>
      </c>
      <c r="R239" s="77">
        <f t="shared" si="236"/>
        <v>9.5388470786807869</v>
      </c>
      <c r="S239" s="77">
        <f t="shared" si="236"/>
        <v>9.5950215040281002</v>
      </c>
      <c r="T239" s="77">
        <f t="shared" si="236"/>
        <v>9.5950215040281002</v>
      </c>
      <c r="U239" s="77">
        <f t="shared" si="236"/>
        <v>9.6816157767045059</v>
      </c>
      <c r="V239" s="77">
        <f t="shared" si="236"/>
        <v>9.6322350001341945</v>
      </c>
      <c r="W239" s="77">
        <f t="shared" si="236"/>
        <v>9.5093054380631052</v>
      </c>
      <c r="X239" s="77">
        <f t="shared" si="236"/>
        <v>9.4193990507318315</v>
      </c>
      <c r="Y239" s="77">
        <f t="shared" si="236"/>
        <v>9.3326249745505656</v>
      </c>
      <c r="Z239" s="77">
        <f t="shared" si="236"/>
        <v>9.2570127081242788</v>
      </c>
      <c r="AA239" s="77">
        <f t="shared" si="236"/>
        <v>9.188189617735059</v>
      </c>
      <c r="AB239" s="77">
        <f t="shared" si="236"/>
        <v>9.1259499257437575</v>
      </c>
      <c r="AC239" s="77">
        <f t="shared" si="236"/>
        <v>9.0781964496864234</v>
      </c>
      <c r="AD239" s="77">
        <f t="shared" si="236"/>
        <v>9.045230491445281</v>
      </c>
      <c r="AE239" s="77">
        <f t="shared" si="236"/>
        <v>9.162999081504335</v>
      </c>
      <c r="AF239" s="77">
        <f t="shared" si="236"/>
        <v>9.2851400619085158</v>
      </c>
      <c r="AG239" s="77">
        <f t="shared" ref="M239:AX241" si="238">AG168+AG180+AG157</f>
        <v>9.4126133414588207</v>
      </c>
      <c r="AH239" s="77">
        <f t="shared" si="238"/>
        <v>9.5559706124017243</v>
      </c>
      <c r="AI239" s="77">
        <f t="shared" si="238"/>
        <v>9.7050634686859549</v>
      </c>
      <c r="AJ239" s="77">
        <f t="shared" si="238"/>
        <v>9.8600901086865704</v>
      </c>
      <c r="AK239" s="77">
        <f t="shared" si="238"/>
        <v>10.021803667658098</v>
      </c>
      <c r="AL239" s="77">
        <f t="shared" si="238"/>
        <v>10.187719203289143</v>
      </c>
      <c r="AM239" s="77">
        <f t="shared" si="238"/>
        <v>10.352812723387796</v>
      </c>
      <c r="AN239" s="77">
        <f t="shared" si="238"/>
        <v>10.515273536715586</v>
      </c>
      <c r="AO239" s="77">
        <f t="shared" si="238"/>
        <v>10.688918731475722</v>
      </c>
      <c r="AP239" s="77">
        <f t="shared" si="238"/>
        <v>10.859090572434223</v>
      </c>
      <c r="AQ239" s="77">
        <f t="shared" si="238"/>
        <v>11.025976572879062</v>
      </c>
      <c r="AR239" s="77">
        <f t="shared" si="238"/>
        <v>11.189748177719435</v>
      </c>
      <c r="AS239" s="77">
        <f t="shared" si="238"/>
        <v>11.350562616834122</v>
      </c>
      <c r="AT239" s="77">
        <f t="shared" si="238"/>
        <v>11.540970903796282</v>
      </c>
      <c r="AU239" s="77">
        <f t="shared" si="238"/>
        <v>11.727512394632429</v>
      </c>
      <c r="AV239" s="77">
        <f t="shared" si="238"/>
        <v>11.910398917481947</v>
      </c>
      <c r="AW239" s="77">
        <f t="shared" si="238"/>
        <v>12.089823890275794</v>
      </c>
      <c r="AX239" s="77">
        <f t="shared" si="238"/>
        <v>12.265964473411325</v>
      </c>
      <c r="AY239" s="77">
        <f t="shared" ref="AY239:BR239" si="239">AY168+AY180+AY157</f>
        <v>12.429397775496655</v>
      </c>
      <c r="AZ239" s="77">
        <f t="shared" si="239"/>
        <v>12.590174960464054</v>
      </c>
      <c r="BA239" s="77">
        <f t="shared" si="239"/>
        <v>12.748413297453411</v>
      </c>
      <c r="BB239" s="77">
        <f t="shared" si="239"/>
        <v>12.904221786905412</v>
      </c>
      <c r="BC239" s="77">
        <f t="shared" si="239"/>
        <v>13.057701949853868</v>
      </c>
      <c r="BD239" s="77">
        <f t="shared" si="239"/>
        <v>13.208948523216094</v>
      </c>
      <c r="BE239" s="77">
        <f t="shared" si="239"/>
        <v>13.358050074385746</v>
      </c>
      <c r="BF239" s="77">
        <f t="shared" si="239"/>
        <v>13.50508954626576</v>
      </c>
      <c r="BG239" s="77">
        <f t="shared" si="239"/>
        <v>13.650144742109315</v>
      </c>
      <c r="BH239" s="77">
        <f t="shared" si="239"/>
        <v>13.7932887580832</v>
      </c>
      <c r="BI239" s="77">
        <f t="shared" si="239"/>
        <v>13.848059868710724</v>
      </c>
      <c r="BJ239" s="77">
        <f t="shared" si="239"/>
        <v>13.902560151252196</v>
      </c>
      <c r="BK239" s="77">
        <f t="shared" si="239"/>
        <v>13.956793316959654</v>
      </c>
      <c r="BL239" s="77">
        <f t="shared" si="239"/>
        <v>14.010762994290319</v>
      </c>
      <c r="BM239" s="77">
        <f t="shared" si="239"/>
        <v>14.064472731453879</v>
      </c>
      <c r="BN239" s="77">
        <f t="shared" si="239"/>
        <v>14.117925998860199</v>
      </c>
      <c r="BO239" s="77">
        <f t="shared" si="239"/>
        <v>14.171126191472231</v>
      </c>
      <c r="BP239" s="77">
        <f t="shared" si="239"/>
        <v>14.224076631068485</v>
      </c>
      <c r="BQ239" s="77">
        <f t="shared" si="239"/>
        <v>14.276780568419342</v>
      </c>
      <c r="BR239" s="77">
        <f t="shared" si="239"/>
        <v>14.329241185381104</v>
      </c>
    </row>
    <row r="240" spans="1:70">
      <c r="A240" t="s">
        <v>16</v>
      </c>
      <c r="B240" s="70" t="str">
        <f t="shared" si="235"/>
        <v>CET</v>
      </c>
      <c r="C240" s="70" t="str">
        <f t="shared" si="235"/>
        <v>Commercial - Public Water</v>
      </c>
      <c r="E240" s="89"/>
      <c r="F240" s="89"/>
      <c r="I240" s="132"/>
      <c r="L240" s="77">
        <f t="shared" ref="L240:L241" si="240">L169+L181+L158</f>
        <v>3.5593512487513528</v>
      </c>
      <c r="M240" s="77">
        <f t="shared" si="238"/>
        <v>3.5030359210006554</v>
      </c>
      <c r="N240" s="77">
        <f t="shared" si="238"/>
        <v>3.4553065845121358</v>
      </c>
      <c r="O240" s="77">
        <f t="shared" si="238"/>
        <v>3.4006256343930392</v>
      </c>
      <c r="P240" s="77">
        <f t="shared" si="238"/>
        <v>3.3426240770155102</v>
      </c>
      <c r="Q240" s="77">
        <f t="shared" si="238"/>
        <v>3.2726019758762099</v>
      </c>
      <c r="R240" s="77">
        <f t="shared" si="238"/>
        <v>3.2961441659697601</v>
      </c>
      <c r="S240" s="77">
        <f t="shared" si="238"/>
        <v>3.3155552124891114</v>
      </c>
      <c r="T240" s="77">
        <f t="shared" si="238"/>
        <v>3.3155552124891114</v>
      </c>
      <c r="U240" s="77">
        <f t="shared" si="238"/>
        <v>3.3454778230870588</v>
      </c>
      <c r="V240" s="77">
        <f t="shared" si="238"/>
        <v>3.3284143187389215</v>
      </c>
      <c r="W240" s="77">
        <f t="shared" si="238"/>
        <v>3.2859360658113284</v>
      </c>
      <c r="X240" s="77">
        <f t="shared" si="238"/>
        <v>3.2548689555367836</v>
      </c>
      <c r="Y240" s="77">
        <f t="shared" si="238"/>
        <v>3.2248842139214635</v>
      </c>
      <c r="Z240" s="77">
        <f t="shared" si="238"/>
        <v>3.1987564304691238</v>
      </c>
      <c r="AA240" s="77">
        <f t="shared" si="238"/>
        <v>3.1749746436347963</v>
      </c>
      <c r="AB240" s="77">
        <f t="shared" si="238"/>
        <v>3.1534677470511006</v>
      </c>
      <c r="AC240" s="77">
        <f t="shared" si="238"/>
        <v>3.136966555637418</v>
      </c>
      <c r="AD240" s="77">
        <f t="shared" si="238"/>
        <v>3.1255751841188411</v>
      </c>
      <c r="AE240" s="77">
        <f t="shared" si="238"/>
        <v>3.1662700655710467</v>
      </c>
      <c r="AF240" s="77">
        <f t="shared" si="238"/>
        <v>3.2084758244708684</v>
      </c>
      <c r="AG240" s="77">
        <f t="shared" si="238"/>
        <v>3.2525241568574779</v>
      </c>
      <c r="AH240" s="77">
        <f t="shared" si="238"/>
        <v>3.3020611950729126</v>
      </c>
      <c r="AI240" s="77">
        <f t="shared" si="238"/>
        <v>3.3535801621320847</v>
      </c>
      <c r="AJ240" s="77">
        <f t="shared" si="238"/>
        <v>3.407149545391198</v>
      </c>
      <c r="AK240" s="77">
        <f t="shared" si="238"/>
        <v>3.4630295903867321</v>
      </c>
      <c r="AL240" s="77">
        <f t="shared" si="238"/>
        <v>3.5203616264601791</v>
      </c>
      <c r="AM240" s="77">
        <f t="shared" si="238"/>
        <v>3.5774096154492057</v>
      </c>
      <c r="AN240" s="77">
        <f t="shared" si="238"/>
        <v>3.6335478738395635</v>
      </c>
      <c r="AO240" s="77">
        <f t="shared" si="238"/>
        <v>3.6935508900255054</v>
      </c>
      <c r="AP240" s="77">
        <f t="shared" si="238"/>
        <v>3.7523536904227703</v>
      </c>
      <c r="AQ240" s="77">
        <f t="shared" si="238"/>
        <v>3.8100210701606954</v>
      </c>
      <c r="AR240" s="77">
        <f t="shared" si="238"/>
        <v>3.8666122719478153</v>
      </c>
      <c r="AS240" s="77">
        <f t="shared" si="238"/>
        <v>3.9221816264955223</v>
      </c>
      <c r="AT240" s="77">
        <f t="shared" si="238"/>
        <v>3.9879771213856046</v>
      </c>
      <c r="AU240" s="77">
        <f t="shared" si="238"/>
        <v>4.0524364466750411</v>
      </c>
      <c r="AV240" s="77">
        <f t="shared" si="238"/>
        <v>4.1156327994787487</v>
      </c>
      <c r="AW240" s="77">
        <f t="shared" si="238"/>
        <v>4.1776330152727006</v>
      </c>
      <c r="AX240" s="77">
        <f t="shared" si="238"/>
        <v>4.2384983117497033</v>
      </c>
      <c r="AY240" s="77">
        <f t="shared" ref="AY240:BR240" si="241">AY169+AY181+AY158</f>
        <v>4.2949726131773591</v>
      </c>
      <c r="AZ240" s="77">
        <f t="shared" si="241"/>
        <v>4.3505290945718196</v>
      </c>
      <c r="BA240" s="77">
        <f t="shared" si="241"/>
        <v>4.4052082782297637</v>
      </c>
      <c r="BB240" s="77">
        <f t="shared" si="241"/>
        <v>4.45904782920271</v>
      </c>
      <c r="BC240" s="77">
        <f t="shared" si="241"/>
        <v>4.5120828280366156</v>
      </c>
      <c r="BD240" s="77">
        <f t="shared" si="241"/>
        <v>4.5643460110291416</v>
      </c>
      <c r="BE240" s="77">
        <f t="shared" si="241"/>
        <v>4.6158679826019231</v>
      </c>
      <c r="BF240" s="77">
        <f t="shared" si="241"/>
        <v>4.6666774036364416</v>
      </c>
      <c r="BG240" s="77">
        <f t="shared" si="241"/>
        <v>4.7168011590106032</v>
      </c>
      <c r="BH240" s="77">
        <f t="shared" si="241"/>
        <v>4.7662645070708027</v>
      </c>
      <c r="BI240" s="77">
        <f t="shared" si="241"/>
        <v>4.7851906388422289</v>
      </c>
      <c r="BJ240" s="77">
        <f t="shared" si="241"/>
        <v>4.8040231860946401</v>
      </c>
      <c r="BK240" s="77">
        <f t="shared" si="241"/>
        <v>4.8227634312494496</v>
      </c>
      <c r="BL240" s="77">
        <f t="shared" si="241"/>
        <v>4.8414126281183583</v>
      </c>
      <c r="BM240" s="77">
        <f t="shared" si="241"/>
        <v>4.8599720027835751</v>
      </c>
      <c r="BN240" s="77">
        <f t="shared" si="241"/>
        <v>4.8784427544436095</v>
      </c>
      <c r="BO240" s="77">
        <f t="shared" si="241"/>
        <v>4.8968260562263302</v>
      </c>
      <c r="BP240" s="77">
        <f t="shared" si="241"/>
        <v>4.9151230559707555</v>
      </c>
      <c r="BQ240" s="77">
        <f t="shared" si="241"/>
        <v>4.9333348769790746</v>
      </c>
      <c r="BR240" s="77">
        <f t="shared" si="241"/>
        <v>4.9514626187402522</v>
      </c>
    </row>
    <row r="241" spans="1:90">
      <c r="A241" t="s">
        <v>16</v>
      </c>
      <c r="B241" s="70" t="str">
        <f t="shared" si="235"/>
        <v>CEO</v>
      </c>
      <c r="C241" s="70" t="str">
        <f t="shared" si="235"/>
        <v>Commercial - Other</v>
      </c>
      <c r="E241" s="89"/>
      <c r="F241" s="89"/>
      <c r="I241" s="132"/>
      <c r="L241" s="77">
        <f t="shared" si="240"/>
        <v>18.760184357078931</v>
      </c>
      <c r="M241" s="77">
        <f t="shared" si="238"/>
        <v>19.031279794352418</v>
      </c>
      <c r="N241" s="77">
        <f t="shared" si="238"/>
        <v>19.361114074755598</v>
      </c>
      <c r="O241" s="77">
        <f t="shared" si="238"/>
        <v>19.665306575633924</v>
      </c>
      <c r="P241" s="77">
        <f t="shared" si="238"/>
        <v>19.962784234968581</v>
      </c>
      <c r="Q241" s="77">
        <f t="shared" si="238"/>
        <v>20.198960613823004</v>
      </c>
      <c r="R241" s="77">
        <f t="shared" si="238"/>
        <v>20.066430071939777</v>
      </c>
      <c r="S241" s="77">
        <f t="shared" si="238"/>
        <v>19.928799929985388</v>
      </c>
      <c r="T241" s="77">
        <f t="shared" si="238"/>
        <v>19.767208245074805</v>
      </c>
      <c r="U241" s="77">
        <f t="shared" si="238"/>
        <v>18.896074283394661</v>
      </c>
      <c r="V241" s="77">
        <f t="shared" si="238"/>
        <v>17.976560801767519</v>
      </c>
      <c r="W241" s="77">
        <f t="shared" si="238"/>
        <v>17.038863359665552</v>
      </c>
      <c r="X241" s="77">
        <f t="shared" si="238"/>
        <v>16.1250035819467</v>
      </c>
      <c r="Y241" s="77">
        <f t="shared" si="238"/>
        <v>15.222987116793046</v>
      </c>
      <c r="Z241" s="77">
        <f t="shared" si="238"/>
        <v>14.335161159923107</v>
      </c>
      <c r="AA241" s="77">
        <f t="shared" si="238"/>
        <v>13.459484612560786</v>
      </c>
      <c r="AB241" s="77">
        <f t="shared" si="238"/>
        <v>12.595399633629494</v>
      </c>
      <c r="AC241" s="77">
        <f t="shared" si="238"/>
        <v>11.744467424406615</v>
      </c>
      <c r="AD241" s="77">
        <f t="shared" si="238"/>
        <v>10.905715287902259</v>
      </c>
      <c r="AE241" s="77">
        <f t="shared" si="238"/>
        <v>10.834028553168547</v>
      </c>
      <c r="AF241" s="77">
        <f t="shared" si="238"/>
        <v>10.763400055594868</v>
      </c>
      <c r="AG241" s="77">
        <f t="shared" si="238"/>
        <v>10.694062119169537</v>
      </c>
      <c r="AH241" s="77">
        <f t="shared" si="238"/>
        <v>10.628568539861128</v>
      </c>
      <c r="AI241" s="77">
        <f t="shared" si="238"/>
        <v>10.564463127908251</v>
      </c>
      <c r="AJ241" s="77">
        <f t="shared" si="238"/>
        <v>10.501793852698118</v>
      </c>
      <c r="AK241" s="77">
        <f t="shared" si="238"/>
        <v>10.440742993407559</v>
      </c>
      <c r="AL241" s="77">
        <f t="shared" si="238"/>
        <v>10.380709126538925</v>
      </c>
      <c r="AM241" s="77">
        <f t="shared" si="238"/>
        <v>10.320476309596341</v>
      </c>
      <c r="AN241" s="77">
        <f t="shared" si="238"/>
        <v>10.259606306145578</v>
      </c>
      <c r="AO241" s="77">
        <f t="shared" si="238"/>
        <v>10.201443226621878</v>
      </c>
      <c r="AP241" s="77">
        <f t="shared" si="238"/>
        <v>10.142439501187658</v>
      </c>
      <c r="AQ241" s="77">
        <f t="shared" si="238"/>
        <v>10.082640513148998</v>
      </c>
      <c r="AR241" s="77">
        <f t="shared" si="238"/>
        <v>10.022087756828109</v>
      </c>
      <c r="AS241" s="77">
        <f t="shared" si="238"/>
        <v>9.9608192861239466</v>
      </c>
      <c r="AT241" s="77">
        <f t="shared" si="238"/>
        <v>9.9067133299778494</v>
      </c>
      <c r="AU241" s="77">
        <f t="shared" si="238"/>
        <v>9.8516715041980216</v>
      </c>
      <c r="AV241" s="77">
        <f t="shared" si="238"/>
        <v>9.7957450769446606</v>
      </c>
      <c r="AW241" s="77">
        <f t="shared" si="238"/>
        <v>9.7389808606077359</v>
      </c>
      <c r="AX241" s="77">
        <f t="shared" si="238"/>
        <v>9.6814217328127494</v>
      </c>
      <c r="AY241" s="77">
        <f t="shared" ref="AY241:BR241" si="242">AY170+AY182+AY159</f>
        <v>9.6207870980412942</v>
      </c>
      <c r="AZ241" s="77">
        <f t="shared" si="242"/>
        <v>9.5595096108221558</v>
      </c>
      <c r="BA241" s="77">
        <f t="shared" si="242"/>
        <v>9.4976176534706731</v>
      </c>
      <c r="BB241" s="77">
        <f t="shared" si="242"/>
        <v>9.4351376070525053</v>
      </c>
      <c r="BC241" s="77">
        <f t="shared" si="242"/>
        <v>9.3720940424138099</v>
      </c>
      <c r="BD241" s="77">
        <f t="shared" si="242"/>
        <v>9.3085098884603852</v>
      </c>
      <c r="BE241" s="77">
        <f t="shared" si="242"/>
        <v>9.2444065809058173</v>
      </c>
      <c r="BF241" s="77">
        <f t="shared" si="242"/>
        <v>9.1798041941842534</v>
      </c>
      <c r="BG241" s="77">
        <f t="shared" si="242"/>
        <v>9.1147215587950736</v>
      </c>
      <c r="BH241" s="77">
        <f t="shared" si="242"/>
        <v>9.0491763659949687</v>
      </c>
      <c r="BI241" s="77">
        <f t="shared" si="242"/>
        <v>8.9622425310573455</v>
      </c>
      <c r="BJ241" s="77">
        <f t="shared" si="242"/>
        <v>8.8752431483707745</v>
      </c>
      <c r="BK241" s="77">
        <f t="shared" si="242"/>
        <v>8.7881791161589966</v>
      </c>
      <c r="BL241" s="77">
        <f t="shared" si="242"/>
        <v>8.7010513126071629</v>
      </c>
      <c r="BM241" s="77">
        <f t="shared" si="242"/>
        <v>8.6138605964783412</v>
      </c>
      <c r="BN241" s="77">
        <f t="shared" si="242"/>
        <v>8.5266078077059273</v>
      </c>
      <c r="BO241" s="77">
        <f t="shared" si="242"/>
        <v>8.4392937679631199</v>
      </c>
      <c r="BP241" s="77">
        <f t="shared" si="242"/>
        <v>8.3519192812104919</v>
      </c>
      <c r="BQ241" s="77">
        <f t="shared" si="242"/>
        <v>8.2644851342227241</v>
      </c>
      <c r="BR241" s="77">
        <f t="shared" si="242"/>
        <v>8.1769920970954217</v>
      </c>
    </row>
    <row r="242" spans="1:90">
      <c r="A242" t="s">
        <v>16</v>
      </c>
      <c r="E242" s="89"/>
      <c r="F242" s="89"/>
      <c r="L242" s="71"/>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row>
    <row r="243" spans="1:90">
      <c r="A243" t="s">
        <v>16</v>
      </c>
      <c r="E243" s="89"/>
      <c r="F243" s="89"/>
      <c r="L243" s="71"/>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row>
    <row r="244" spans="1:90">
      <c r="A244" t="s">
        <v>16</v>
      </c>
      <c r="E244" s="89"/>
      <c r="F244" s="89"/>
      <c r="L244" s="71"/>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row>
    <row r="245" spans="1:90">
      <c r="A245" t="s">
        <v>16</v>
      </c>
      <c r="B245" s="229" t="s">
        <v>465</v>
      </c>
      <c r="C245" s="230"/>
      <c r="D245" s="230"/>
      <c r="E245" s="231"/>
      <c r="F245" s="231"/>
      <c r="G245" s="230"/>
      <c r="H245" s="230"/>
      <c r="I245" s="230"/>
      <c r="J245" s="230"/>
      <c r="K245" s="230"/>
      <c r="L245" s="142">
        <f t="shared" ref="L245:AX245" si="243">SUM(L220:L241)</f>
        <v>350.82050880003044</v>
      </c>
      <c r="M245" s="142">
        <f t="shared" si="243"/>
        <v>347.78758448388237</v>
      </c>
      <c r="N245" s="142">
        <f t="shared" si="243"/>
        <v>345.6607028728086</v>
      </c>
      <c r="O245" s="142">
        <f t="shared" si="243"/>
        <v>342.89740508403548</v>
      </c>
      <c r="P245" s="142">
        <f t="shared" si="243"/>
        <v>339.85463913379431</v>
      </c>
      <c r="Q245" s="142">
        <f t="shared" si="243"/>
        <v>335.63620243987805</v>
      </c>
      <c r="R245" s="142">
        <f t="shared" si="243"/>
        <v>337.8681534532318</v>
      </c>
      <c r="S245" s="142">
        <f t="shared" si="243"/>
        <v>339.68981731586405</v>
      </c>
      <c r="T245" s="142">
        <f t="shared" si="243"/>
        <v>339.58366075155817</v>
      </c>
      <c r="U245" s="142">
        <f t="shared" si="243"/>
        <v>334.66257049072459</v>
      </c>
      <c r="V245" s="142">
        <f t="shared" si="243"/>
        <v>324.95604482076124</v>
      </c>
      <c r="W245" s="142">
        <f t="shared" si="243"/>
        <v>312.77561282879435</v>
      </c>
      <c r="X245" s="142">
        <f t="shared" si="243"/>
        <v>301.61566891360326</v>
      </c>
      <c r="Y245" s="142">
        <f t="shared" si="243"/>
        <v>290.48624241927433</v>
      </c>
      <c r="Z245" s="142">
        <f t="shared" si="243"/>
        <v>279.61178376223705</v>
      </c>
      <c r="AA245" s="142">
        <f t="shared" si="243"/>
        <v>268.83388866728393</v>
      </c>
      <c r="AB245" s="142">
        <f t="shared" si="243"/>
        <v>258.12320521337108</v>
      </c>
      <c r="AC245" s="142">
        <f t="shared" si="243"/>
        <v>247.66512773561794</v>
      </c>
      <c r="AD245" s="142">
        <f t="shared" si="243"/>
        <v>237.41777793798985</v>
      </c>
      <c r="AE245" s="142">
        <f t="shared" si="243"/>
        <v>239.8349629654756</v>
      </c>
      <c r="AF245" s="142">
        <f t="shared" si="243"/>
        <v>242.35249655333163</v>
      </c>
      <c r="AG245" s="142">
        <f t="shared" si="243"/>
        <v>244.99240909195376</v>
      </c>
      <c r="AH245" s="142">
        <f t="shared" si="243"/>
        <v>247.99686723226378</v>
      </c>
      <c r="AI245" s="142">
        <f t="shared" si="243"/>
        <v>251.13295994461606</v>
      </c>
      <c r="AJ245" s="142">
        <f t="shared" si="243"/>
        <v>254.40523598153146</v>
      </c>
      <c r="AK245" s="142">
        <f t="shared" ref="AK245:AT245" si="244">SUM(AK220:AK241)</f>
        <v>257.8309801763827</v>
      </c>
      <c r="AL245" s="142">
        <f t="shared" si="244"/>
        <v>261.35316185169836</v>
      </c>
      <c r="AM245" s="142">
        <f t="shared" si="244"/>
        <v>264.85647785657613</v>
      </c>
      <c r="AN245" s="142">
        <f t="shared" si="244"/>
        <v>268.29937191522322</v>
      </c>
      <c r="AO245" s="142">
        <f t="shared" si="244"/>
        <v>270.84164081989593</v>
      </c>
      <c r="AP245" s="142">
        <f t="shared" si="244"/>
        <v>273.31991015423171</v>
      </c>
      <c r="AQ245" s="142">
        <f t="shared" si="244"/>
        <v>275.73763501395314</v>
      </c>
      <c r="AR245" s="142">
        <f t="shared" si="244"/>
        <v>278.09797442090229</v>
      </c>
      <c r="AS245" s="142">
        <f t="shared" si="244"/>
        <v>280.40382547259952</v>
      </c>
      <c r="AT245" s="142">
        <f t="shared" si="244"/>
        <v>283.25496895778366</v>
      </c>
      <c r="AU245" s="142">
        <f t="shared" si="243"/>
        <v>286.03486335497422</v>
      </c>
      <c r="AV245" s="142">
        <f t="shared" si="243"/>
        <v>288.74741178221819</v>
      </c>
      <c r="AW245" s="142">
        <f t="shared" si="243"/>
        <v>291.39617813342977</v>
      </c>
      <c r="AX245" s="142">
        <f t="shared" si="243"/>
        <v>293.98442674330096</v>
      </c>
      <c r="AY245" s="142">
        <f t="shared" ref="AY245:BR245" si="245">SUM(AY220:AY241)</f>
        <v>296.33853262720498</v>
      </c>
      <c r="AZ245" s="142">
        <f t="shared" si="245"/>
        <v>298.64369723877667</v>
      </c>
      <c r="BA245" s="142">
        <f t="shared" si="245"/>
        <v>300.90208136410217</v>
      </c>
      <c r="BB245" s="142">
        <f t="shared" si="245"/>
        <v>303.11569343127991</v>
      </c>
      <c r="BC245" s="142">
        <f t="shared" si="245"/>
        <v>305.28640405381907</v>
      </c>
      <c r="BD245" s="142">
        <f t="shared" si="245"/>
        <v>307.41595884197113</v>
      </c>
      <c r="BE245" s="142">
        <f t="shared" si="245"/>
        <v>309.50598972713829</v>
      </c>
      <c r="BF245" s="142">
        <f t="shared" si="245"/>
        <v>311.55802500458049</v>
      </c>
      <c r="BG245" s="142">
        <f t="shared" si="245"/>
        <v>313.57349826703205</v>
      </c>
      <c r="BH245" s="142">
        <f t="shared" si="245"/>
        <v>315.55375637505887</v>
      </c>
      <c r="BI245" s="142">
        <f t="shared" si="245"/>
        <v>315.90566669745886</v>
      </c>
      <c r="BJ245" s="142">
        <f t="shared" si="245"/>
        <v>316.25258677638442</v>
      </c>
      <c r="BK245" s="142">
        <f t="shared" si="245"/>
        <v>316.59458499488824</v>
      </c>
      <c r="BL245" s="142">
        <f t="shared" si="245"/>
        <v>316.93172821045658</v>
      </c>
      <c r="BM245" s="142">
        <f t="shared" si="245"/>
        <v>317.26408180194443</v>
      </c>
      <c r="BN245" s="142">
        <f t="shared" si="245"/>
        <v>317.59170971467773</v>
      </c>
      <c r="BO245" s="142">
        <f t="shared" si="245"/>
        <v>317.91467450380691</v>
      </c>
      <c r="BP245" s="142">
        <f t="shared" si="245"/>
        <v>318.23303737599571</v>
      </c>
      <c r="BQ245" s="142">
        <f t="shared" si="245"/>
        <v>318.54685822952069</v>
      </c>
      <c r="BR245" s="142">
        <f t="shared" si="245"/>
        <v>318.85619569285706</v>
      </c>
    </row>
    <row r="246" spans="1:90">
      <c r="A246" t="s">
        <v>16</v>
      </c>
      <c r="M246" s="70"/>
    </row>
    <row r="247" spans="1:90" customFormat="1" ht="23.25">
      <c r="A247" t="s">
        <v>16</v>
      </c>
      <c r="B247" s="10" t="s">
        <v>18</v>
      </c>
      <c r="C247" s="10" t="s">
        <v>19</v>
      </c>
      <c r="D247" s="10" t="s">
        <v>20</v>
      </c>
      <c r="E247" s="10" t="s">
        <v>21</v>
      </c>
      <c r="F247" s="10" t="s">
        <v>22</v>
      </c>
      <c r="G247" s="10" t="s">
        <v>23</v>
      </c>
      <c r="H247" s="10" t="s">
        <v>24</v>
      </c>
      <c r="I247" s="11" t="s">
        <v>25</v>
      </c>
      <c r="J247" s="11"/>
      <c r="K247" s="11"/>
      <c r="L247" s="143">
        <v>2012</v>
      </c>
      <c r="M247" s="143">
        <v>2013</v>
      </c>
      <c r="N247" s="143">
        <v>2014</v>
      </c>
      <c r="O247" s="143">
        <v>2015</v>
      </c>
      <c r="P247" s="143">
        <v>2016</v>
      </c>
      <c r="Q247" s="143">
        <v>2017</v>
      </c>
      <c r="R247" s="143">
        <v>2018</v>
      </c>
      <c r="S247" s="143">
        <v>2019</v>
      </c>
      <c r="T247" s="143">
        <v>2020</v>
      </c>
      <c r="U247" s="143">
        <v>2021</v>
      </c>
      <c r="V247" s="143">
        <v>2022</v>
      </c>
      <c r="W247" s="143">
        <v>2023</v>
      </c>
      <c r="X247" s="143">
        <v>2024</v>
      </c>
      <c r="Y247" s="143">
        <v>2025</v>
      </c>
      <c r="Z247" s="143">
        <v>2026</v>
      </c>
      <c r="AA247" s="143">
        <v>2027</v>
      </c>
      <c r="AB247" s="143">
        <v>2028</v>
      </c>
      <c r="AC247" s="143">
        <v>2029</v>
      </c>
      <c r="AD247" s="143">
        <v>2030</v>
      </c>
      <c r="AE247" s="143">
        <v>2031</v>
      </c>
      <c r="AF247" s="143">
        <v>2032</v>
      </c>
      <c r="AG247" s="143">
        <v>2033</v>
      </c>
      <c r="AH247" s="143">
        <v>2034</v>
      </c>
      <c r="AI247" s="143">
        <v>2035</v>
      </c>
      <c r="AJ247" s="143">
        <v>2036</v>
      </c>
      <c r="AK247" s="143">
        <v>2037</v>
      </c>
      <c r="AL247" s="143">
        <v>2038</v>
      </c>
      <c r="AM247" s="143">
        <v>2039</v>
      </c>
      <c r="AN247" s="143">
        <v>2040</v>
      </c>
      <c r="AO247" s="143">
        <v>2045</v>
      </c>
      <c r="AP247" s="143">
        <v>2050</v>
      </c>
      <c r="AQ247" s="143">
        <v>2060</v>
      </c>
      <c r="AR247" s="143">
        <v>2070</v>
      </c>
      <c r="AS247" s="143"/>
      <c r="AT247" s="12"/>
      <c r="AU247" s="12"/>
      <c r="AV247" s="12"/>
      <c r="AW247" s="12"/>
      <c r="AX247" s="12"/>
      <c r="BS247" s="70"/>
      <c r="BT247" s="70"/>
      <c r="BU247" s="70"/>
      <c r="BV247" s="70"/>
      <c r="BW247" s="70"/>
      <c r="BX247" s="70"/>
      <c r="BY247" s="70"/>
      <c r="BZ247" s="70"/>
      <c r="CA247" s="70"/>
      <c r="CB247" s="70"/>
      <c r="CC247" s="70"/>
      <c r="CD247" s="70"/>
      <c r="CE247" s="70"/>
      <c r="CF247" s="70"/>
      <c r="CG247" s="70"/>
      <c r="CH247" s="70"/>
      <c r="CI247" s="70"/>
      <c r="CJ247" s="70"/>
      <c r="CK247" s="70"/>
      <c r="CL247" s="70"/>
    </row>
    <row r="248" spans="1:90" customFormat="1">
      <c r="A248" t="s">
        <v>113</v>
      </c>
      <c r="B248" s="15" t="str">
        <f t="shared" ref="B248:B256" si="246">IF(A248="*","","COM_PROJ")</f>
        <v>COM_PROJ</v>
      </c>
      <c r="C248" s="16" t="str">
        <f t="shared" ref="C248:C266" si="247">IF($A248="*","","-")</f>
        <v>-</v>
      </c>
      <c r="D248" s="15" t="str">
        <f>COM!B162</f>
        <v>CEC</v>
      </c>
      <c r="E248" s="16" t="str">
        <f t="shared" ref="E248:H263" si="248">IF($A248="*","","-")</f>
        <v>-</v>
      </c>
      <c r="F248" s="16" t="str">
        <f t="shared" si="248"/>
        <v>-</v>
      </c>
      <c r="G248" s="16" t="str">
        <f t="shared" si="248"/>
        <v>-</v>
      </c>
      <c r="H248" s="16" t="str">
        <f t="shared" si="248"/>
        <v>-</v>
      </c>
      <c r="I248" s="15">
        <f t="shared" ref="I248:I266" si="249">IF(A248="*","",0)</f>
        <v>0</v>
      </c>
      <c r="J248" s="15"/>
      <c r="K248" s="15"/>
      <c r="L248" s="6">
        <f t="shared" ref="L248:U256" si="250">INDEX($L$233:$AX$241,MATCH($D248,$B$233:$B$241,0),MATCH(L$247,$L$104:$AX$104,0))</f>
        <v>139.66439435388435</v>
      </c>
      <c r="M248" s="6">
        <f t="shared" si="250"/>
        <v>137.4546528607118</v>
      </c>
      <c r="N248" s="6">
        <f t="shared" si="250"/>
        <v>135.58181469226182</v>
      </c>
      <c r="O248" s="6">
        <f t="shared" si="250"/>
        <v>133.4362040887122</v>
      </c>
      <c r="P248" s="6">
        <f t="shared" si="250"/>
        <v>131.16029709988769</v>
      </c>
      <c r="Q248" s="6">
        <f t="shared" si="250"/>
        <v>128.41271933541799</v>
      </c>
      <c r="R248" s="6">
        <f t="shared" si="250"/>
        <v>127.5701706714746</v>
      </c>
      <c r="S248" s="6">
        <f t="shared" si="250"/>
        <v>126.6952018486339</v>
      </c>
      <c r="T248" s="6">
        <f t="shared" si="250"/>
        <v>125.66790009395055</v>
      </c>
      <c r="U248" s="6">
        <f t="shared" si="250"/>
        <v>120.88343774366243</v>
      </c>
      <c r="V248" s="6">
        <f t="shared" ref="V248:AE256" si="251">INDEX($L$233:$AX$241,MATCH($D248,$B$233:$B$241,0),MATCH(V$247,$L$104:$AX$104,0))</f>
        <v>115.78072607996171</v>
      </c>
      <c r="W248" s="6">
        <f t="shared" si="251"/>
        <v>110.54871044182232</v>
      </c>
      <c r="X248" s="6">
        <f t="shared" si="251"/>
        <v>105.45744845726982</v>
      </c>
      <c r="Y248" s="6">
        <f t="shared" si="251"/>
        <v>100.43004755893899</v>
      </c>
      <c r="Z248" s="6">
        <f t="shared" si="251"/>
        <v>95.482342178926345</v>
      </c>
      <c r="AA248" s="6">
        <f t="shared" si="251"/>
        <v>90.601505172019984</v>
      </c>
      <c r="AB248" s="6">
        <f t="shared" si="251"/>
        <v>85.784388033840415</v>
      </c>
      <c r="AC248" s="6">
        <f t="shared" si="251"/>
        <v>81.04244792357872</v>
      </c>
      <c r="AD248" s="6">
        <f t="shared" si="251"/>
        <v>76.370433206571349</v>
      </c>
      <c r="AE248" s="6">
        <f t="shared" si="251"/>
        <v>75.868426062404353</v>
      </c>
      <c r="AF248" s="6">
        <f t="shared" ref="AF248:AO256" si="252">INDEX($L$233:$AX$241,MATCH($D248,$B$233:$B$241,0),MATCH(AF$247,$L$104:$AX$104,0))</f>
        <v>75.373829530766045</v>
      </c>
      <c r="AG248" s="6">
        <f t="shared" si="252"/>
        <v>74.888270527742534</v>
      </c>
      <c r="AH248" s="6">
        <f t="shared" si="252"/>
        <v>74.429632750027906</v>
      </c>
      <c r="AI248" s="6">
        <f t="shared" si="252"/>
        <v>73.980716016692867</v>
      </c>
      <c r="AJ248" s="6">
        <f t="shared" si="252"/>
        <v>73.541856247279227</v>
      </c>
      <c r="AK248" s="6">
        <f t="shared" si="252"/>
        <v>73.114329904571065</v>
      </c>
      <c r="AL248" s="6">
        <f t="shared" si="252"/>
        <v>72.693925346154856</v>
      </c>
      <c r="AM248" s="6">
        <f t="shared" si="252"/>
        <v>72.272127582164075</v>
      </c>
      <c r="AN248" s="6">
        <f t="shared" si="252"/>
        <v>71.84586773490976</v>
      </c>
      <c r="AO248" s="6">
        <f t="shared" si="252"/>
        <v>69.753524999640931</v>
      </c>
      <c r="AP248" s="6">
        <f>INDEX($L$233:$BR$241,MATCH($D248,$B$233:$B$241,0),MATCH(AP$247,$L$104:$BR$104,0))</f>
        <v>67.796962626616008</v>
      </c>
      <c r="AQ248" s="6">
        <f t="shared" ref="AQ248:AR256" si="253">INDEX($L$233:$BR$241,MATCH($D248,$B$233:$B$241,0),MATCH(AQ$247,$L$104:$BR$104,0))</f>
        <v>63.369481138053416</v>
      </c>
      <c r="AR248" s="6">
        <f t="shared" si="253"/>
        <v>57.261757921979267</v>
      </c>
      <c r="AS248" s="3"/>
      <c r="AT248" s="3"/>
      <c r="AU248" s="3"/>
      <c r="AV248" s="3"/>
      <c r="AW248" s="3"/>
      <c r="AX248" s="3"/>
      <c r="BS248" s="70"/>
      <c r="BT248" s="70"/>
      <c r="BU248" s="70"/>
      <c r="BV248" s="70"/>
      <c r="BW248" s="70"/>
      <c r="BX248" s="70"/>
      <c r="BY248" s="70"/>
      <c r="BZ248" s="70"/>
      <c r="CA248" s="70"/>
      <c r="CB248" s="70"/>
      <c r="CC248" s="70"/>
      <c r="CD248" s="70"/>
      <c r="CE248" s="70"/>
      <c r="CF248" s="70"/>
      <c r="CG248" s="70"/>
      <c r="CH248" s="70"/>
      <c r="CI248" s="70"/>
      <c r="CJ248" s="70"/>
      <c r="CK248" s="70"/>
      <c r="CL248" s="70"/>
    </row>
    <row r="249" spans="1:90" customFormat="1">
      <c r="A249" t="s">
        <v>113</v>
      </c>
      <c r="B249" s="15" t="str">
        <f t="shared" si="246"/>
        <v>COM_PROJ</v>
      </c>
      <c r="C249" s="16" t="str">
        <f t="shared" si="247"/>
        <v>-</v>
      </c>
      <c r="D249" s="15" t="str">
        <f>COM!B163</f>
        <v>CEH</v>
      </c>
      <c r="E249" s="16" t="str">
        <f t="shared" si="248"/>
        <v>-</v>
      </c>
      <c r="F249" s="16" t="str">
        <f t="shared" si="248"/>
        <v>-</v>
      </c>
      <c r="G249" s="16" t="str">
        <f t="shared" si="248"/>
        <v>-</v>
      </c>
      <c r="H249" s="16" t="str">
        <f t="shared" si="248"/>
        <v>-</v>
      </c>
      <c r="I249" s="15">
        <f t="shared" si="249"/>
        <v>0</v>
      </c>
      <c r="J249" s="15"/>
      <c r="K249" s="15"/>
      <c r="L249" s="6">
        <f t="shared" si="250"/>
        <v>7.8517549075018991</v>
      </c>
      <c r="M249" s="6">
        <f t="shared" si="250"/>
        <v>8.6464867087259751</v>
      </c>
      <c r="N249" s="6">
        <f t="shared" si="250"/>
        <v>9.4819790623114137</v>
      </c>
      <c r="O249" s="6">
        <f t="shared" si="250"/>
        <v>10.319932556631571</v>
      </c>
      <c r="P249" s="6">
        <f t="shared" si="250"/>
        <v>11.168015722760602</v>
      </c>
      <c r="Q249" s="6">
        <f t="shared" si="250"/>
        <v>11.992907577983001</v>
      </c>
      <c r="R249" s="6">
        <f t="shared" si="250"/>
        <v>11.914219046901959</v>
      </c>
      <c r="S249" s="6">
        <f t="shared" si="250"/>
        <v>11.832502685156392</v>
      </c>
      <c r="T249" s="6">
        <f t="shared" si="250"/>
        <v>11.736559424532528</v>
      </c>
      <c r="U249" s="6">
        <f t="shared" si="250"/>
        <v>11.097890296865071</v>
      </c>
      <c r="V249" s="6">
        <f t="shared" si="251"/>
        <v>10.432217555393779</v>
      </c>
      <c r="W249" s="6">
        <f t="shared" si="251"/>
        <v>9.7579560498029316</v>
      </c>
      <c r="X249" s="6">
        <f t="shared" si="251"/>
        <v>9.0995868051351216</v>
      </c>
      <c r="Y249" s="6">
        <f t="shared" si="251"/>
        <v>8.4500913967169602</v>
      </c>
      <c r="Z249" s="6">
        <f t="shared" si="251"/>
        <v>7.8107164292691316</v>
      </c>
      <c r="AA249" s="6">
        <f t="shared" si="251"/>
        <v>7.180226026992897</v>
      </c>
      <c r="AB249" s="6">
        <f t="shared" si="251"/>
        <v>6.5582248611592204</v>
      </c>
      <c r="AC249" s="6">
        <f t="shared" si="251"/>
        <v>5.9453930221674813</v>
      </c>
      <c r="AD249" s="6">
        <f t="shared" si="251"/>
        <v>5.3410027759843191</v>
      </c>
      <c r="AE249" s="6">
        <f t="shared" si="251"/>
        <v>5.3058946662357798</v>
      </c>
      <c r="AF249" s="6">
        <f t="shared" si="252"/>
        <v>5.2713048212190952</v>
      </c>
      <c r="AG249" s="6">
        <f t="shared" si="252"/>
        <v>5.2373470200889365</v>
      </c>
      <c r="AH249" s="6">
        <f t="shared" si="252"/>
        <v>5.2052719677277768</v>
      </c>
      <c r="AI249" s="6">
        <f t="shared" si="252"/>
        <v>5.1738767612550989</v>
      </c>
      <c r="AJ249" s="6">
        <f t="shared" si="252"/>
        <v>5.1431848933647331</v>
      </c>
      <c r="AK249" s="6">
        <f t="shared" si="252"/>
        <v>5.1132856340920458</v>
      </c>
      <c r="AL249" s="6">
        <f t="shared" si="252"/>
        <v>5.0838844402103245</v>
      </c>
      <c r="AM249" s="6">
        <f t="shared" si="252"/>
        <v>5.0543858118303442</v>
      </c>
      <c r="AN249" s="6">
        <f t="shared" si="252"/>
        <v>5.0245751255230156</v>
      </c>
      <c r="AO249" s="6">
        <f t="shared" si="252"/>
        <v>4.8782461355177595</v>
      </c>
      <c r="AP249" s="6">
        <f t="shared" ref="AP249:AP256" si="254">INDEX($L$233:$BR$241,MATCH($D249,$B$233:$B$241,0),MATCH(AP$247,$L$104:$BR$104,0))</f>
        <v>4.7414130100928098</v>
      </c>
      <c r="AQ249" s="6">
        <f t="shared" si="253"/>
        <v>4.4317749744269683</v>
      </c>
      <c r="AR249" s="6">
        <f t="shared" si="253"/>
        <v>4.0046284298504879</v>
      </c>
      <c r="AS249" s="3"/>
      <c r="AT249" s="3"/>
      <c r="AU249" s="3"/>
      <c r="AV249" s="3"/>
      <c r="AW249" s="3"/>
      <c r="AX249" s="3"/>
      <c r="BS249" s="70"/>
      <c r="BT249" s="70"/>
      <c r="BU249" s="70"/>
      <c r="BV249" s="70"/>
      <c r="BW249" s="70"/>
      <c r="BX249" s="70"/>
      <c r="BY249" s="70"/>
      <c r="BZ249" s="70"/>
      <c r="CA249" s="70"/>
      <c r="CB249" s="70"/>
      <c r="CC249" s="70"/>
      <c r="CD249" s="70"/>
      <c r="CE249" s="70"/>
      <c r="CF249" s="70"/>
      <c r="CG249" s="70"/>
      <c r="CH249" s="70"/>
      <c r="CI249" s="70"/>
      <c r="CJ249" s="70"/>
      <c r="CK249" s="70"/>
      <c r="CL249" s="70"/>
    </row>
    <row r="250" spans="1:90" customFormat="1">
      <c r="A250" t="s">
        <v>113</v>
      </c>
      <c r="B250" s="15" t="str">
        <f t="shared" si="246"/>
        <v>COM_PROJ</v>
      </c>
      <c r="C250" s="16" t="str">
        <f t="shared" si="247"/>
        <v>-</v>
      </c>
      <c r="D250" s="15" t="str">
        <f>COM!B164</f>
        <v>CEK</v>
      </c>
      <c r="E250" s="16" t="str">
        <f t="shared" si="248"/>
        <v>-</v>
      </c>
      <c r="F250" s="16" t="str">
        <f t="shared" si="248"/>
        <v>-</v>
      </c>
      <c r="G250" s="16" t="str">
        <f t="shared" si="248"/>
        <v>-</v>
      </c>
      <c r="H250" s="16" t="str">
        <f t="shared" si="248"/>
        <v>-</v>
      </c>
      <c r="I250" s="15">
        <f t="shared" si="249"/>
        <v>0</v>
      </c>
      <c r="J250" s="15"/>
      <c r="K250" s="15"/>
      <c r="L250" s="6">
        <f t="shared" si="250"/>
        <v>9.8944997565297612</v>
      </c>
      <c r="M250" s="6">
        <f t="shared" si="250"/>
        <v>9.7120807580170077</v>
      </c>
      <c r="N250" s="6">
        <f t="shared" si="250"/>
        <v>9.5529153405684184</v>
      </c>
      <c r="O250" s="6">
        <f t="shared" si="250"/>
        <v>9.3739244191123756</v>
      </c>
      <c r="P250" s="6">
        <f t="shared" si="250"/>
        <v>9.1852112925639346</v>
      </c>
      <c r="Q250" s="6">
        <f t="shared" si="250"/>
        <v>8.9629891158025892</v>
      </c>
      <c r="R250" s="6">
        <f t="shared" si="250"/>
        <v>8.904180653965307</v>
      </c>
      <c r="S250" s="6">
        <f t="shared" si="250"/>
        <v>8.8431093202502762</v>
      </c>
      <c r="T250" s="6">
        <f t="shared" si="250"/>
        <v>8.7714054073238561</v>
      </c>
      <c r="U250" s="6">
        <f t="shared" si="250"/>
        <v>8.4428584584866169</v>
      </c>
      <c r="V250" s="6">
        <f t="shared" si="251"/>
        <v>8.0920217112027082</v>
      </c>
      <c r="W250" s="6">
        <f t="shared" si="251"/>
        <v>7.7320615912374242</v>
      </c>
      <c r="X250" s="6">
        <f t="shared" si="251"/>
        <v>7.3818485099244802</v>
      </c>
      <c r="Y250" s="6">
        <f t="shared" si="251"/>
        <v>7.036010912860986</v>
      </c>
      <c r="Z250" s="6">
        <f t="shared" si="251"/>
        <v>6.6956605540275085</v>
      </c>
      <c r="AA250" s="6">
        <f t="shared" si="251"/>
        <v>6.3599031876040177</v>
      </c>
      <c r="AB250" s="6">
        <f t="shared" si="251"/>
        <v>6.0285219045171932</v>
      </c>
      <c r="AC250" s="6">
        <f t="shared" si="251"/>
        <v>5.7023273722264545</v>
      </c>
      <c r="AD250" s="6">
        <f t="shared" si="251"/>
        <v>5.3809597149945079</v>
      </c>
      <c r="AE250" s="6">
        <f t="shared" si="251"/>
        <v>5.3455889555790748</v>
      </c>
      <c r="AF250" s="6">
        <f t="shared" si="252"/>
        <v>5.3107403381210201</v>
      </c>
      <c r="AG250" s="6">
        <f t="shared" si="252"/>
        <v>5.2765284929759853</v>
      </c>
      <c r="AH250" s="6">
        <f t="shared" si="252"/>
        <v>5.2442134817597763</v>
      </c>
      <c r="AI250" s="6">
        <f t="shared" si="252"/>
        <v>5.2125834024733484</v>
      </c>
      <c r="AJ250" s="6">
        <f t="shared" si="252"/>
        <v>5.1816619235633219</v>
      </c>
      <c r="AK250" s="6">
        <f t="shared" si="252"/>
        <v>5.1515389829091935</v>
      </c>
      <c r="AL250" s="6">
        <f t="shared" si="252"/>
        <v>5.1219178337568945</v>
      </c>
      <c r="AM250" s="6">
        <f t="shared" si="252"/>
        <v>5.0921985211824836</v>
      </c>
      <c r="AN250" s="6">
        <f t="shared" si="252"/>
        <v>5.062164816122948</v>
      </c>
      <c r="AO250" s="6">
        <f t="shared" si="252"/>
        <v>4.914741114361437</v>
      </c>
      <c r="AP250" s="6">
        <f t="shared" si="254"/>
        <v>4.7768843173383813</v>
      </c>
      <c r="AQ250" s="6">
        <f t="shared" si="253"/>
        <v>4.4649298275111668</v>
      </c>
      <c r="AR250" s="6">
        <f t="shared" si="253"/>
        <v>4.0345877278777227</v>
      </c>
      <c r="AS250" s="3"/>
      <c r="AT250" s="3"/>
      <c r="AU250" s="3"/>
      <c r="AV250" s="3"/>
      <c r="AW250" s="3"/>
      <c r="AX250" s="3"/>
      <c r="BS250" s="70"/>
      <c r="BT250" s="70"/>
      <c r="BU250" s="70"/>
      <c r="BV250" s="70"/>
      <c r="BW250" s="70"/>
      <c r="BX250" s="70"/>
      <c r="BY250" s="70"/>
      <c r="BZ250" s="70"/>
      <c r="CA250" s="70"/>
      <c r="CB250" s="70"/>
      <c r="CC250" s="70"/>
      <c r="CD250" s="70"/>
      <c r="CE250" s="70"/>
      <c r="CF250" s="70"/>
      <c r="CG250" s="70"/>
      <c r="CH250" s="70"/>
      <c r="CI250" s="70"/>
      <c r="CJ250" s="70"/>
      <c r="CK250" s="70"/>
      <c r="CL250" s="70"/>
    </row>
    <row r="251" spans="1:90" customFormat="1">
      <c r="A251" t="s">
        <v>113</v>
      </c>
      <c r="B251" s="15" t="str">
        <f t="shared" si="246"/>
        <v>COM_PROJ</v>
      </c>
      <c r="C251" s="16" t="str">
        <f t="shared" si="247"/>
        <v>-</v>
      </c>
      <c r="D251" s="15" t="str">
        <f>COM!B165</f>
        <v>CEL</v>
      </c>
      <c r="E251" s="16" t="str">
        <f t="shared" si="248"/>
        <v>-</v>
      </c>
      <c r="F251" s="16" t="str">
        <f t="shared" si="248"/>
        <v>-</v>
      </c>
      <c r="G251" s="16" t="str">
        <f t="shared" si="248"/>
        <v>-</v>
      </c>
      <c r="H251" s="16" t="str">
        <f t="shared" si="248"/>
        <v>-</v>
      </c>
      <c r="I251" s="15">
        <f t="shared" si="249"/>
        <v>0</v>
      </c>
      <c r="J251" s="15"/>
      <c r="K251" s="15"/>
      <c r="L251" s="6">
        <f t="shared" si="250"/>
        <v>121.54027190568891</v>
      </c>
      <c r="M251" s="6">
        <f t="shared" si="250"/>
        <v>119.61728657242656</v>
      </c>
      <c r="N251" s="6">
        <f t="shared" si="250"/>
        <v>117.98748492339632</v>
      </c>
      <c r="O251" s="6">
        <f t="shared" si="250"/>
        <v>116.12030827207033</v>
      </c>
      <c r="P251" s="6">
        <f t="shared" si="250"/>
        <v>114.13974367983143</v>
      </c>
      <c r="Q251" s="6">
        <f t="shared" si="250"/>
        <v>111.748716602955</v>
      </c>
      <c r="R251" s="6">
        <f t="shared" si="250"/>
        <v>111.01550471897272</v>
      </c>
      <c r="S251" s="6">
        <f t="shared" si="250"/>
        <v>110.25407981086335</v>
      </c>
      <c r="T251" s="6">
        <f t="shared" si="250"/>
        <v>109.3600900780397</v>
      </c>
      <c r="U251" s="6">
        <f t="shared" si="250"/>
        <v>105.19650309034176</v>
      </c>
      <c r="V251" s="6">
        <f t="shared" si="251"/>
        <v>100.75596571550396</v>
      </c>
      <c r="W251" s="6">
        <f t="shared" si="251"/>
        <v>96.202904026330572</v>
      </c>
      <c r="X251" s="6">
        <f t="shared" si="251"/>
        <v>91.772330516107957</v>
      </c>
      <c r="Y251" s="6">
        <f t="shared" si="251"/>
        <v>87.39733089656437</v>
      </c>
      <c r="Z251" s="6">
        <f t="shared" si="251"/>
        <v>83.091684779829194</v>
      </c>
      <c r="AA251" s="6">
        <f t="shared" si="251"/>
        <v>78.84422958775184</v>
      </c>
      <c r="AB251" s="6">
        <f t="shared" si="251"/>
        <v>74.652225394525558</v>
      </c>
      <c r="AC251" s="6">
        <f t="shared" si="251"/>
        <v>70.525642574129961</v>
      </c>
      <c r="AD251" s="6">
        <f t="shared" si="251"/>
        <v>66.459910991793663</v>
      </c>
      <c r="AE251" s="6">
        <f t="shared" si="251"/>
        <v>66.023048861807581</v>
      </c>
      <c r="AF251" s="6">
        <f t="shared" si="252"/>
        <v>65.592635675848285</v>
      </c>
      <c r="AG251" s="6">
        <f t="shared" si="252"/>
        <v>65.170087226569223</v>
      </c>
      <c r="AH251" s="6">
        <f t="shared" si="252"/>
        <v>64.770966459479396</v>
      </c>
      <c r="AI251" s="6">
        <f t="shared" si="252"/>
        <v>64.380305245610501</v>
      </c>
      <c r="AJ251" s="6">
        <f t="shared" si="252"/>
        <v>63.99839591252843</v>
      </c>
      <c r="AK251" s="6">
        <f t="shared" si="252"/>
        <v>63.626349277593448</v>
      </c>
      <c r="AL251" s="6">
        <f t="shared" si="252"/>
        <v>63.260500239428239</v>
      </c>
      <c r="AM251" s="6">
        <f t="shared" si="252"/>
        <v>62.893438790718882</v>
      </c>
      <c r="AN251" s="6">
        <f t="shared" si="252"/>
        <v>62.522494299265354</v>
      </c>
      <c r="AO251" s="6">
        <f t="shared" si="252"/>
        <v>60.701672993012409</v>
      </c>
      <c r="AP251" s="6">
        <f t="shared" si="254"/>
        <v>58.999011953897863</v>
      </c>
      <c r="AQ251" s="6">
        <f t="shared" si="253"/>
        <v>55.14608074357227</v>
      </c>
      <c r="AR251" s="6">
        <f t="shared" si="253"/>
        <v>49.830951258777475</v>
      </c>
      <c r="AS251" s="3"/>
      <c r="AT251" s="3"/>
      <c r="AU251" s="3"/>
      <c r="AV251" s="3"/>
      <c r="AW251" s="3"/>
      <c r="AX251" s="3"/>
      <c r="BS251" s="70"/>
      <c r="BT251" s="70"/>
      <c r="BU251" s="70"/>
      <c r="BV251" s="70"/>
      <c r="BW251" s="70"/>
      <c r="BX251" s="70"/>
      <c r="BY251" s="70"/>
      <c r="BZ251" s="70"/>
      <c r="CA251" s="70"/>
      <c r="CB251" s="70"/>
      <c r="CC251" s="70"/>
      <c r="CD251" s="70"/>
      <c r="CE251" s="70"/>
      <c r="CF251" s="70"/>
      <c r="CG251" s="70"/>
      <c r="CH251" s="70"/>
      <c r="CI251" s="70"/>
      <c r="CJ251" s="70"/>
      <c r="CK251" s="70"/>
      <c r="CL251" s="70"/>
    </row>
    <row r="252" spans="1:90" customFormat="1">
      <c r="A252" t="s">
        <v>113</v>
      </c>
      <c r="B252" s="15" t="str">
        <f t="shared" si="246"/>
        <v>COM_PROJ</v>
      </c>
      <c r="C252" s="16" t="str">
        <f t="shared" si="247"/>
        <v>-</v>
      </c>
      <c r="D252" s="15" t="str">
        <f>COM!B166</f>
        <v>CER</v>
      </c>
      <c r="E252" s="16" t="str">
        <f t="shared" si="248"/>
        <v>-</v>
      </c>
      <c r="F252" s="16" t="str">
        <f t="shared" si="248"/>
        <v>-</v>
      </c>
      <c r="G252" s="16" t="str">
        <f t="shared" si="248"/>
        <v>-</v>
      </c>
      <c r="H252" s="16" t="str">
        <f t="shared" si="248"/>
        <v>-</v>
      </c>
      <c r="I252" s="15">
        <f t="shared" si="249"/>
        <v>0</v>
      </c>
      <c r="J252" s="15"/>
      <c r="K252" s="15"/>
      <c r="L252" s="6">
        <f t="shared" si="250"/>
        <v>29.566390373747055</v>
      </c>
      <c r="M252" s="6">
        <f t="shared" si="250"/>
        <v>29.09859699008291</v>
      </c>
      <c r="N252" s="6">
        <f t="shared" si="250"/>
        <v>28.702124684801294</v>
      </c>
      <c r="O252" s="6">
        <f t="shared" si="250"/>
        <v>28.247907552452883</v>
      </c>
      <c r="P252" s="6">
        <f t="shared" si="250"/>
        <v>27.766107199562498</v>
      </c>
      <c r="Q252" s="6">
        <f t="shared" si="250"/>
        <v>27.184456041138404</v>
      </c>
      <c r="R252" s="6">
        <f t="shared" si="250"/>
        <v>27.006091878802874</v>
      </c>
      <c r="S252" s="6">
        <f t="shared" si="250"/>
        <v>26.82086449926463</v>
      </c>
      <c r="T252" s="6">
        <f t="shared" si="250"/>
        <v>26.603388850935517</v>
      </c>
      <c r="U252" s="6">
        <f t="shared" si="250"/>
        <v>25.590537420679915</v>
      </c>
      <c r="V252" s="6">
        <f t="shared" si="251"/>
        <v>24.510313891185536</v>
      </c>
      <c r="W252" s="6">
        <f t="shared" si="251"/>
        <v>23.402717230530442</v>
      </c>
      <c r="X252" s="6">
        <f t="shared" si="251"/>
        <v>22.324917552046301</v>
      </c>
      <c r="Y252" s="6">
        <f t="shared" si="251"/>
        <v>21.260637008583352</v>
      </c>
      <c r="Z252" s="6">
        <f t="shared" si="251"/>
        <v>20.213227685709832</v>
      </c>
      <c r="AA252" s="6">
        <f t="shared" si="251"/>
        <v>19.179974128391756</v>
      </c>
      <c r="AB252" s="6">
        <f t="shared" si="251"/>
        <v>18.160209810919365</v>
      </c>
      <c r="AC252" s="6">
        <f t="shared" si="251"/>
        <v>17.156360167797864</v>
      </c>
      <c r="AD252" s="6">
        <f t="shared" si="251"/>
        <v>16.167313449097875</v>
      </c>
      <c r="AE252" s="6">
        <f t="shared" si="251"/>
        <v>16.061040556400233</v>
      </c>
      <c r="AF252" s="6">
        <f t="shared" si="252"/>
        <v>15.956336460559843</v>
      </c>
      <c r="AG252" s="6">
        <f t="shared" si="252"/>
        <v>15.85354557316656</v>
      </c>
      <c r="AH252" s="6">
        <f t="shared" si="252"/>
        <v>15.756453800859159</v>
      </c>
      <c r="AI252" s="6">
        <f t="shared" si="252"/>
        <v>15.661419934536294</v>
      </c>
      <c r="AJ252" s="6">
        <f t="shared" si="252"/>
        <v>15.568515087013461</v>
      </c>
      <c r="AK252" s="6">
        <f t="shared" si="252"/>
        <v>15.478009480326467</v>
      </c>
      <c r="AL252" s="6">
        <f t="shared" si="252"/>
        <v>15.389011526721045</v>
      </c>
      <c r="AM252" s="6">
        <f t="shared" si="252"/>
        <v>15.299718637100762</v>
      </c>
      <c r="AN252" s="6">
        <f t="shared" si="252"/>
        <v>15.209481142405865</v>
      </c>
      <c r="AO252" s="6">
        <f t="shared" si="252"/>
        <v>14.76654060346018</v>
      </c>
      <c r="AP252" s="6">
        <f t="shared" si="254"/>
        <v>14.352344220917168</v>
      </c>
      <c r="AQ252" s="6">
        <f t="shared" si="253"/>
        <v>13.415064202849774</v>
      </c>
      <c r="AR252" s="6">
        <f t="shared" si="253"/>
        <v>12.122083771175253</v>
      </c>
      <c r="AS252" s="3"/>
      <c r="AT252" s="3"/>
      <c r="AU252" s="3"/>
      <c r="AV252" s="3"/>
      <c r="AW252" s="3"/>
      <c r="AX252" s="3"/>
      <c r="BS252" s="70"/>
      <c r="BT252" s="70"/>
      <c r="BU252" s="70"/>
      <c r="BV252" s="70"/>
      <c r="BW252" s="70"/>
      <c r="BX252" s="70"/>
      <c r="BY252" s="70"/>
      <c r="BZ252" s="70"/>
      <c r="CA252" s="70"/>
      <c r="CB252" s="70"/>
      <c r="CC252" s="70"/>
      <c r="CD252" s="70"/>
      <c r="CE252" s="70"/>
      <c r="CF252" s="70"/>
      <c r="CG252" s="70"/>
      <c r="CH252" s="70"/>
      <c r="CI252" s="70"/>
      <c r="CJ252" s="70"/>
      <c r="CK252" s="70"/>
      <c r="CL252" s="70"/>
    </row>
    <row r="253" spans="1:90" customFormat="1">
      <c r="A253" t="s">
        <v>113</v>
      </c>
      <c r="B253" s="15" t="str">
        <f t="shared" si="246"/>
        <v>COM_PROJ</v>
      </c>
      <c r="C253" s="16" t="str">
        <f t="shared" si="247"/>
        <v>-</v>
      </c>
      <c r="D253" s="15" t="str">
        <f>COM!B167</f>
        <v>CEW</v>
      </c>
      <c r="E253" s="16" t="str">
        <f t="shared" si="248"/>
        <v>-</v>
      </c>
      <c r="F253" s="16" t="str">
        <f t="shared" si="248"/>
        <v>-</v>
      </c>
      <c r="G253" s="16" t="str">
        <f t="shared" si="248"/>
        <v>-</v>
      </c>
      <c r="H253" s="16" t="str">
        <f t="shared" si="248"/>
        <v>-</v>
      </c>
      <c r="I253" s="15">
        <f t="shared" si="249"/>
        <v>0</v>
      </c>
      <c r="J253" s="15"/>
      <c r="K253" s="15"/>
      <c r="L253" s="6">
        <f t="shared" si="250"/>
        <v>9.6831090230750316</v>
      </c>
      <c r="M253" s="6">
        <f t="shared" si="250"/>
        <v>10.586585246419229</v>
      </c>
      <c r="N253" s="6">
        <f t="shared" si="250"/>
        <v>11.538509766671879</v>
      </c>
      <c r="O253" s="6">
        <f t="shared" si="250"/>
        <v>12.49198569052334</v>
      </c>
      <c r="P253" s="6">
        <f t="shared" si="250"/>
        <v>13.456498623549578</v>
      </c>
      <c r="Q253" s="6">
        <f t="shared" si="250"/>
        <v>14.3921338097343</v>
      </c>
      <c r="R253" s="6">
        <f t="shared" si="250"/>
        <v>14.297703342289619</v>
      </c>
      <c r="S253" s="6">
        <f t="shared" si="250"/>
        <v>14.199639315277025</v>
      </c>
      <c r="T253" s="6">
        <f t="shared" si="250"/>
        <v>14.08450224479915</v>
      </c>
      <c r="U253" s="6">
        <f t="shared" si="250"/>
        <v>13.327692814661191</v>
      </c>
      <c r="V253" s="6">
        <f t="shared" si="251"/>
        <v>12.538341142730044</v>
      </c>
      <c r="W253" s="6">
        <f t="shared" si="251"/>
        <v>11.738507463660122</v>
      </c>
      <c r="X253" s="6">
        <f t="shared" si="251"/>
        <v>10.957607493096273</v>
      </c>
      <c r="Y253" s="6">
        <f t="shared" si="251"/>
        <v>10.187210571447293</v>
      </c>
      <c r="Z253" s="6">
        <f t="shared" si="251"/>
        <v>9.4288243466859498</v>
      </c>
      <c r="AA253" s="6">
        <f t="shared" si="251"/>
        <v>8.6809676038020438</v>
      </c>
      <c r="AB253" s="6">
        <f t="shared" si="251"/>
        <v>7.9431710101709685</v>
      </c>
      <c r="AC253" s="6">
        <f t="shared" si="251"/>
        <v>7.2162702812300772</v>
      </c>
      <c r="AD253" s="6">
        <f t="shared" si="251"/>
        <v>6.4994040051691346</v>
      </c>
      <c r="AE253" s="6">
        <f t="shared" si="251"/>
        <v>6.4566813557558831</v>
      </c>
      <c r="AF253" s="6">
        <f t="shared" si="252"/>
        <v>6.4145893766521676</v>
      </c>
      <c r="AG253" s="6">
        <f t="shared" si="252"/>
        <v>6.3732665243847073</v>
      </c>
      <c r="AH253" s="6">
        <f t="shared" si="252"/>
        <v>6.3342347671425117</v>
      </c>
      <c r="AI253" s="6">
        <f t="shared" si="252"/>
        <v>6.2960303064354051</v>
      </c>
      <c r="AJ253" s="6">
        <f t="shared" si="252"/>
        <v>6.258681730248604</v>
      </c>
      <c r="AK253" s="6">
        <f t="shared" si="252"/>
        <v>6.2222976702473085</v>
      </c>
      <c r="AL253" s="6">
        <f t="shared" si="252"/>
        <v>6.1865197002131342</v>
      </c>
      <c r="AM253" s="6">
        <f t="shared" si="252"/>
        <v>6.1506231632740569</v>
      </c>
      <c r="AN253" s="6">
        <f t="shared" si="252"/>
        <v>6.1143468866815978</v>
      </c>
      <c r="AO253" s="6">
        <f t="shared" si="252"/>
        <v>5.9362808448534805</v>
      </c>
      <c r="AP253" s="6">
        <f t="shared" si="254"/>
        <v>5.7697702099169854</v>
      </c>
      <c r="AQ253" s="6">
        <f t="shared" si="253"/>
        <v>5.3929752945111638</v>
      </c>
      <c r="AR253" s="6">
        <f t="shared" si="253"/>
        <v>4.8731856446915387</v>
      </c>
      <c r="AS253" s="3"/>
      <c r="AT253" s="3"/>
      <c r="AU253" s="3"/>
      <c r="AV253" s="3"/>
      <c r="AW253" s="3"/>
      <c r="AX253" s="3"/>
    </row>
    <row r="254" spans="1:90" customFormat="1">
      <c r="A254" t="s">
        <v>113</v>
      </c>
      <c r="B254" s="15" t="str">
        <f t="shared" si="246"/>
        <v>COM_PROJ</v>
      </c>
      <c r="C254" s="16" t="str">
        <f t="shared" si="247"/>
        <v>-</v>
      </c>
      <c r="D254" s="15" t="str">
        <f>COM!B168</f>
        <v>CEG</v>
      </c>
      <c r="E254" s="16" t="str">
        <f t="shared" si="248"/>
        <v>-</v>
      </c>
      <c r="F254" s="16" t="str">
        <f t="shared" si="248"/>
        <v>-</v>
      </c>
      <c r="G254" s="16" t="str">
        <f t="shared" si="248"/>
        <v>-</v>
      </c>
      <c r="H254" s="16" t="str">
        <f t="shared" si="248"/>
        <v>-</v>
      </c>
      <c r="I254" s="15">
        <f t="shared" si="249"/>
        <v>0</v>
      </c>
      <c r="J254" s="15"/>
      <c r="K254" s="15"/>
      <c r="L254" s="6">
        <f t="shared" si="250"/>
        <v>10.30055287377321</v>
      </c>
      <c r="M254" s="6">
        <f t="shared" si="250"/>
        <v>10.137579632145703</v>
      </c>
      <c r="N254" s="6">
        <f t="shared" si="250"/>
        <v>9.9994537435297453</v>
      </c>
      <c r="O254" s="6">
        <f t="shared" si="250"/>
        <v>9.8412102945058564</v>
      </c>
      <c r="P254" s="6">
        <f t="shared" si="250"/>
        <v>9.6733572036545379</v>
      </c>
      <c r="Q254" s="6">
        <f t="shared" si="250"/>
        <v>9.4707173671475111</v>
      </c>
      <c r="R254" s="6">
        <f t="shared" si="250"/>
        <v>9.5388470786807869</v>
      </c>
      <c r="S254" s="6">
        <f t="shared" si="250"/>
        <v>9.5950215040281002</v>
      </c>
      <c r="T254" s="6">
        <f t="shared" si="250"/>
        <v>9.5950215040281002</v>
      </c>
      <c r="U254" s="6">
        <f t="shared" si="250"/>
        <v>9.6816157767045059</v>
      </c>
      <c r="V254" s="6">
        <f t="shared" si="251"/>
        <v>9.6322350001341945</v>
      </c>
      <c r="W254" s="6">
        <f t="shared" si="251"/>
        <v>9.5093054380631052</v>
      </c>
      <c r="X254" s="6">
        <f t="shared" si="251"/>
        <v>9.4193990507318315</v>
      </c>
      <c r="Y254" s="6">
        <f t="shared" si="251"/>
        <v>9.3326249745505656</v>
      </c>
      <c r="Z254" s="6">
        <f t="shared" si="251"/>
        <v>9.2570127081242788</v>
      </c>
      <c r="AA254" s="6">
        <f t="shared" si="251"/>
        <v>9.188189617735059</v>
      </c>
      <c r="AB254" s="6">
        <f t="shared" si="251"/>
        <v>9.1259499257437575</v>
      </c>
      <c r="AC254" s="6">
        <f t="shared" si="251"/>
        <v>9.0781964496864234</v>
      </c>
      <c r="AD254" s="6">
        <f t="shared" si="251"/>
        <v>9.045230491445281</v>
      </c>
      <c r="AE254" s="6">
        <f t="shared" si="251"/>
        <v>9.162999081504335</v>
      </c>
      <c r="AF254" s="6">
        <f t="shared" si="252"/>
        <v>9.2851400619085158</v>
      </c>
      <c r="AG254" s="6">
        <f t="shared" si="252"/>
        <v>9.4126133414588207</v>
      </c>
      <c r="AH254" s="6">
        <f t="shared" si="252"/>
        <v>9.5559706124017243</v>
      </c>
      <c r="AI254" s="6">
        <f t="shared" si="252"/>
        <v>9.7050634686859549</v>
      </c>
      <c r="AJ254" s="6">
        <f t="shared" si="252"/>
        <v>9.8600901086865704</v>
      </c>
      <c r="AK254" s="6">
        <f t="shared" si="252"/>
        <v>10.021803667658098</v>
      </c>
      <c r="AL254" s="6">
        <f t="shared" si="252"/>
        <v>10.187719203289143</v>
      </c>
      <c r="AM254" s="6">
        <f t="shared" si="252"/>
        <v>10.352812723387796</v>
      </c>
      <c r="AN254" s="6">
        <f t="shared" si="252"/>
        <v>10.515273536715586</v>
      </c>
      <c r="AO254" s="6">
        <f t="shared" si="252"/>
        <v>11.350562616834122</v>
      </c>
      <c r="AP254" s="6">
        <f t="shared" si="254"/>
        <v>12.265964473411325</v>
      </c>
      <c r="AQ254" s="6">
        <f t="shared" si="253"/>
        <v>13.7932887580832</v>
      </c>
      <c r="AR254" s="6">
        <f t="shared" si="253"/>
        <v>14.329241185381104</v>
      </c>
      <c r="AS254" s="3"/>
      <c r="AT254" s="3"/>
      <c r="AU254" s="3"/>
      <c r="AV254" s="3"/>
      <c r="AW254" s="3"/>
      <c r="AX254" s="3"/>
    </row>
    <row r="255" spans="1:90" customFormat="1">
      <c r="B255" s="15" t="str">
        <f t="shared" si="246"/>
        <v>COM_PROJ</v>
      </c>
      <c r="C255" s="16" t="str">
        <f t="shared" si="247"/>
        <v>-</v>
      </c>
      <c r="D255" s="15" t="str">
        <f>COM!B169</f>
        <v>CET</v>
      </c>
      <c r="E255" s="16" t="str">
        <f t="shared" si="248"/>
        <v>-</v>
      </c>
      <c r="F255" s="16" t="str">
        <f t="shared" si="248"/>
        <v>-</v>
      </c>
      <c r="G255" s="16" t="str">
        <f t="shared" si="248"/>
        <v>-</v>
      </c>
      <c r="H255" s="16" t="str">
        <f t="shared" si="248"/>
        <v>-</v>
      </c>
      <c r="I255" s="15">
        <f t="shared" si="249"/>
        <v>0</v>
      </c>
      <c r="J255" s="15"/>
      <c r="K255" s="15"/>
      <c r="L255" s="6">
        <f t="shared" si="250"/>
        <v>3.5593512487513528</v>
      </c>
      <c r="M255" s="6">
        <f t="shared" si="250"/>
        <v>3.5030359210006554</v>
      </c>
      <c r="N255" s="6">
        <f t="shared" si="250"/>
        <v>3.4553065845121358</v>
      </c>
      <c r="O255" s="6">
        <f t="shared" si="250"/>
        <v>3.4006256343930392</v>
      </c>
      <c r="P255" s="6">
        <f t="shared" si="250"/>
        <v>3.3426240770155102</v>
      </c>
      <c r="Q255" s="6">
        <f t="shared" si="250"/>
        <v>3.2726019758762099</v>
      </c>
      <c r="R255" s="6">
        <f t="shared" si="250"/>
        <v>3.2961441659697601</v>
      </c>
      <c r="S255" s="6">
        <f t="shared" si="250"/>
        <v>3.3155552124891114</v>
      </c>
      <c r="T255" s="6">
        <f t="shared" si="250"/>
        <v>3.3155552124891114</v>
      </c>
      <c r="U255" s="6">
        <f t="shared" si="250"/>
        <v>3.3454778230870588</v>
      </c>
      <c r="V255" s="6">
        <f t="shared" si="251"/>
        <v>3.3284143187389215</v>
      </c>
      <c r="W255" s="6">
        <f t="shared" si="251"/>
        <v>3.2859360658113284</v>
      </c>
      <c r="X255" s="6">
        <f t="shared" si="251"/>
        <v>3.2548689555367836</v>
      </c>
      <c r="Y255" s="6">
        <f t="shared" si="251"/>
        <v>3.2248842139214635</v>
      </c>
      <c r="Z255" s="6">
        <f t="shared" si="251"/>
        <v>3.1987564304691238</v>
      </c>
      <c r="AA255" s="6">
        <f t="shared" si="251"/>
        <v>3.1749746436347963</v>
      </c>
      <c r="AB255" s="6">
        <f t="shared" si="251"/>
        <v>3.1534677470511006</v>
      </c>
      <c r="AC255" s="6">
        <f t="shared" si="251"/>
        <v>3.136966555637418</v>
      </c>
      <c r="AD255" s="6">
        <f t="shared" si="251"/>
        <v>3.1255751841188411</v>
      </c>
      <c r="AE255" s="6">
        <f t="shared" si="251"/>
        <v>3.1662700655710467</v>
      </c>
      <c r="AF255" s="6">
        <f t="shared" si="252"/>
        <v>3.2084758244708684</v>
      </c>
      <c r="AG255" s="6">
        <f t="shared" si="252"/>
        <v>3.2525241568574779</v>
      </c>
      <c r="AH255" s="6">
        <f t="shared" si="252"/>
        <v>3.3020611950729126</v>
      </c>
      <c r="AI255" s="6">
        <f t="shared" si="252"/>
        <v>3.3535801621320847</v>
      </c>
      <c r="AJ255" s="6">
        <f t="shared" si="252"/>
        <v>3.407149545391198</v>
      </c>
      <c r="AK255" s="6">
        <f t="shared" si="252"/>
        <v>3.4630295903867321</v>
      </c>
      <c r="AL255" s="6">
        <f t="shared" si="252"/>
        <v>3.5203616264601791</v>
      </c>
      <c r="AM255" s="6">
        <f t="shared" si="252"/>
        <v>3.5774096154492057</v>
      </c>
      <c r="AN255" s="6">
        <f t="shared" si="252"/>
        <v>3.6335478738395635</v>
      </c>
      <c r="AO255" s="6">
        <f t="shared" si="252"/>
        <v>3.9221816264955223</v>
      </c>
      <c r="AP255" s="6">
        <f t="shared" si="254"/>
        <v>4.2384983117497033</v>
      </c>
      <c r="AQ255" s="6">
        <f t="shared" si="253"/>
        <v>4.7662645070708027</v>
      </c>
      <c r="AR255" s="6">
        <f t="shared" si="253"/>
        <v>4.9514626187402522</v>
      </c>
      <c r="AS255" s="3"/>
      <c r="AT255" s="3"/>
      <c r="AU255" s="3"/>
      <c r="AV255" s="3"/>
      <c r="AW255" s="3"/>
      <c r="AX255" s="3"/>
    </row>
    <row r="256" spans="1:90" customFormat="1">
      <c r="B256" s="15" t="str">
        <f t="shared" si="246"/>
        <v>COM_PROJ</v>
      </c>
      <c r="C256" s="16" t="str">
        <f t="shared" si="247"/>
        <v>-</v>
      </c>
      <c r="D256" s="15" t="str">
        <f>COM!B170</f>
        <v>CEO</v>
      </c>
      <c r="E256" s="16" t="str">
        <f t="shared" si="248"/>
        <v>-</v>
      </c>
      <c r="F256" s="16" t="str">
        <f t="shared" si="248"/>
        <v>-</v>
      </c>
      <c r="G256" s="16" t="str">
        <f t="shared" si="248"/>
        <v>-</v>
      </c>
      <c r="H256" s="16" t="str">
        <f t="shared" si="248"/>
        <v>-</v>
      </c>
      <c r="I256" s="15">
        <f t="shared" si="249"/>
        <v>0</v>
      </c>
      <c r="J256" s="15"/>
      <c r="K256" s="15"/>
      <c r="L256" s="6">
        <f t="shared" si="250"/>
        <v>18.760184357078931</v>
      </c>
      <c r="M256" s="6">
        <f t="shared" si="250"/>
        <v>19.031279794352418</v>
      </c>
      <c r="N256" s="6">
        <f t="shared" si="250"/>
        <v>19.361114074755598</v>
      </c>
      <c r="O256" s="6">
        <f t="shared" si="250"/>
        <v>19.665306575633924</v>
      </c>
      <c r="P256" s="6">
        <f t="shared" si="250"/>
        <v>19.962784234968581</v>
      </c>
      <c r="Q256" s="6">
        <f t="shared" si="250"/>
        <v>20.198960613823004</v>
      </c>
      <c r="R256" s="6">
        <f t="shared" si="250"/>
        <v>20.066430071939777</v>
      </c>
      <c r="S256" s="6">
        <f t="shared" si="250"/>
        <v>19.928799929985388</v>
      </c>
      <c r="T256" s="6">
        <f t="shared" si="250"/>
        <v>19.767208245074805</v>
      </c>
      <c r="U256" s="6">
        <f t="shared" si="250"/>
        <v>18.896074283394661</v>
      </c>
      <c r="V256" s="6">
        <f t="shared" si="251"/>
        <v>17.976560801767519</v>
      </c>
      <c r="W256" s="6">
        <f t="shared" si="251"/>
        <v>17.038863359665552</v>
      </c>
      <c r="X256" s="6">
        <f t="shared" si="251"/>
        <v>16.1250035819467</v>
      </c>
      <c r="Y256" s="6">
        <f t="shared" si="251"/>
        <v>15.222987116793046</v>
      </c>
      <c r="Z256" s="6">
        <f t="shared" si="251"/>
        <v>14.335161159923107</v>
      </c>
      <c r="AA256" s="6">
        <f t="shared" si="251"/>
        <v>13.459484612560786</v>
      </c>
      <c r="AB256" s="6">
        <f t="shared" si="251"/>
        <v>12.595399633629494</v>
      </c>
      <c r="AC256" s="6">
        <f t="shared" si="251"/>
        <v>11.744467424406615</v>
      </c>
      <c r="AD256" s="6">
        <f t="shared" si="251"/>
        <v>10.905715287902259</v>
      </c>
      <c r="AE256" s="6">
        <f t="shared" si="251"/>
        <v>10.834028553168547</v>
      </c>
      <c r="AF256" s="6">
        <f t="shared" si="252"/>
        <v>10.763400055594868</v>
      </c>
      <c r="AG256" s="6">
        <f t="shared" si="252"/>
        <v>10.694062119169537</v>
      </c>
      <c r="AH256" s="6">
        <f t="shared" si="252"/>
        <v>10.628568539861128</v>
      </c>
      <c r="AI256" s="6">
        <f t="shared" si="252"/>
        <v>10.564463127908251</v>
      </c>
      <c r="AJ256" s="6">
        <f t="shared" si="252"/>
        <v>10.501793852698118</v>
      </c>
      <c r="AK256" s="6">
        <f t="shared" si="252"/>
        <v>10.440742993407559</v>
      </c>
      <c r="AL256" s="6">
        <f t="shared" si="252"/>
        <v>10.380709126538925</v>
      </c>
      <c r="AM256" s="6">
        <f t="shared" si="252"/>
        <v>10.320476309596341</v>
      </c>
      <c r="AN256" s="6">
        <f t="shared" si="252"/>
        <v>10.259606306145578</v>
      </c>
      <c r="AO256" s="6">
        <f t="shared" si="252"/>
        <v>9.9608192861239466</v>
      </c>
      <c r="AP256" s="6">
        <f t="shared" si="254"/>
        <v>9.6814217328127494</v>
      </c>
      <c r="AQ256" s="6">
        <f t="shared" si="253"/>
        <v>9.0491763659949687</v>
      </c>
      <c r="AR256" s="6">
        <f t="shared" si="253"/>
        <v>8.1769920970954217</v>
      </c>
      <c r="AS256" s="3"/>
      <c r="AT256" s="3"/>
      <c r="AU256" s="3"/>
      <c r="AV256" s="3"/>
      <c r="AW256" s="3"/>
      <c r="AX256" s="3"/>
    </row>
    <row r="257" spans="1:50" customFormat="1">
      <c r="A257" t="s">
        <v>16</v>
      </c>
      <c r="B257" s="15"/>
      <c r="C257" s="16" t="str">
        <f t="shared" si="247"/>
        <v/>
      </c>
      <c r="D257" s="15"/>
      <c r="E257" s="16" t="str">
        <f t="shared" si="248"/>
        <v/>
      </c>
      <c r="F257" s="16" t="str">
        <f t="shared" si="248"/>
        <v/>
      </c>
      <c r="G257" s="16"/>
      <c r="H257" s="16" t="str">
        <f t="shared" si="248"/>
        <v/>
      </c>
      <c r="I257" s="15" t="str">
        <f t="shared" si="249"/>
        <v/>
      </c>
      <c r="J257" s="15"/>
      <c r="K257" s="15"/>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3"/>
      <c r="AT257" s="3"/>
      <c r="AU257" s="3"/>
      <c r="AV257" s="3"/>
      <c r="AW257" s="3"/>
      <c r="AX257" s="3"/>
    </row>
    <row r="258" spans="1:50" s="190" customFormat="1">
      <c r="B258" s="191" t="str">
        <f t="shared" ref="B258:B266" si="255">IF(A258="*","","COM_PROJ")</f>
        <v>COM_PROJ</v>
      </c>
      <c r="C258" s="191" t="str">
        <f t="shared" si="247"/>
        <v>-</v>
      </c>
      <c r="D258" s="191" t="str">
        <f>COM!B174</f>
        <v>CNC</v>
      </c>
      <c r="E258" s="191" t="str">
        <f t="shared" si="248"/>
        <v>-</v>
      </c>
      <c r="F258" s="191" t="str">
        <f t="shared" si="248"/>
        <v>-</v>
      </c>
      <c r="G258" s="191" t="str">
        <f t="shared" si="248"/>
        <v>-</v>
      </c>
      <c r="H258" s="191" t="str">
        <f t="shared" si="248"/>
        <v>-</v>
      </c>
      <c r="I258" s="191">
        <f t="shared" si="249"/>
        <v>0</v>
      </c>
      <c r="J258" s="191"/>
      <c r="K258" s="191"/>
      <c r="L258" s="192">
        <f t="shared" ref="L258:U266" si="256">INDEX($L$220:$AX$228,MATCH($D258,$B$220:$B$228,0),MATCH(L$247,$L$104:$AX$104,0))</f>
        <v>0</v>
      </c>
      <c r="M258" s="192">
        <f t="shared" si="256"/>
        <v>0</v>
      </c>
      <c r="N258" s="192">
        <f t="shared" si="256"/>
        <v>0</v>
      </c>
      <c r="O258" s="192">
        <f t="shared" si="256"/>
        <v>0</v>
      </c>
      <c r="P258" s="192">
        <f t="shared" si="256"/>
        <v>0</v>
      </c>
      <c r="Q258" s="192">
        <f t="shared" si="256"/>
        <v>0</v>
      </c>
      <c r="R258" s="192">
        <f t="shared" si="256"/>
        <v>1.6937258662331782</v>
      </c>
      <c r="S258" s="192">
        <f t="shared" si="256"/>
        <v>3.2631004380656852</v>
      </c>
      <c r="T258" s="192">
        <f t="shared" si="256"/>
        <v>4.2481843124195784</v>
      </c>
      <c r="U258" s="192">
        <f t="shared" si="256"/>
        <v>7.2513038866541759</v>
      </c>
      <c r="V258" s="192">
        <f t="shared" ref="V258:AE266" si="257">INDEX($L$220:$AX$228,MATCH($D258,$B$220:$B$228,0),MATCH(V$247,$L$104:$AX$104,0))</f>
        <v>8.745787562750623</v>
      </c>
      <c r="W258" s="192">
        <f t="shared" si="257"/>
        <v>9.4236823396923111</v>
      </c>
      <c r="X258" s="192">
        <f t="shared" si="257"/>
        <v>10.352310122641784</v>
      </c>
      <c r="Y258" s="192">
        <f t="shared" si="257"/>
        <v>11.229817849504327</v>
      </c>
      <c r="Z258" s="192">
        <f t="shared" si="257"/>
        <v>12.126812934403056</v>
      </c>
      <c r="AA258" s="192">
        <f t="shared" si="257"/>
        <v>12.995706783327593</v>
      </c>
      <c r="AB258" s="192">
        <f t="shared" si="257"/>
        <v>13.82872857875264</v>
      </c>
      <c r="AC258" s="192">
        <f t="shared" si="257"/>
        <v>14.686400677906796</v>
      </c>
      <c r="AD258" s="192">
        <f t="shared" si="257"/>
        <v>15.558666614278101</v>
      </c>
      <c r="AE258" s="192">
        <f t="shared" si="257"/>
        <v>16.982516291115292</v>
      </c>
      <c r="AF258" s="192">
        <f t="shared" ref="AF258:AO266" si="258">INDEX($L$220:$AX$228,MATCH($D258,$B$220:$B$228,0),MATCH(AF$247,$L$104:$AX$104,0))</f>
        <v>18.437509078138614</v>
      </c>
      <c r="AG258" s="192">
        <f t="shared" si="258"/>
        <v>19.930482092622192</v>
      </c>
      <c r="AH258" s="192">
        <f t="shared" si="258"/>
        <v>21.536591596551681</v>
      </c>
      <c r="AI258" s="192">
        <f t="shared" si="258"/>
        <v>23.183553803960816</v>
      </c>
      <c r="AJ258" s="192">
        <f t="shared" si="258"/>
        <v>24.87278041722427</v>
      </c>
      <c r="AK258" s="192">
        <f t="shared" si="258"/>
        <v>26.60963577309272</v>
      </c>
      <c r="AL258" s="192">
        <f t="shared" si="258"/>
        <v>28.376420438052385</v>
      </c>
      <c r="AM258" s="192">
        <f t="shared" si="258"/>
        <v>30.137350154510393</v>
      </c>
      <c r="AN258" s="192">
        <f t="shared" si="258"/>
        <v>31.879527959409508</v>
      </c>
      <c r="AO258" s="192">
        <f t="shared" si="258"/>
        <v>38.453308535679774</v>
      </c>
      <c r="AP258" s="192">
        <f>INDEX($L$220:$BR$228,MATCH($D258,$B$220:$B$228,0),MATCH(AP$247,$L$104:$BR$104,0))</f>
        <v>45.44976850047189</v>
      </c>
      <c r="AQ258" s="192">
        <f t="shared" ref="AQ258:AR266" si="259">INDEX($L$220:$BR$228,MATCH($D258,$B$220:$B$228,0),MATCH(AQ$247,$L$104:$BR$104,0))</f>
        <v>57.841514373554219</v>
      </c>
      <c r="AR258" s="192">
        <f t="shared" si="259"/>
        <v>65.00272812684679</v>
      </c>
      <c r="AS258" s="193"/>
      <c r="AT258" s="193"/>
      <c r="AU258" s="193"/>
      <c r="AV258" s="193"/>
      <c r="AW258" s="193"/>
      <c r="AX258" s="193"/>
    </row>
    <row r="259" spans="1:50" customFormat="1">
      <c r="B259" s="15" t="str">
        <f t="shared" si="255"/>
        <v>COM_PROJ</v>
      </c>
      <c r="C259" s="16" t="str">
        <f t="shared" si="247"/>
        <v>-</v>
      </c>
      <c r="D259" s="15" t="str">
        <f>COM!B175</f>
        <v>CNH</v>
      </c>
      <c r="E259" s="16" t="str">
        <f t="shared" si="248"/>
        <v>-</v>
      </c>
      <c r="F259" s="16" t="str">
        <f t="shared" si="248"/>
        <v>-</v>
      </c>
      <c r="G259" s="16" t="str">
        <f t="shared" si="248"/>
        <v>-</v>
      </c>
      <c r="H259" s="16" t="str">
        <f t="shared" si="248"/>
        <v>-</v>
      </c>
      <c r="I259" s="15">
        <f t="shared" si="249"/>
        <v>0</v>
      </c>
      <c r="J259" s="15"/>
      <c r="K259" s="15"/>
      <c r="L259" s="6">
        <f t="shared" si="256"/>
        <v>0</v>
      </c>
      <c r="M259" s="6">
        <f t="shared" si="256"/>
        <v>0</v>
      </c>
      <c r="N259" s="6">
        <f t="shared" si="256"/>
        <v>0</v>
      </c>
      <c r="O259" s="6">
        <f t="shared" si="256"/>
        <v>0</v>
      </c>
      <c r="P259" s="6">
        <f t="shared" si="256"/>
        <v>0</v>
      </c>
      <c r="Q259" s="6">
        <f t="shared" si="256"/>
        <v>0</v>
      </c>
      <c r="R259" s="6">
        <f t="shared" si="256"/>
        <v>0.15818291117343533</v>
      </c>
      <c r="S259" s="6">
        <f t="shared" si="256"/>
        <v>0.3047522252774526</v>
      </c>
      <c r="T259" s="6">
        <f t="shared" si="256"/>
        <v>0.39675261217704844</v>
      </c>
      <c r="U259" s="6">
        <f t="shared" si="256"/>
        <v>0.66522669420813563</v>
      </c>
      <c r="V259" s="6">
        <f t="shared" si="257"/>
        <v>0.78687902352032635</v>
      </c>
      <c r="W259" s="6">
        <f t="shared" si="257"/>
        <v>0.83005676906906911</v>
      </c>
      <c r="X259" s="6">
        <f t="shared" si="257"/>
        <v>0.89086163145376862</v>
      </c>
      <c r="Y259" s="6">
        <f t="shared" si="257"/>
        <v>0.94188948561735575</v>
      </c>
      <c r="Z259" s="6">
        <f t="shared" si="257"/>
        <v>0.98861227454724632</v>
      </c>
      <c r="AA259" s="6">
        <f t="shared" si="257"/>
        <v>1.0264023477943514</v>
      </c>
      <c r="AB259" s="6">
        <f t="shared" si="257"/>
        <v>1.0540444928140638</v>
      </c>
      <c r="AC259" s="6">
        <f t="shared" si="257"/>
        <v>1.0753066021771158</v>
      </c>
      <c r="AD259" s="6">
        <f t="shared" si="257"/>
        <v>1.0881027917270423</v>
      </c>
      <c r="AE259" s="6">
        <f t="shared" si="257"/>
        <v>1.1876803999357313</v>
      </c>
      <c r="AF259" s="6">
        <f t="shared" si="258"/>
        <v>1.2894360164517322</v>
      </c>
      <c r="AG259" s="6">
        <f t="shared" si="258"/>
        <v>1.3938477983419562</v>
      </c>
      <c r="AH259" s="6">
        <f t="shared" si="258"/>
        <v>1.5061718347372883</v>
      </c>
      <c r="AI259" s="6">
        <f t="shared" si="258"/>
        <v>1.6213529244912295</v>
      </c>
      <c r="AJ259" s="6">
        <f t="shared" si="258"/>
        <v>1.7394897956846007</v>
      </c>
      <c r="AK259" s="6">
        <f t="shared" si="258"/>
        <v>1.8609576057739434</v>
      </c>
      <c r="AL259" s="6">
        <f t="shared" si="258"/>
        <v>1.9845185364104365</v>
      </c>
      <c r="AM259" s="6">
        <f t="shared" si="258"/>
        <v>2.1076699984229137</v>
      </c>
      <c r="AN259" s="6">
        <f t="shared" si="258"/>
        <v>2.2295100365310621</v>
      </c>
      <c r="AO259" s="6">
        <f t="shared" si="258"/>
        <v>2.6892505255184962</v>
      </c>
      <c r="AP259" s="192">
        <f t="shared" ref="AP259:AP266" si="260">INDEX($L$220:$BR$228,MATCH($D259,$B$220:$B$228,0),MATCH(AP$247,$L$104:$BR$104,0))</f>
        <v>3.1785512997191914</v>
      </c>
      <c r="AQ259" s="192">
        <f t="shared" si="259"/>
        <v>4.0451739746018323</v>
      </c>
      <c r="AR259" s="192">
        <f t="shared" si="259"/>
        <v>4.5459968838067208</v>
      </c>
      <c r="AS259" s="3"/>
      <c r="AT259" s="3"/>
      <c r="AU259" s="3"/>
      <c r="AV259" s="3"/>
      <c r="AW259" s="3"/>
      <c r="AX259" s="3"/>
    </row>
    <row r="260" spans="1:50" customFormat="1">
      <c r="B260" s="15" t="str">
        <f t="shared" si="255"/>
        <v>COM_PROJ</v>
      </c>
      <c r="C260" s="16" t="str">
        <f t="shared" si="247"/>
        <v>-</v>
      </c>
      <c r="D260" s="15" t="str">
        <f>COM!B176</f>
        <v>CNK</v>
      </c>
      <c r="E260" s="16" t="str">
        <f t="shared" si="248"/>
        <v>-</v>
      </c>
      <c r="F260" s="16" t="str">
        <f t="shared" si="248"/>
        <v>-</v>
      </c>
      <c r="G260" s="16" t="str">
        <f t="shared" si="248"/>
        <v>-</v>
      </c>
      <c r="H260" s="16" t="str">
        <f t="shared" si="248"/>
        <v>-</v>
      </c>
      <c r="I260" s="15">
        <f t="shared" si="249"/>
        <v>0</v>
      </c>
      <c r="J260" s="15"/>
      <c r="K260" s="15"/>
      <c r="L260" s="6">
        <f t="shared" si="256"/>
        <v>0</v>
      </c>
      <c r="M260" s="6">
        <f t="shared" si="256"/>
        <v>0</v>
      </c>
      <c r="N260" s="6">
        <f t="shared" si="256"/>
        <v>0</v>
      </c>
      <c r="O260" s="6">
        <f t="shared" si="256"/>
        <v>0</v>
      </c>
      <c r="P260" s="6">
        <f t="shared" si="256"/>
        <v>0</v>
      </c>
      <c r="Q260" s="6">
        <f t="shared" si="256"/>
        <v>0</v>
      </c>
      <c r="R260" s="6">
        <f t="shared" si="256"/>
        <v>0.11821918095627622</v>
      </c>
      <c r="S260" s="6">
        <f t="shared" si="256"/>
        <v>0.22775885334036872</v>
      </c>
      <c r="T260" s="6">
        <f t="shared" si="256"/>
        <v>0.29651603011912847</v>
      </c>
      <c r="U260" s="6">
        <f t="shared" si="256"/>
        <v>0.50646641489839994</v>
      </c>
      <c r="V260" s="6">
        <f t="shared" si="257"/>
        <v>0.61128338265642834</v>
      </c>
      <c r="W260" s="6">
        <f t="shared" si="257"/>
        <v>0.65916606583913251</v>
      </c>
      <c r="X260" s="6">
        <f t="shared" si="257"/>
        <v>0.72471247549795592</v>
      </c>
      <c r="Y260" s="6">
        <f t="shared" si="257"/>
        <v>0.78683162732447087</v>
      </c>
      <c r="Z260" s="6">
        <f t="shared" si="257"/>
        <v>0.85048339392881778</v>
      </c>
      <c r="AA260" s="6">
        <f t="shared" si="257"/>
        <v>0.91235132951489606</v>
      </c>
      <c r="AB260" s="6">
        <f t="shared" si="257"/>
        <v>0.97190682360806147</v>
      </c>
      <c r="AC260" s="6">
        <f t="shared" si="257"/>
        <v>1.0334272854144815</v>
      </c>
      <c r="AD260" s="6">
        <f t="shared" si="257"/>
        <v>1.0962430715039686</v>
      </c>
      <c r="AE260" s="6">
        <f t="shared" si="257"/>
        <v>1.1965656365278583</v>
      </c>
      <c r="AF260" s="6">
        <f t="shared" si="258"/>
        <v>1.2990825039050935</v>
      </c>
      <c r="AG260" s="6">
        <f t="shared" si="258"/>
        <v>1.4042754078759301</v>
      </c>
      <c r="AH260" s="6">
        <f t="shared" si="258"/>
        <v>1.5174397592570186</v>
      </c>
      <c r="AI260" s="6">
        <f t="shared" si="258"/>
        <v>1.6334825380928526</v>
      </c>
      <c r="AJ260" s="6">
        <f t="shared" si="258"/>
        <v>1.7525032110656114</v>
      </c>
      <c r="AK260" s="6">
        <f t="shared" si="258"/>
        <v>1.8748797422477914</v>
      </c>
      <c r="AL260" s="6">
        <f t="shared" si="258"/>
        <v>1.9993650529635618</v>
      </c>
      <c r="AM260" s="6">
        <f t="shared" si="258"/>
        <v>2.1234378317517528</v>
      </c>
      <c r="AN260" s="6">
        <f t="shared" si="258"/>
        <v>2.2461893756530782</v>
      </c>
      <c r="AO260" s="6">
        <f t="shared" si="258"/>
        <v>2.7093692604711204</v>
      </c>
      <c r="AP260" s="192">
        <f t="shared" si="260"/>
        <v>3.2023305759619802</v>
      </c>
      <c r="AQ260" s="192">
        <f t="shared" si="259"/>
        <v>4.0754366006606588</v>
      </c>
      <c r="AR260" s="192">
        <f t="shared" si="259"/>
        <v>4.580006250183299</v>
      </c>
      <c r="AS260" s="3"/>
      <c r="AT260" s="3"/>
      <c r="AU260" s="3"/>
      <c r="AV260" s="3"/>
      <c r="AW260" s="3"/>
      <c r="AX260" s="3"/>
    </row>
    <row r="261" spans="1:50" s="190" customFormat="1">
      <c r="B261" s="191" t="str">
        <f t="shared" si="255"/>
        <v>COM_PROJ</v>
      </c>
      <c r="C261" s="191" t="str">
        <f t="shared" si="247"/>
        <v>-</v>
      </c>
      <c r="D261" s="191" t="str">
        <f>COM!B177</f>
        <v>CNL</v>
      </c>
      <c r="E261" s="191" t="str">
        <f t="shared" si="248"/>
        <v>-</v>
      </c>
      <c r="F261" s="191" t="str">
        <f t="shared" si="248"/>
        <v>-</v>
      </c>
      <c r="G261" s="191" t="str">
        <f t="shared" si="248"/>
        <v>-</v>
      </c>
      <c r="H261" s="191" t="str">
        <f t="shared" si="248"/>
        <v>-</v>
      </c>
      <c r="I261" s="191">
        <f t="shared" si="249"/>
        <v>0</v>
      </c>
      <c r="J261" s="191"/>
      <c r="K261" s="191"/>
      <c r="L261" s="192">
        <f t="shared" si="256"/>
        <v>0</v>
      </c>
      <c r="M261" s="192">
        <f t="shared" si="256"/>
        <v>0</v>
      </c>
      <c r="N261" s="192">
        <f t="shared" si="256"/>
        <v>0</v>
      </c>
      <c r="O261" s="192">
        <f t="shared" si="256"/>
        <v>0</v>
      </c>
      <c r="P261" s="192">
        <f t="shared" si="256"/>
        <v>0</v>
      </c>
      <c r="Q261" s="192">
        <f t="shared" si="256"/>
        <v>0</v>
      </c>
      <c r="R261" s="192">
        <f t="shared" si="256"/>
        <v>1.4739325886745098</v>
      </c>
      <c r="S261" s="192">
        <f t="shared" si="256"/>
        <v>2.8396508382313019</v>
      </c>
      <c r="T261" s="192">
        <f t="shared" si="256"/>
        <v>3.6969012669663002</v>
      </c>
      <c r="U261" s="192">
        <f t="shared" si="256"/>
        <v>6.3103087235076201</v>
      </c>
      <c r="V261" s="192">
        <f t="shared" si="257"/>
        <v>7.6108546013004421</v>
      </c>
      <c r="W261" s="192">
        <f t="shared" si="257"/>
        <v>8.2007795846442573</v>
      </c>
      <c r="X261" s="192">
        <f t="shared" si="257"/>
        <v>9.0089001780209408</v>
      </c>
      <c r="Y261" s="192">
        <f t="shared" si="257"/>
        <v>9.772534518867884</v>
      </c>
      <c r="Z261" s="192">
        <f t="shared" si="257"/>
        <v>10.553127360880422</v>
      </c>
      <c r="AA261" s="192">
        <f t="shared" si="257"/>
        <v>11.30926563895782</v>
      </c>
      <c r="AB261" s="192">
        <f t="shared" si="257"/>
        <v>12.034186947554112</v>
      </c>
      <c r="AC261" s="192">
        <f t="shared" si="257"/>
        <v>12.78055971220442</v>
      </c>
      <c r="AD261" s="192">
        <f t="shared" si="257"/>
        <v>13.539632484982953</v>
      </c>
      <c r="AE261" s="192">
        <f t="shared" si="257"/>
        <v>14.778710473873442</v>
      </c>
      <c r="AF261" s="192">
        <f t="shared" si="258"/>
        <v>16.044890159638946</v>
      </c>
      <c r="AG261" s="192">
        <f t="shared" si="258"/>
        <v>17.344121413013461</v>
      </c>
      <c r="AH261" s="192">
        <f t="shared" si="258"/>
        <v>18.741807535671761</v>
      </c>
      <c r="AI261" s="192">
        <f t="shared" si="258"/>
        <v>20.175044943337024</v>
      </c>
      <c r="AJ261" s="192">
        <f t="shared" si="258"/>
        <v>21.645062143040406</v>
      </c>
      <c r="AK261" s="192">
        <f t="shared" si="258"/>
        <v>23.156527346392231</v>
      </c>
      <c r="AL261" s="192">
        <f t="shared" si="258"/>
        <v>24.694037959397129</v>
      </c>
      <c r="AM261" s="192">
        <f t="shared" si="258"/>
        <v>26.226453415285022</v>
      </c>
      <c r="AN261" s="192">
        <f t="shared" si="258"/>
        <v>27.742550378258784</v>
      </c>
      <c r="AO261" s="192">
        <f t="shared" si="258"/>
        <v>33.463257380100316</v>
      </c>
      <c r="AP261" s="192">
        <f t="shared" si="260"/>
        <v>39.551793047562285</v>
      </c>
      <c r="AQ261" s="192">
        <f t="shared" si="259"/>
        <v>50.335473238695656</v>
      </c>
      <c r="AR261" s="192">
        <f t="shared" si="259"/>
        <v>56.567382744167482</v>
      </c>
      <c r="AS261" s="193"/>
      <c r="AT261" s="193"/>
      <c r="AU261" s="193"/>
      <c r="AV261" s="193"/>
      <c r="AW261" s="193"/>
      <c r="AX261" s="193"/>
    </row>
    <row r="262" spans="1:50" customFormat="1">
      <c r="B262" s="15" t="str">
        <f t="shared" si="255"/>
        <v>COM_PROJ</v>
      </c>
      <c r="C262" s="16" t="str">
        <f t="shared" si="247"/>
        <v>-</v>
      </c>
      <c r="D262" s="15" t="str">
        <f>COM!B178</f>
        <v>CNR</v>
      </c>
      <c r="E262" s="16" t="str">
        <f t="shared" si="248"/>
        <v>-</v>
      </c>
      <c r="F262" s="16" t="str">
        <f t="shared" si="248"/>
        <v>-</v>
      </c>
      <c r="G262" s="16" t="str">
        <f t="shared" si="248"/>
        <v>-</v>
      </c>
      <c r="H262" s="16" t="str">
        <f t="shared" si="248"/>
        <v>-</v>
      </c>
      <c r="I262" s="15">
        <f t="shared" si="249"/>
        <v>0</v>
      </c>
      <c r="J262" s="15"/>
      <c r="K262" s="15"/>
      <c r="L262" s="6">
        <f t="shared" si="256"/>
        <v>0</v>
      </c>
      <c r="M262" s="6">
        <f t="shared" si="256"/>
        <v>0</v>
      </c>
      <c r="N262" s="6">
        <f t="shared" si="256"/>
        <v>0</v>
      </c>
      <c r="O262" s="6">
        <f t="shared" si="256"/>
        <v>0</v>
      </c>
      <c r="P262" s="6">
        <f t="shared" si="256"/>
        <v>0</v>
      </c>
      <c r="Q262" s="6">
        <f t="shared" si="256"/>
        <v>0</v>
      </c>
      <c r="R262" s="6">
        <f t="shared" si="256"/>
        <v>0.3585549515238371</v>
      </c>
      <c r="S262" s="6">
        <f t="shared" si="256"/>
        <v>0.69078523432491357</v>
      </c>
      <c r="T262" s="6">
        <f t="shared" si="256"/>
        <v>0.89932352724323594</v>
      </c>
      <c r="U262" s="6">
        <f t="shared" si="256"/>
        <v>1.5350718586746517</v>
      </c>
      <c r="V262" s="6">
        <f t="shared" si="257"/>
        <v>1.8514480401565225</v>
      </c>
      <c r="W262" s="6">
        <f t="shared" si="257"/>
        <v>1.994955637064844</v>
      </c>
      <c r="X262" s="6">
        <f t="shared" si="257"/>
        <v>2.1915424025723245</v>
      </c>
      <c r="Y262" s="6">
        <f t="shared" si="257"/>
        <v>2.3773072578772352</v>
      </c>
      <c r="Z262" s="6">
        <f t="shared" si="257"/>
        <v>2.5671975084750289</v>
      </c>
      <c r="AA262" s="6">
        <f t="shared" si="257"/>
        <v>2.7511388404766297</v>
      </c>
      <c r="AB262" s="6">
        <f t="shared" si="257"/>
        <v>2.9274862030762203</v>
      </c>
      <c r="AC262" s="6">
        <f t="shared" si="257"/>
        <v>3.1090519357998345</v>
      </c>
      <c r="AD262" s="6">
        <f t="shared" si="257"/>
        <v>3.2937071251470176</v>
      </c>
      <c r="AE262" s="6">
        <f t="shared" si="257"/>
        <v>3.5951303731670752</v>
      </c>
      <c r="AF262" s="6">
        <f t="shared" si="258"/>
        <v>3.9031464923156367</v>
      </c>
      <c r="AG262" s="6">
        <f t="shared" si="258"/>
        <v>4.2192028728118993</v>
      </c>
      <c r="AH262" s="6">
        <f t="shared" si="258"/>
        <v>4.5592097929424611</v>
      </c>
      <c r="AI262" s="6">
        <f t="shared" si="258"/>
        <v>4.9078650660372141</v>
      </c>
      <c r="AJ262" s="6">
        <f t="shared" si="258"/>
        <v>5.2654675438091783</v>
      </c>
      <c r="AK262" s="6">
        <f t="shared" si="258"/>
        <v>5.6331528347661699</v>
      </c>
      <c r="AL262" s="6">
        <f t="shared" si="258"/>
        <v>6.0071740400433509</v>
      </c>
      <c r="AM262" s="6">
        <f t="shared" si="258"/>
        <v>6.3799557762789139</v>
      </c>
      <c r="AN262" s="6">
        <f t="shared" si="258"/>
        <v>6.7487678082819169</v>
      </c>
      <c r="AO262" s="6">
        <f t="shared" si="258"/>
        <v>8.1404107080240085</v>
      </c>
      <c r="AP262" s="192">
        <f t="shared" si="260"/>
        <v>9.6215331337525747</v>
      </c>
      <c r="AQ262" s="192">
        <f t="shared" si="259"/>
        <v>12.244815879442807</v>
      </c>
      <c r="AR262" s="192">
        <f t="shared" si="259"/>
        <v>13.760816019343931</v>
      </c>
      <c r="AS262" s="3"/>
      <c r="AT262" s="3"/>
      <c r="AU262" s="3"/>
      <c r="AV262" s="3"/>
      <c r="AW262" s="3"/>
      <c r="AX262" s="3"/>
    </row>
    <row r="263" spans="1:50" customFormat="1">
      <c r="B263" s="15" t="str">
        <f t="shared" si="255"/>
        <v>COM_PROJ</v>
      </c>
      <c r="C263" s="16" t="str">
        <f t="shared" si="247"/>
        <v>-</v>
      </c>
      <c r="D263" s="15" t="str">
        <f>COM!B179</f>
        <v>CNW</v>
      </c>
      <c r="E263" s="16" t="str">
        <f t="shared" si="248"/>
        <v>-</v>
      </c>
      <c r="F263" s="16" t="str">
        <f t="shared" si="248"/>
        <v>-</v>
      </c>
      <c r="G263" s="16" t="str">
        <f t="shared" si="248"/>
        <v>-</v>
      </c>
      <c r="H263" s="16" t="str">
        <f t="shared" si="248"/>
        <v>-</v>
      </c>
      <c r="I263" s="15">
        <f t="shared" si="249"/>
        <v>0</v>
      </c>
      <c r="J263" s="15"/>
      <c r="K263" s="15"/>
      <c r="L263" s="6">
        <f t="shared" si="256"/>
        <v>0</v>
      </c>
      <c r="M263" s="6">
        <f t="shared" si="256"/>
        <v>0</v>
      </c>
      <c r="N263" s="6">
        <f t="shared" si="256"/>
        <v>0</v>
      </c>
      <c r="O263" s="6">
        <f t="shared" si="256"/>
        <v>0</v>
      </c>
      <c r="P263" s="6">
        <f t="shared" si="256"/>
        <v>0</v>
      </c>
      <c r="Q263" s="6">
        <f t="shared" si="256"/>
        <v>0</v>
      </c>
      <c r="R263" s="6">
        <f t="shared" si="256"/>
        <v>0.18982799702391095</v>
      </c>
      <c r="S263" s="6">
        <f t="shared" si="256"/>
        <v>0.36571905323938514</v>
      </c>
      <c r="T263" s="6">
        <f t="shared" si="256"/>
        <v>0.47612446328666219</v>
      </c>
      <c r="U263" s="6">
        <f t="shared" si="256"/>
        <v>0.79890994464715237</v>
      </c>
      <c r="V263" s="6">
        <f t="shared" si="257"/>
        <v>0.94579880192331833</v>
      </c>
      <c r="W263" s="6">
        <f t="shared" si="257"/>
        <v>0.99862488427144869</v>
      </c>
      <c r="X263" s="6">
        <f t="shared" si="257"/>
        <v>1.0728950344611337</v>
      </c>
      <c r="Y263" s="6">
        <f t="shared" si="257"/>
        <v>1.1356833316466897</v>
      </c>
      <c r="Z263" s="6">
        <f t="shared" si="257"/>
        <v>1.1936127301676287</v>
      </c>
      <c r="AA263" s="6">
        <f t="shared" si="257"/>
        <v>1.2411389947113591</v>
      </c>
      <c r="AB263" s="6">
        <f t="shared" si="257"/>
        <v>1.2768283709038679</v>
      </c>
      <c r="AC263" s="6">
        <f t="shared" si="257"/>
        <v>1.3052971137042466</v>
      </c>
      <c r="AD263" s="6">
        <f t="shared" si="257"/>
        <v>1.3240996006191212</v>
      </c>
      <c r="AE263" s="6">
        <f t="shared" si="257"/>
        <v>1.4452744310323935</v>
      </c>
      <c r="AF263" s="6">
        <f t="shared" si="258"/>
        <v>1.5690996543605478</v>
      </c>
      <c r="AG263" s="6">
        <f t="shared" si="258"/>
        <v>1.6961571343632809</v>
      </c>
      <c r="AH263" s="6">
        <f t="shared" si="258"/>
        <v>1.8328429446210825</v>
      </c>
      <c r="AI263" s="6">
        <f t="shared" si="258"/>
        <v>1.973005469799427</v>
      </c>
      <c r="AJ263" s="6">
        <f t="shared" si="258"/>
        <v>2.1167648509487549</v>
      </c>
      <c r="AK263" s="6">
        <f t="shared" si="258"/>
        <v>2.2645776128038175</v>
      </c>
      <c r="AL263" s="6">
        <f t="shared" si="258"/>
        <v>2.4149374686481622</v>
      </c>
      <c r="AM263" s="6">
        <f t="shared" si="258"/>
        <v>2.5647990468981043</v>
      </c>
      <c r="AN263" s="6">
        <f t="shared" si="258"/>
        <v>2.7130647686892928</v>
      </c>
      <c r="AO263" s="6">
        <f t="shared" si="258"/>
        <v>3.2725176094365374</v>
      </c>
      <c r="AP263" s="192">
        <f t="shared" si="260"/>
        <v>3.8679420166043972</v>
      </c>
      <c r="AQ263" s="192">
        <f t="shared" si="259"/>
        <v>4.9225250453624341</v>
      </c>
      <c r="AR263" s="192">
        <f t="shared" si="259"/>
        <v>5.5319706042756334</v>
      </c>
      <c r="AS263" s="3"/>
      <c r="AT263" s="3"/>
      <c r="AU263" s="3"/>
      <c r="AV263" s="3"/>
      <c r="AW263" s="3"/>
      <c r="AX263" s="3"/>
    </row>
    <row r="264" spans="1:50" customFormat="1">
      <c r="B264" s="15" t="str">
        <f t="shared" si="255"/>
        <v>COM_PROJ</v>
      </c>
      <c r="C264" s="16" t="str">
        <f t="shared" si="247"/>
        <v>-</v>
      </c>
      <c r="D264" s="15" t="str">
        <f>COM!B180</f>
        <v>CNG</v>
      </c>
      <c r="E264" s="16" t="str">
        <f t="shared" ref="E264:H266" si="261">IF($A264="*","","-")</f>
        <v>-</v>
      </c>
      <c r="F264" s="16" t="str">
        <f t="shared" si="261"/>
        <v>-</v>
      </c>
      <c r="G264" s="16" t="str">
        <f t="shared" si="261"/>
        <v>-</v>
      </c>
      <c r="H264" s="16" t="str">
        <f t="shared" si="261"/>
        <v>-</v>
      </c>
      <c r="I264" s="15">
        <f t="shared" si="249"/>
        <v>0</v>
      </c>
      <c r="J264" s="15"/>
      <c r="K264" s="15"/>
      <c r="L264" s="6">
        <f t="shared" si="256"/>
        <v>0</v>
      </c>
      <c r="M264" s="6">
        <f t="shared" si="256"/>
        <v>0</v>
      </c>
      <c r="N264" s="6">
        <f t="shared" si="256"/>
        <v>0</v>
      </c>
      <c r="O264" s="6">
        <f t="shared" si="256"/>
        <v>0</v>
      </c>
      <c r="P264" s="6">
        <f t="shared" si="256"/>
        <v>0</v>
      </c>
      <c r="Q264" s="6">
        <f t="shared" si="256"/>
        <v>0</v>
      </c>
      <c r="R264" s="6">
        <f t="shared" si="256"/>
        <v>0</v>
      </c>
      <c r="S264" s="6">
        <f t="shared" si="256"/>
        <v>0</v>
      </c>
      <c r="T264" s="6">
        <f t="shared" si="256"/>
        <v>0</v>
      </c>
      <c r="U264" s="6">
        <f t="shared" si="256"/>
        <v>0</v>
      </c>
      <c r="V264" s="6">
        <f t="shared" si="257"/>
        <v>0</v>
      </c>
      <c r="W264" s="6">
        <f t="shared" si="257"/>
        <v>0</v>
      </c>
      <c r="X264" s="6">
        <f t="shared" si="257"/>
        <v>0</v>
      </c>
      <c r="Y264" s="6">
        <f t="shared" si="257"/>
        <v>0</v>
      </c>
      <c r="Z264" s="6">
        <f t="shared" si="257"/>
        <v>0</v>
      </c>
      <c r="AA264" s="6">
        <f t="shared" si="257"/>
        <v>0</v>
      </c>
      <c r="AB264" s="6">
        <f t="shared" si="257"/>
        <v>0</v>
      </c>
      <c r="AC264" s="6">
        <f t="shared" si="257"/>
        <v>0</v>
      </c>
      <c r="AD264" s="6">
        <f t="shared" si="257"/>
        <v>0</v>
      </c>
      <c r="AE264" s="6">
        <f t="shared" si="257"/>
        <v>0</v>
      </c>
      <c r="AF264" s="6">
        <f t="shared" si="258"/>
        <v>0</v>
      </c>
      <c r="AG264" s="6">
        <f t="shared" si="258"/>
        <v>0</v>
      </c>
      <c r="AH264" s="6">
        <f t="shared" si="258"/>
        <v>0</v>
      </c>
      <c r="AI264" s="6">
        <f t="shared" si="258"/>
        <v>0</v>
      </c>
      <c r="AJ264" s="6">
        <f t="shared" si="258"/>
        <v>0</v>
      </c>
      <c r="AK264" s="6">
        <f t="shared" si="258"/>
        <v>0</v>
      </c>
      <c r="AL264" s="6">
        <f t="shared" si="258"/>
        <v>0</v>
      </c>
      <c r="AM264" s="6">
        <f t="shared" si="258"/>
        <v>0</v>
      </c>
      <c r="AN264" s="6">
        <f t="shared" si="258"/>
        <v>0</v>
      </c>
      <c r="AO264" s="6">
        <f t="shared" si="258"/>
        <v>0</v>
      </c>
      <c r="AP264" s="192">
        <f t="shared" si="260"/>
        <v>0</v>
      </c>
      <c r="AQ264" s="192">
        <f t="shared" si="259"/>
        <v>0</v>
      </c>
      <c r="AR264" s="192">
        <f t="shared" si="259"/>
        <v>0</v>
      </c>
      <c r="AS264" s="3"/>
      <c r="AT264" s="3"/>
      <c r="AU264" s="3"/>
      <c r="AV264" s="3"/>
      <c r="AW264" s="3"/>
      <c r="AX264" s="3"/>
    </row>
    <row r="265" spans="1:50" customFormat="1">
      <c r="B265" s="15" t="str">
        <f t="shared" si="255"/>
        <v>COM_PROJ</v>
      </c>
      <c r="C265" s="16" t="str">
        <f t="shared" si="247"/>
        <v>-</v>
      </c>
      <c r="D265" s="15" t="str">
        <f>COM!B181</f>
        <v>CNT</v>
      </c>
      <c r="E265" s="16" t="str">
        <f t="shared" si="261"/>
        <v>-</v>
      </c>
      <c r="F265" s="16" t="str">
        <f t="shared" si="261"/>
        <v>-</v>
      </c>
      <c r="G265" s="16" t="str">
        <f t="shared" si="261"/>
        <v>-</v>
      </c>
      <c r="H265" s="16" t="str">
        <f t="shared" si="261"/>
        <v>-</v>
      </c>
      <c r="I265" s="15">
        <f t="shared" si="249"/>
        <v>0</v>
      </c>
      <c r="J265" s="15"/>
      <c r="K265" s="15"/>
      <c r="L265" s="6">
        <f t="shared" si="256"/>
        <v>0</v>
      </c>
      <c r="M265" s="6">
        <f t="shared" si="256"/>
        <v>0</v>
      </c>
      <c r="N265" s="6">
        <f t="shared" si="256"/>
        <v>0</v>
      </c>
      <c r="O265" s="6">
        <f t="shared" si="256"/>
        <v>0</v>
      </c>
      <c r="P265" s="6">
        <f t="shared" si="256"/>
        <v>0</v>
      </c>
      <c r="Q265" s="6">
        <f t="shared" si="256"/>
        <v>0</v>
      </c>
      <c r="R265" s="6">
        <f t="shared" si="256"/>
        <v>0</v>
      </c>
      <c r="S265" s="6">
        <f t="shared" si="256"/>
        <v>0</v>
      </c>
      <c r="T265" s="6">
        <f t="shared" si="256"/>
        <v>0</v>
      </c>
      <c r="U265" s="6">
        <f t="shared" si="256"/>
        <v>0</v>
      </c>
      <c r="V265" s="6">
        <f t="shared" si="257"/>
        <v>0</v>
      </c>
      <c r="W265" s="6">
        <f t="shared" si="257"/>
        <v>0</v>
      </c>
      <c r="X265" s="6">
        <f t="shared" si="257"/>
        <v>0</v>
      </c>
      <c r="Y265" s="6">
        <f t="shared" si="257"/>
        <v>0</v>
      </c>
      <c r="Z265" s="6">
        <f t="shared" si="257"/>
        <v>0</v>
      </c>
      <c r="AA265" s="6">
        <f t="shared" si="257"/>
        <v>0</v>
      </c>
      <c r="AB265" s="6">
        <f t="shared" si="257"/>
        <v>0</v>
      </c>
      <c r="AC265" s="6">
        <f t="shared" si="257"/>
        <v>0</v>
      </c>
      <c r="AD265" s="6">
        <f t="shared" si="257"/>
        <v>0</v>
      </c>
      <c r="AE265" s="6">
        <f t="shared" si="257"/>
        <v>0</v>
      </c>
      <c r="AF265" s="6">
        <f t="shared" si="258"/>
        <v>0</v>
      </c>
      <c r="AG265" s="6">
        <f t="shared" si="258"/>
        <v>0</v>
      </c>
      <c r="AH265" s="6">
        <f t="shared" si="258"/>
        <v>0</v>
      </c>
      <c r="AI265" s="6">
        <f t="shared" si="258"/>
        <v>0</v>
      </c>
      <c r="AJ265" s="6">
        <f t="shared" si="258"/>
        <v>0</v>
      </c>
      <c r="AK265" s="6">
        <f t="shared" si="258"/>
        <v>0</v>
      </c>
      <c r="AL265" s="6">
        <f t="shared" si="258"/>
        <v>0</v>
      </c>
      <c r="AM265" s="6">
        <f t="shared" si="258"/>
        <v>0</v>
      </c>
      <c r="AN265" s="6">
        <f t="shared" si="258"/>
        <v>0</v>
      </c>
      <c r="AO265" s="6">
        <f t="shared" si="258"/>
        <v>0</v>
      </c>
      <c r="AP265" s="192">
        <f t="shared" si="260"/>
        <v>0</v>
      </c>
      <c r="AQ265" s="192">
        <f t="shared" si="259"/>
        <v>0</v>
      </c>
      <c r="AR265" s="192">
        <f t="shared" si="259"/>
        <v>0</v>
      </c>
      <c r="AS265" s="3"/>
      <c r="AT265" s="3"/>
      <c r="AU265" s="3"/>
      <c r="AV265" s="3"/>
      <c r="AW265" s="3"/>
      <c r="AX265" s="3"/>
    </row>
    <row r="266" spans="1:50" customFormat="1">
      <c r="B266" s="15" t="str">
        <f t="shared" si="255"/>
        <v>COM_PROJ</v>
      </c>
      <c r="C266" s="16" t="str">
        <f t="shared" si="247"/>
        <v>-</v>
      </c>
      <c r="D266" s="15" t="str">
        <f>COM!B182</f>
        <v>CNO</v>
      </c>
      <c r="E266" s="16" t="str">
        <f t="shared" si="261"/>
        <v>-</v>
      </c>
      <c r="F266" s="16" t="str">
        <f t="shared" si="261"/>
        <v>-</v>
      </c>
      <c r="G266" s="16" t="str">
        <f t="shared" si="261"/>
        <v>-</v>
      </c>
      <c r="H266" s="16" t="str">
        <f t="shared" si="261"/>
        <v>-</v>
      </c>
      <c r="I266" s="15">
        <f t="shared" si="249"/>
        <v>0</v>
      </c>
      <c r="J266" s="15"/>
      <c r="K266" s="15"/>
      <c r="L266" s="6">
        <f t="shared" si="256"/>
        <v>0</v>
      </c>
      <c r="M266" s="6">
        <f t="shared" si="256"/>
        <v>0</v>
      </c>
      <c r="N266" s="6">
        <f t="shared" si="256"/>
        <v>0</v>
      </c>
      <c r="O266" s="6">
        <f t="shared" si="256"/>
        <v>0</v>
      </c>
      <c r="P266" s="6">
        <f t="shared" si="256"/>
        <v>0</v>
      </c>
      <c r="Q266" s="6">
        <f t="shared" si="256"/>
        <v>0</v>
      </c>
      <c r="R266" s="6">
        <f t="shared" si="256"/>
        <v>0.2664183286493273</v>
      </c>
      <c r="S266" s="6">
        <f t="shared" si="256"/>
        <v>0.51327654743666928</v>
      </c>
      <c r="T266" s="6">
        <f t="shared" si="256"/>
        <v>0.668227478172846</v>
      </c>
      <c r="U266" s="6">
        <f t="shared" si="256"/>
        <v>1.1331952602511981</v>
      </c>
      <c r="V266" s="6">
        <f t="shared" si="257"/>
        <v>1.3571971918352403</v>
      </c>
      <c r="W266" s="6">
        <f t="shared" si="257"/>
        <v>1.4513858812895115</v>
      </c>
      <c r="X266" s="6">
        <f t="shared" si="257"/>
        <v>1.5814361471601028</v>
      </c>
      <c r="Y266" s="6">
        <f t="shared" si="257"/>
        <v>1.700353698059333</v>
      </c>
      <c r="Z266" s="6">
        <f t="shared" si="257"/>
        <v>1.8185512868703899</v>
      </c>
      <c r="AA266" s="6">
        <f t="shared" si="257"/>
        <v>1.9284301520081257</v>
      </c>
      <c r="AB266" s="6">
        <f t="shared" si="257"/>
        <v>2.0284654751050288</v>
      </c>
      <c r="AC266" s="6">
        <f t="shared" si="257"/>
        <v>2.1270126375500173</v>
      </c>
      <c r="AD266" s="6">
        <f t="shared" si="257"/>
        <v>2.2217811426543936</v>
      </c>
      <c r="AE266" s="6">
        <f t="shared" si="257"/>
        <v>2.4251072013970054</v>
      </c>
      <c r="AF266" s="6">
        <f t="shared" si="258"/>
        <v>2.63288050338035</v>
      </c>
      <c r="AG266" s="6">
        <f t="shared" si="258"/>
        <v>2.8460773905112462</v>
      </c>
      <c r="AH266" s="6">
        <f t="shared" si="258"/>
        <v>3.0754301941502042</v>
      </c>
      <c r="AI266" s="6">
        <f t="shared" si="258"/>
        <v>3.3106167731677187</v>
      </c>
      <c r="AJ266" s="6">
        <f t="shared" si="258"/>
        <v>3.5518387189850094</v>
      </c>
      <c r="AK266" s="6">
        <f t="shared" si="258"/>
        <v>3.7998620601140951</v>
      </c>
      <c r="AL266" s="6">
        <f t="shared" si="258"/>
        <v>4.0521593134105967</v>
      </c>
      <c r="AM266" s="6">
        <f t="shared" si="258"/>
        <v>4.3036204787250956</v>
      </c>
      <c r="AN266" s="6">
        <f t="shared" si="258"/>
        <v>4.5524038667902218</v>
      </c>
      <c r="AO266" s="6">
        <f t="shared" si="258"/>
        <v>5.4911412330695164</v>
      </c>
      <c r="AP266" s="192">
        <f t="shared" si="260"/>
        <v>6.4902373124755979</v>
      </c>
      <c r="AQ266" s="192">
        <f t="shared" si="259"/>
        <v>8.2597814506676208</v>
      </c>
      <c r="AR266" s="192">
        <f t="shared" si="259"/>
        <v>9.2824044086646502</v>
      </c>
      <c r="AS266" s="3"/>
      <c r="AT266" s="3"/>
      <c r="AU266" s="3"/>
      <c r="AV266" s="3"/>
      <c r="AW266" s="3"/>
      <c r="AX266" s="3"/>
    </row>
    <row r="267" spans="1:50">
      <c r="M267" s="70"/>
    </row>
    <row r="268" spans="1:50">
      <c r="M268" s="70"/>
    </row>
    <row r="269" spans="1:50">
      <c r="O269" s="77"/>
      <c r="AD269" s="77"/>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CF247"/>
  <sheetViews>
    <sheetView tabSelected="1" topLeftCell="I80" zoomScale="70" zoomScaleNormal="70" workbookViewId="0">
      <selection activeCell="U126" sqref="U126:V127"/>
    </sheetView>
  </sheetViews>
  <sheetFormatPr defaultColWidth="9.140625" defaultRowHeight="15"/>
  <cols>
    <col min="2" max="2" width="11.85546875" customWidth="1"/>
    <col min="3" max="3" width="73" customWidth="1"/>
    <col min="5" max="5" width="13.42578125" bestFit="1" customWidth="1"/>
    <col min="10" max="10" width="9" customWidth="1"/>
    <col min="60" max="60" width="16" customWidth="1"/>
  </cols>
  <sheetData>
    <row r="1" spans="1:62">
      <c r="A1" t="str">
        <f>IF(TRA,"TS DATA","")</f>
        <v>TS DATA</v>
      </c>
      <c r="B1" t="s">
        <v>17</v>
      </c>
      <c r="D1">
        <f>DriversGams!M163</f>
        <v>0</v>
      </c>
      <c r="F1" t="s">
        <v>16</v>
      </c>
      <c r="BE1" s="165" t="s">
        <v>209</v>
      </c>
      <c r="BF1" s="165" t="s">
        <v>522</v>
      </c>
      <c r="BG1" s="165" t="s">
        <v>185</v>
      </c>
      <c r="BH1" s="165" t="s">
        <v>526</v>
      </c>
      <c r="BJ1" s="165"/>
    </row>
    <row r="2" spans="1:62" ht="15.75" thickBot="1">
      <c r="A2" t="s">
        <v>16</v>
      </c>
      <c r="B2" s="369" t="s">
        <v>280</v>
      </c>
      <c r="C2" s="369"/>
      <c r="BE2" s="165"/>
      <c r="BF2" s="165"/>
      <c r="BG2" s="165"/>
      <c r="BH2" s="165" t="s">
        <v>141</v>
      </c>
      <c r="BI2" s="165" t="s">
        <v>141</v>
      </c>
      <c r="BJ2" s="165" t="s">
        <v>528</v>
      </c>
    </row>
    <row r="3" spans="1:62">
      <c r="A3" t="s">
        <v>16</v>
      </c>
      <c r="C3" s="165" t="str">
        <f>INDEX($BF$4:$BF$7,MATCH($D$3,$BE$4:$BE$7,0))</f>
        <v>NDC-PAMS-central</v>
      </c>
      <c r="D3" s="169">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5"/>
      <c r="BF3" s="165"/>
      <c r="BG3" s="165"/>
      <c r="BH3" s="173">
        <v>2030</v>
      </c>
      <c r="BI3" s="173">
        <v>2050</v>
      </c>
      <c r="BJ3" s="165"/>
    </row>
    <row r="4" spans="1:62">
      <c r="A4" t="s">
        <v>16</v>
      </c>
      <c r="B4" s="18"/>
      <c r="C4" s="2" t="s">
        <v>186</v>
      </c>
      <c r="D4" s="168">
        <f>INDEX($BG$4:$BG$7,MATCH($D$3,BE$4:BE$7,0))</f>
        <v>1</v>
      </c>
      <c r="F4">
        <v>2017</v>
      </c>
      <c r="G4">
        <v>2019</v>
      </c>
      <c r="H4">
        <v>2020</v>
      </c>
      <c r="I4">
        <v>2021</v>
      </c>
      <c r="J4">
        <v>2030</v>
      </c>
      <c r="K4">
        <v>2040</v>
      </c>
      <c r="L4">
        <v>2050</v>
      </c>
      <c r="M4">
        <v>2060</v>
      </c>
      <c r="N4">
        <v>2070</v>
      </c>
      <c r="P4" s="4">
        <v>2017</v>
      </c>
      <c r="Q4">
        <v>2019</v>
      </c>
      <c r="R4" s="4">
        <v>2020</v>
      </c>
      <c r="S4">
        <v>2021</v>
      </c>
      <c r="T4" s="4">
        <v>2030</v>
      </c>
      <c r="U4" s="4">
        <v>2040</v>
      </c>
      <c r="V4" s="4">
        <v>2050</v>
      </c>
      <c r="W4" s="4">
        <v>2060</v>
      </c>
      <c r="X4" s="4">
        <v>2070</v>
      </c>
      <c r="Z4" s="4">
        <f>P4</f>
        <v>2017</v>
      </c>
      <c r="AA4" s="4">
        <v>2019</v>
      </c>
      <c r="AB4" s="4">
        <f t="shared" ref="AB4:AH4" si="0">R4</f>
        <v>2020</v>
      </c>
      <c r="AC4" s="4">
        <f t="shared" si="0"/>
        <v>2021</v>
      </c>
      <c r="AD4" s="4">
        <f t="shared" si="0"/>
        <v>2030</v>
      </c>
      <c r="AE4" s="4">
        <f t="shared" si="0"/>
        <v>2040</v>
      </c>
      <c r="AF4" s="4">
        <f t="shared" si="0"/>
        <v>2050</v>
      </c>
      <c r="AG4" s="4">
        <f t="shared" si="0"/>
        <v>2060</v>
      </c>
      <c r="AH4" s="4">
        <f t="shared" si="0"/>
        <v>2070</v>
      </c>
      <c r="BE4" s="165">
        <v>-1</v>
      </c>
      <c r="BF4" s="165" t="s">
        <v>603</v>
      </c>
      <c r="BG4" s="165">
        <v>0</v>
      </c>
      <c r="BH4" s="163">
        <v>0.95</v>
      </c>
      <c r="BI4" s="163">
        <v>0.95</v>
      </c>
      <c r="BJ4" s="173">
        <v>1</v>
      </c>
    </row>
    <row r="5" spans="1:62" ht="15.75" thickBot="1">
      <c r="A5" t="s">
        <v>16</v>
      </c>
      <c r="B5" s="9" t="s">
        <v>11</v>
      </c>
      <c r="C5" s="9"/>
      <c r="D5" s="9"/>
      <c r="E5" s="9"/>
      <c r="F5" s="9"/>
      <c r="G5" s="9"/>
      <c r="H5" s="9"/>
      <c r="I5" s="9"/>
      <c r="J5" s="9"/>
      <c r="K5" s="9"/>
      <c r="L5" s="9"/>
      <c r="M5" s="9"/>
      <c r="N5" s="9"/>
      <c r="O5" s="9"/>
      <c r="BE5" s="165">
        <v>1</v>
      </c>
      <c r="BF5" s="165" t="s">
        <v>604</v>
      </c>
      <c r="BG5" s="165">
        <v>1</v>
      </c>
      <c r="BH5" s="163">
        <v>0.8</v>
      </c>
      <c r="BI5" s="163">
        <v>0.85</v>
      </c>
      <c r="BJ5" s="173">
        <v>1</v>
      </c>
    </row>
    <row r="6" spans="1:62">
      <c r="A6" t="s">
        <v>16</v>
      </c>
      <c r="B6" t="s">
        <v>9</v>
      </c>
      <c r="C6" t="s">
        <v>10</v>
      </c>
      <c r="D6" t="s">
        <v>387</v>
      </c>
      <c r="BE6" s="165">
        <v>2</v>
      </c>
      <c r="BF6" s="165" t="s">
        <v>595</v>
      </c>
      <c r="BG6" s="165">
        <v>1</v>
      </c>
      <c r="BH6" s="163">
        <v>0.92</v>
      </c>
      <c r="BI6" s="163">
        <v>0.93</v>
      </c>
      <c r="BJ6" s="173">
        <v>1</v>
      </c>
    </row>
    <row r="7" spans="1:62">
      <c r="A7" t="s">
        <v>16</v>
      </c>
      <c r="B7" s="3" t="s">
        <v>577</v>
      </c>
      <c r="C7" s="3" t="s">
        <v>2</v>
      </c>
      <c r="D7">
        <v>17</v>
      </c>
      <c r="E7" s="3"/>
      <c r="F7" s="17" cm="1">
        <f t="array" ref="F7">INDEX(Drivers!$C$7:$AG$25,$D7,F$3)</f>
        <v>256.25966914032193</v>
      </c>
      <c r="G7" s="17" cm="1">
        <f t="array" ref="G7">INDEX(Drivers!$C$7:$AG$25,$D7,G$3)</f>
        <v>260.25</v>
      </c>
      <c r="H7" s="17" cm="1">
        <f t="array" ref="H7">INDEX(Drivers!$C$7:$AG$25,$D7,H$3)</f>
        <v>248.16</v>
      </c>
      <c r="I7" s="17" cm="1">
        <f t="array" ref="I7">INDEX(Drivers!$C$7:$AG$25,$D7,I$3)</f>
        <v>251.28962949003738</v>
      </c>
      <c r="J7" s="17" cm="1">
        <f t="array" ref="J7">INDEX(Drivers!$C$7:$AG$25,$D7,J$3)</f>
        <v>290.70911594610016</v>
      </c>
      <c r="K7" s="17" cm="1">
        <f t="array" ref="K7">INDEX(Drivers!$C$7:$AG$25,$D7,K$3)</f>
        <v>418.77257425340184</v>
      </c>
      <c r="L7" s="17" cm="1">
        <f t="array" ref="L7">INDEX(Drivers!$C$7:$AG$25,$D7,L$3)</f>
        <v>601.01259279342662</v>
      </c>
      <c r="M7" s="17" cm="1">
        <f t="array" ref="M7">INDEX(Drivers!$C$7:$AK$25,$D7,M$3)</f>
        <v>788.94109086929359</v>
      </c>
      <c r="N7" s="17" cm="1">
        <f t="array" ref="N7">INDEX(Drivers!$C$7:$AK$25,$D7,N$3)</f>
        <v>862.77588230905803</v>
      </c>
      <c r="O7" s="3"/>
      <c r="P7" s="3">
        <f t="shared" ref="P7:Q7" si="1">F7</f>
        <v>256.25966914032193</v>
      </c>
      <c r="Q7" s="3">
        <f t="shared" si="1"/>
        <v>260.25</v>
      </c>
      <c r="R7" s="3">
        <f t="shared" ref="R7:R9" si="2">H7</f>
        <v>248.16</v>
      </c>
      <c r="S7" s="3">
        <f t="shared" ref="S7:S9" si="3">I7</f>
        <v>251.28962949003738</v>
      </c>
      <c r="T7" s="3">
        <f t="shared" ref="T7:T9" si="4">J7</f>
        <v>290.70911594610016</v>
      </c>
      <c r="U7" s="3">
        <f t="shared" ref="U7:U9" si="5">K7</f>
        <v>418.77257425340184</v>
      </c>
      <c r="V7" s="3">
        <f t="shared" ref="V7:V9" si="6">L7</f>
        <v>601.01259279342662</v>
      </c>
      <c r="W7" s="3">
        <f t="shared" ref="W7:W9" si="7">M7</f>
        <v>788.94109086929359</v>
      </c>
      <c r="X7" s="3">
        <f t="shared" ref="X7:X9" si="8">N7</f>
        <v>862.77588230905803</v>
      </c>
      <c r="Z7" s="3">
        <f t="shared" ref="Z7:AH7" si="9">P7</f>
        <v>256.25966914032193</v>
      </c>
      <c r="AA7" s="3">
        <f t="shared" si="9"/>
        <v>260.25</v>
      </c>
      <c r="AB7" s="3">
        <f t="shared" si="9"/>
        <v>248.16</v>
      </c>
      <c r="AC7" s="3">
        <f t="shared" si="9"/>
        <v>251.28962949003738</v>
      </c>
      <c r="AD7" s="3">
        <f t="shared" si="9"/>
        <v>290.70911594610016</v>
      </c>
      <c r="AE7" s="3">
        <f t="shared" si="9"/>
        <v>418.77257425340184</v>
      </c>
      <c r="AF7" s="3">
        <f t="shared" si="9"/>
        <v>601.01259279342662</v>
      </c>
      <c r="AG7" s="3">
        <f t="shared" si="9"/>
        <v>788.94109086929359</v>
      </c>
      <c r="AH7" s="3">
        <f t="shared" si="9"/>
        <v>862.77588230905803</v>
      </c>
      <c r="BE7" s="165">
        <v>3</v>
      </c>
      <c r="BF7" s="165" t="s">
        <v>605</v>
      </c>
      <c r="BG7" s="165">
        <v>1</v>
      </c>
      <c r="BH7" s="163">
        <v>0.8</v>
      </c>
      <c r="BI7" s="163">
        <v>0.65</v>
      </c>
      <c r="BJ7" s="173">
        <v>1</v>
      </c>
    </row>
    <row r="8" spans="1:62">
      <c r="A8" t="s">
        <v>16</v>
      </c>
      <c r="B8" s="3" t="s">
        <v>371</v>
      </c>
      <c r="C8" s="3" t="s">
        <v>59</v>
      </c>
      <c r="D8">
        <v>10</v>
      </c>
      <c r="E8" s="3"/>
      <c r="F8" s="17" cm="1">
        <f t="array" ref="F8">INDEX(Drivers!$C$7:$AG$25,$D8,F$3)</f>
        <v>201.78663829260577</v>
      </c>
      <c r="G8" s="17" cm="1">
        <f t="array" ref="G8">INDEX(Drivers!$C$7:$AG$25,$D8,G$3)</f>
        <v>198.05</v>
      </c>
      <c r="H8" s="17" cm="1">
        <f t="array" ref="H8">INDEX(Drivers!$C$7:$AG$25,$D8,H$3)</f>
        <v>190.12</v>
      </c>
      <c r="I8" s="17" cm="1">
        <f t="array" ref="I8">INDEX(Drivers!$C$7:$AG$25,$D8,I$3)</f>
        <v>199.06146159587709</v>
      </c>
      <c r="J8" s="17" cm="1">
        <f t="array" ref="J8">INDEX(Drivers!$C$7:$AG$25,$D8,J$3)</f>
        <v>228.31243540175274</v>
      </c>
      <c r="K8" s="17" cm="1">
        <f t="array" ref="K8">INDEX(Drivers!$C$7:$AG$25,$D8,K$3)</f>
        <v>319.68351840350471</v>
      </c>
      <c r="L8" s="17" cm="1">
        <f t="array" ref="L8">INDEX(Drivers!$C$7:$AG$25,$D8,L$3)</f>
        <v>451.01824061335759</v>
      </c>
      <c r="M8" s="17" cm="1">
        <f t="array" ref="M8">INDEX(Drivers!$C$7:$AK$25,$D8,M$3)</f>
        <v>586.61568448815979</v>
      </c>
      <c r="N8" s="17" cm="1">
        <f t="array" ref="N8">INDEX(Drivers!$C$7:$AK$25,$D8,N$3)</f>
        <v>639.17575428790985</v>
      </c>
      <c r="O8" s="3"/>
      <c r="P8" s="3">
        <f t="shared" ref="P8:P9" si="10">F8</f>
        <v>201.78663829260577</v>
      </c>
      <c r="Q8" s="3">
        <f t="shared" ref="Q8:Q9" si="11">G8</f>
        <v>198.05</v>
      </c>
      <c r="R8" s="3">
        <f t="shared" si="2"/>
        <v>190.12</v>
      </c>
      <c r="S8" s="3">
        <f t="shared" si="3"/>
        <v>199.06146159587709</v>
      </c>
      <c r="T8" s="3">
        <f t="shared" si="4"/>
        <v>228.31243540175274</v>
      </c>
      <c r="U8" s="3">
        <f t="shared" si="5"/>
        <v>319.68351840350471</v>
      </c>
      <c r="V8" s="3">
        <f t="shared" si="6"/>
        <v>451.01824061335759</v>
      </c>
      <c r="W8" s="3">
        <f t="shared" si="7"/>
        <v>586.61568448815979</v>
      </c>
      <c r="X8" s="3">
        <f t="shared" si="8"/>
        <v>639.17575428790985</v>
      </c>
      <c r="Z8" s="3">
        <f>P8</f>
        <v>201.78663829260577</v>
      </c>
      <c r="AA8" s="3">
        <f>Q8</f>
        <v>198.05</v>
      </c>
      <c r="AB8" s="3">
        <f t="shared" ref="AB8:AB9" si="12">R8</f>
        <v>190.12</v>
      </c>
      <c r="AC8" s="3">
        <f t="shared" ref="AC8:AC9" si="13">S8</f>
        <v>199.06146159587709</v>
      </c>
      <c r="AD8" s="3">
        <f t="shared" ref="AD8:AH9" si="14">T8</f>
        <v>228.31243540175274</v>
      </c>
      <c r="AE8" s="3">
        <f t="shared" si="14"/>
        <v>319.68351840350471</v>
      </c>
      <c r="AF8" s="3">
        <f t="shared" si="14"/>
        <v>451.01824061335759</v>
      </c>
      <c r="AG8" s="3">
        <f t="shared" si="14"/>
        <v>586.61568448815979</v>
      </c>
      <c r="AH8" s="3">
        <f t="shared" si="14"/>
        <v>639.17575428790985</v>
      </c>
    </row>
    <row r="9" spans="1:62">
      <c r="A9" t="s">
        <v>16</v>
      </c>
      <c r="B9" s="3" t="s">
        <v>372</v>
      </c>
      <c r="C9" s="3" t="s">
        <v>60</v>
      </c>
      <c r="D9">
        <v>9</v>
      </c>
      <c r="E9" s="3"/>
      <c r="F9" s="17" cm="1">
        <f t="array" ref="F9">INDEX(Drivers!$C$7:$AG$25,$D9,F$3)</f>
        <v>21.03698901557286</v>
      </c>
      <c r="G9" s="17" cm="1">
        <f t="array" ref="G9">INDEX(Drivers!$C$7:$AG$25,$D9,G$3)</f>
        <v>20.85</v>
      </c>
      <c r="H9" s="17" cm="1">
        <f t="array" ref="H9">INDEX(Drivers!$C$7:$AG$25,$D9,H$3)</f>
        <v>19.82</v>
      </c>
      <c r="I9" s="17" cm="1">
        <f t="array" ref="I9">INDEX(Drivers!$C$7:$AG$25,$D9,I$3)</f>
        <v>20.132137463466972</v>
      </c>
      <c r="J9" s="17" cm="1">
        <f t="array" ref="J9">INDEX(Drivers!$C$7:$AG$25,$D9,J$3)</f>
        <v>23.290240412972864</v>
      </c>
      <c r="K9" s="17" cm="1">
        <f t="array" ref="K9">INDEX(Drivers!$C$7:$AG$25,$D9,K$3)</f>
        <v>33.550079435863331</v>
      </c>
      <c r="L9" s="17" cm="1">
        <f t="array" ref="L9">INDEX(Drivers!$C$7:$AG$25,$D9,L$3)</f>
        <v>48.150288413997878</v>
      </c>
      <c r="M9" s="17" cm="1">
        <f t="array" ref="M9">INDEX(Drivers!$C$7:$AK$25,$D9,M$3)</f>
        <v>63.206231487511147</v>
      </c>
      <c r="N9" s="17" cm="1">
        <f t="array" ref="N9">INDEX(Drivers!$C$7:$AK$25,$D9,N$3)</f>
        <v>69.121526017843863</v>
      </c>
      <c r="O9" s="3"/>
      <c r="P9" s="3">
        <f t="shared" si="10"/>
        <v>21.03698901557286</v>
      </c>
      <c r="Q9" s="3">
        <f t="shared" si="11"/>
        <v>20.85</v>
      </c>
      <c r="R9" s="3">
        <f t="shared" si="2"/>
        <v>19.82</v>
      </c>
      <c r="S9" s="3">
        <f t="shared" si="3"/>
        <v>20.132137463466972</v>
      </c>
      <c r="T9" s="3">
        <f t="shared" si="4"/>
        <v>23.290240412972864</v>
      </c>
      <c r="U9" s="3">
        <f t="shared" si="5"/>
        <v>33.550079435863331</v>
      </c>
      <c r="V9" s="3">
        <f t="shared" si="6"/>
        <v>48.150288413997878</v>
      </c>
      <c r="W9" s="3">
        <f t="shared" si="7"/>
        <v>63.206231487511147</v>
      </c>
      <c r="X9" s="3">
        <f t="shared" si="8"/>
        <v>69.121526017843863</v>
      </c>
      <c r="Z9" s="3">
        <f>P9</f>
        <v>21.03698901557286</v>
      </c>
      <c r="AA9" s="3">
        <f>Q9</f>
        <v>20.85</v>
      </c>
      <c r="AB9" s="3">
        <f t="shared" si="12"/>
        <v>19.82</v>
      </c>
      <c r="AC9" s="3">
        <f t="shared" si="13"/>
        <v>20.132137463466972</v>
      </c>
      <c r="AD9" s="3">
        <f t="shared" si="14"/>
        <v>23.290240412972864</v>
      </c>
      <c r="AE9" s="3">
        <f t="shared" si="14"/>
        <v>33.550079435863331</v>
      </c>
      <c r="AF9" s="3">
        <f t="shared" si="14"/>
        <v>48.150288413997878</v>
      </c>
      <c r="AG9" s="3">
        <f t="shared" si="14"/>
        <v>63.206231487511147</v>
      </c>
      <c r="AH9" s="3">
        <f t="shared" si="14"/>
        <v>69.121526017843863</v>
      </c>
    </row>
    <row r="10" spans="1:62">
      <c r="A10" t="s">
        <v>16</v>
      </c>
      <c r="B10" s="3"/>
      <c r="C10" s="3"/>
      <c r="E10" s="3"/>
      <c r="F10" s="3"/>
      <c r="H10" s="3"/>
      <c r="J10" s="3"/>
      <c r="K10" s="3"/>
      <c r="L10" s="3"/>
      <c r="M10" s="3"/>
      <c r="N10" s="3"/>
      <c r="O10" s="3"/>
    </row>
    <row r="11" spans="1:62">
      <c r="A11" t="s">
        <v>16</v>
      </c>
      <c r="P11" s="2" t="s">
        <v>32</v>
      </c>
      <c r="Z11" s="2" t="s">
        <v>185</v>
      </c>
    </row>
    <row r="12" spans="1:62" ht="15.75" thickBot="1">
      <c r="A12" t="s">
        <v>16</v>
      </c>
      <c r="B12" s="9" t="s">
        <v>428</v>
      </c>
      <c r="C12" s="9"/>
      <c r="D12" s="9"/>
      <c r="F12">
        <f t="shared" ref="F12:J12" si="15">F$4</f>
        <v>2017</v>
      </c>
      <c r="G12">
        <f t="shared" si="15"/>
        <v>2019</v>
      </c>
      <c r="H12">
        <f t="shared" si="15"/>
        <v>2020</v>
      </c>
      <c r="I12">
        <f t="shared" si="15"/>
        <v>2021</v>
      </c>
      <c r="J12">
        <f t="shared" si="15"/>
        <v>2030</v>
      </c>
      <c r="K12">
        <f>K$4</f>
        <v>2040</v>
      </c>
      <c r="L12">
        <f>L$4</f>
        <v>2050</v>
      </c>
      <c r="M12">
        <f>M$4</f>
        <v>2060</v>
      </c>
      <c r="N12">
        <f>N$4</f>
        <v>2070</v>
      </c>
      <c r="P12" s="4">
        <f>P$4</f>
        <v>2017</v>
      </c>
      <c r="Q12" s="4">
        <f t="shared" ref="Q12:X12" si="16">Q$4</f>
        <v>2019</v>
      </c>
      <c r="R12" s="4">
        <f t="shared" si="16"/>
        <v>2020</v>
      </c>
      <c r="S12" s="4">
        <f t="shared" si="16"/>
        <v>2021</v>
      </c>
      <c r="T12" s="4">
        <f t="shared" si="16"/>
        <v>2030</v>
      </c>
      <c r="U12" s="4">
        <f t="shared" si="16"/>
        <v>2040</v>
      </c>
      <c r="V12" s="4">
        <f t="shared" si="16"/>
        <v>2050</v>
      </c>
      <c r="W12" s="4">
        <f t="shared" si="16"/>
        <v>2060</v>
      </c>
      <c r="X12" s="4">
        <f t="shared" si="16"/>
        <v>2070</v>
      </c>
      <c r="Z12" s="4">
        <f t="shared" ref="Z12:AH12" si="17">P12</f>
        <v>2017</v>
      </c>
      <c r="AA12" s="4">
        <f t="shared" si="17"/>
        <v>2019</v>
      </c>
      <c r="AB12" s="4">
        <f t="shared" si="17"/>
        <v>2020</v>
      </c>
      <c r="AC12" s="4">
        <f t="shared" si="17"/>
        <v>2021</v>
      </c>
      <c r="AD12" s="4">
        <f t="shared" si="17"/>
        <v>2030</v>
      </c>
      <c r="AE12" s="4">
        <f t="shared" si="17"/>
        <v>2040</v>
      </c>
      <c r="AF12" s="4">
        <f t="shared" si="17"/>
        <v>2050</v>
      </c>
      <c r="AG12" s="4">
        <f t="shared" si="17"/>
        <v>2060</v>
      </c>
      <c r="AH12" s="4">
        <f t="shared" si="17"/>
        <v>2070</v>
      </c>
    </row>
    <row r="13" spans="1:62">
      <c r="A13" t="s">
        <v>16</v>
      </c>
      <c r="B13" s="3" t="s">
        <v>139</v>
      </c>
      <c r="C13" s="3" t="s">
        <v>744</v>
      </c>
      <c r="D13" s="3"/>
      <c r="F13" s="37">
        <v>0.8</v>
      </c>
      <c r="G13" s="47">
        <f t="shared" ref="G13:G25" si="18">F13</f>
        <v>0.8</v>
      </c>
      <c r="H13" s="47">
        <f t="shared" ref="H13:H25" si="19">G13</f>
        <v>0.8</v>
      </c>
      <c r="I13" s="47">
        <f t="shared" ref="I13:I23" si="20">H13</f>
        <v>0.8</v>
      </c>
      <c r="J13" s="47">
        <f t="shared" ref="J13:J23" si="21">IF($D$4,AD13,T13)</f>
        <v>0.8</v>
      </c>
      <c r="K13" s="47">
        <f t="shared" ref="K13:K25" si="22">IF($D$4,AE13,U13)</f>
        <v>0.8</v>
      </c>
      <c r="L13" s="47">
        <f t="shared" ref="L13:N25" si="23">IF($D$4,AF13,V13)</f>
        <v>0.8</v>
      </c>
      <c r="M13" s="47">
        <f t="shared" si="23"/>
        <v>0.8</v>
      </c>
      <c r="N13" s="47">
        <f t="shared" si="23"/>
        <v>0.8</v>
      </c>
      <c r="P13" s="47">
        <f t="shared" ref="P13:P25" si="24">$F13</f>
        <v>0.8</v>
      </c>
      <c r="Q13" s="47">
        <f>P13</f>
        <v>0.8</v>
      </c>
      <c r="R13" s="47">
        <f t="shared" ref="R13:X13" si="25">Q13</f>
        <v>0.8</v>
      </c>
      <c r="S13" s="47">
        <f t="shared" si="25"/>
        <v>0.8</v>
      </c>
      <c r="T13" s="47">
        <f t="shared" si="25"/>
        <v>0.8</v>
      </c>
      <c r="U13" s="47">
        <f t="shared" si="25"/>
        <v>0.8</v>
      </c>
      <c r="V13" s="47">
        <f t="shared" si="25"/>
        <v>0.8</v>
      </c>
      <c r="W13" s="47">
        <f t="shared" si="25"/>
        <v>0.8</v>
      </c>
      <c r="X13" s="47">
        <f t="shared" si="25"/>
        <v>0.8</v>
      </c>
      <c r="Y13" s="194"/>
      <c r="Z13" s="47">
        <f t="shared" ref="Z13:Z25" si="26">$P13</f>
        <v>0.8</v>
      </c>
      <c r="AA13" s="47">
        <f>Z13</f>
        <v>0.8</v>
      </c>
      <c r="AB13" s="47">
        <f t="shared" ref="AB13:AH13" si="27">AA13</f>
        <v>0.8</v>
      </c>
      <c r="AC13" s="47">
        <f t="shared" si="27"/>
        <v>0.8</v>
      </c>
      <c r="AD13" s="47">
        <f t="shared" si="27"/>
        <v>0.8</v>
      </c>
      <c r="AE13" s="47">
        <f t="shared" si="27"/>
        <v>0.8</v>
      </c>
      <c r="AF13" s="47">
        <f t="shared" si="27"/>
        <v>0.8</v>
      </c>
      <c r="AG13" s="47">
        <f t="shared" si="27"/>
        <v>0.8</v>
      </c>
      <c r="AH13" s="47">
        <f t="shared" si="27"/>
        <v>0.8</v>
      </c>
      <c r="AI13" s="194"/>
      <c r="AJ13" s="194"/>
      <c r="AK13" s="194"/>
      <c r="AL13" s="194"/>
      <c r="AM13" s="194"/>
      <c r="AN13" s="194"/>
      <c r="AO13" s="194"/>
      <c r="AP13" s="194"/>
      <c r="AQ13" s="194"/>
      <c r="AR13" s="194"/>
      <c r="AS13" s="194"/>
      <c r="AT13" s="194"/>
      <c r="AU13" s="194"/>
      <c r="AV13" s="194"/>
      <c r="AW13" s="194"/>
    </row>
    <row r="14" spans="1:62">
      <c r="A14" t="s">
        <v>16</v>
      </c>
      <c r="B14" s="3" t="s">
        <v>396</v>
      </c>
      <c r="C14" s="3" t="s">
        <v>745</v>
      </c>
      <c r="D14" s="3"/>
      <c r="F14" s="37">
        <f>F13</f>
        <v>0.8</v>
      </c>
      <c r="G14" s="47">
        <f t="shared" si="18"/>
        <v>0.8</v>
      </c>
      <c r="H14" s="47">
        <f t="shared" si="19"/>
        <v>0.8</v>
      </c>
      <c r="I14" s="47">
        <f t="shared" si="20"/>
        <v>0.8</v>
      </c>
      <c r="J14" s="47">
        <f t="shared" si="21"/>
        <v>0.8</v>
      </c>
      <c r="K14" s="47">
        <f t="shared" si="22"/>
        <v>0.8</v>
      </c>
      <c r="L14" s="47">
        <f t="shared" si="23"/>
        <v>0.8</v>
      </c>
      <c r="M14" s="47">
        <f t="shared" si="23"/>
        <v>0.8</v>
      </c>
      <c r="N14" s="47">
        <f t="shared" si="23"/>
        <v>0.8</v>
      </c>
      <c r="P14" s="47">
        <f t="shared" si="24"/>
        <v>0.8</v>
      </c>
      <c r="Q14" s="47">
        <f t="shared" ref="Q14:X25" si="28">P14</f>
        <v>0.8</v>
      </c>
      <c r="R14" s="47">
        <f t="shared" si="28"/>
        <v>0.8</v>
      </c>
      <c r="S14" s="47">
        <f t="shared" si="28"/>
        <v>0.8</v>
      </c>
      <c r="T14" s="47">
        <f t="shared" si="28"/>
        <v>0.8</v>
      </c>
      <c r="U14" s="47">
        <f t="shared" si="28"/>
        <v>0.8</v>
      </c>
      <c r="V14" s="47">
        <f t="shared" si="28"/>
        <v>0.8</v>
      </c>
      <c r="W14" s="47">
        <f t="shared" si="28"/>
        <v>0.8</v>
      </c>
      <c r="X14" s="47">
        <f t="shared" si="28"/>
        <v>0.8</v>
      </c>
      <c r="Y14" s="194"/>
      <c r="Z14" s="47">
        <f t="shared" si="26"/>
        <v>0.8</v>
      </c>
      <c r="AA14" s="47">
        <f t="shared" ref="AA14:AH25" si="29">Z14</f>
        <v>0.8</v>
      </c>
      <c r="AB14" s="47">
        <f t="shared" si="29"/>
        <v>0.8</v>
      </c>
      <c r="AC14" s="47">
        <f t="shared" si="29"/>
        <v>0.8</v>
      </c>
      <c r="AD14" s="47">
        <f t="shared" si="29"/>
        <v>0.8</v>
      </c>
      <c r="AE14" s="47">
        <f t="shared" si="29"/>
        <v>0.8</v>
      </c>
      <c r="AF14" s="47">
        <f t="shared" si="29"/>
        <v>0.8</v>
      </c>
      <c r="AG14" s="47">
        <f t="shared" si="29"/>
        <v>0.8</v>
      </c>
      <c r="AH14" s="47">
        <f t="shared" si="29"/>
        <v>0.8</v>
      </c>
      <c r="AI14" s="194"/>
      <c r="AJ14" s="194"/>
      <c r="AK14" s="194"/>
      <c r="AL14" s="194"/>
      <c r="AM14" s="194"/>
      <c r="AN14" s="194"/>
      <c r="AO14" s="194"/>
      <c r="AP14" s="194"/>
      <c r="AQ14" s="194"/>
      <c r="AR14" s="194"/>
      <c r="AS14" s="194"/>
      <c r="AT14" s="194"/>
      <c r="AU14" s="194"/>
      <c r="AV14" s="194"/>
      <c r="AW14" s="194"/>
    </row>
    <row r="15" spans="1:62">
      <c r="A15" t="s">
        <v>16</v>
      </c>
      <c r="B15" s="3" t="s">
        <v>397</v>
      </c>
      <c r="C15" s="3" t="s">
        <v>746</v>
      </c>
      <c r="D15" s="3"/>
      <c r="F15" s="37">
        <f t="shared" ref="F15:F23" si="30">F14</f>
        <v>0.8</v>
      </c>
      <c r="G15" s="47">
        <f t="shared" si="18"/>
        <v>0.8</v>
      </c>
      <c r="H15" s="47">
        <f t="shared" si="19"/>
        <v>0.8</v>
      </c>
      <c r="I15" s="47">
        <f t="shared" si="20"/>
        <v>0.8</v>
      </c>
      <c r="J15" s="47">
        <f t="shared" si="21"/>
        <v>0.8</v>
      </c>
      <c r="K15" s="47">
        <f t="shared" si="22"/>
        <v>0.8</v>
      </c>
      <c r="L15" s="47">
        <f t="shared" si="23"/>
        <v>0.8</v>
      </c>
      <c r="M15" s="47">
        <f t="shared" si="23"/>
        <v>0.8</v>
      </c>
      <c r="N15" s="47">
        <f t="shared" si="23"/>
        <v>0.8</v>
      </c>
      <c r="P15" s="47">
        <f t="shared" si="24"/>
        <v>0.8</v>
      </c>
      <c r="Q15" s="47">
        <f t="shared" si="28"/>
        <v>0.8</v>
      </c>
      <c r="R15" s="47">
        <f t="shared" si="28"/>
        <v>0.8</v>
      </c>
      <c r="S15" s="47">
        <f t="shared" si="28"/>
        <v>0.8</v>
      </c>
      <c r="T15" s="47">
        <f t="shared" si="28"/>
        <v>0.8</v>
      </c>
      <c r="U15" s="47">
        <f t="shared" si="28"/>
        <v>0.8</v>
      </c>
      <c r="V15" s="47">
        <f t="shared" si="28"/>
        <v>0.8</v>
      </c>
      <c r="W15" s="47">
        <f t="shared" si="28"/>
        <v>0.8</v>
      </c>
      <c r="X15" s="47">
        <f t="shared" si="28"/>
        <v>0.8</v>
      </c>
      <c r="Y15" s="194"/>
      <c r="Z15" s="47">
        <f t="shared" si="26"/>
        <v>0.8</v>
      </c>
      <c r="AA15" s="47">
        <f t="shared" si="29"/>
        <v>0.8</v>
      </c>
      <c r="AB15" s="47">
        <f t="shared" si="29"/>
        <v>0.8</v>
      </c>
      <c r="AC15" s="47">
        <f t="shared" si="29"/>
        <v>0.8</v>
      </c>
      <c r="AD15" s="47">
        <f t="shared" si="29"/>
        <v>0.8</v>
      </c>
      <c r="AE15" s="47">
        <f t="shared" si="29"/>
        <v>0.8</v>
      </c>
      <c r="AF15" s="47">
        <f t="shared" si="29"/>
        <v>0.8</v>
      </c>
      <c r="AG15" s="47">
        <f t="shared" si="29"/>
        <v>0.8</v>
      </c>
      <c r="AH15" s="47">
        <f t="shared" si="29"/>
        <v>0.8</v>
      </c>
      <c r="AI15" s="194"/>
      <c r="AJ15" s="194"/>
      <c r="AK15" s="194"/>
      <c r="AL15" s="194"/>
      <c r="AM15" s="194"/>
      <c r="AN15" s="194"/>
      <c r="AO15" s="194"/>
      <c r="AP15" s="194"/>
      <c r="AQ15" s="194"/>
      <c r="AR15" s="194"/>
      <c r="AS15" s="194"/>
      <c r="AT15" s="194"/>
      <c r="AU15" s="194"/>
      <c r="AV15" s="194"/>
      <c r="AW15" s="194"/>
    </row>
    <row r="16" spans="1:62">
      <c r="A16" t="s">
        <v>16</v>
      </c>
      <c r="B16" s="3" t="s">
        <v>398</v>
      </c>
      <c r="C16" s="3" t="s">
        <v>747</v>
      </c>
      <c r="D16" s="3"/>
      <c r="F16" s="37">
        <f t="shared" si="30"/>
        <v>0.8</v>
      </c>
      <c r="G16" s="47">
        <f t="shared" si="18"/>
        <v>0.8</v>
      </c>
      <c r="H16" s="47">
        <f t="shared" si="19"/>
        <v>0.8</v>
      </c>
      <c r="I16" s="47">
        <f t="shared" si="20"/>
        <v>0.8</v>
      </c>
      <c r="J16" s="47">
        <f t="shared" si="21"/>
        <v>0.8</v>
      </c>
      <c r="K16" s="47">
        <f t="shared" si="22"/>
        <v>0.8</v>
      </c>
      <c r="L16" s="47">
        <f t="shared" si="23"/>
        <v>0.8</v>
      </c>
      <c r="M16" s="47">
        <f t="shared" si="23"/>
        <v>0.8</v>
      </c>
      <c r="N16" s="47">
        <f t="shared" si="23"/>
        <v>0.8</v>
      </c>
      <c r="P16" s="47">
        <f t="shared" si="24"/>
        <v>0.8</v>
      </c>
      <c r="Q16" s="47">
        <f t="shared" si="28"/>
        <v>0.8</v>
      </c>
      <c r="R16" s="47">
        <f t="shared" si="28"/>
        <v>0.8</v>
      </c>
      <c r="S16" s="47">
        <f t="shared" si="28"/>
        <v>0.8</v>
      </c>
      <c r="T16" s="47">
        <f t="shared" si="28"/>
        <v>0.8</v>
      </c>
      <c r="U16" s="47">
        <f t="shared" si="28"/>
        <v>0.8</v>
      </c>
      <c r="V16" s="47">
        <f t="shared" si="28"/>
        <v>0.8</v>
      </c>
      <c r="W16" s="47">
        <f t="shared" si="28"/>
        <v>0.8</v>
      </c>
      <c r="X16" s="47">
        <f t="shared" si="28"/>
        <v>0.8</v>
      </c>
      <c r="Y16" s="194"/>
      <c r="Z16" s="47">
        <f t="shared" si="26"/>
        <v>0.8</v>
      </c>
      <c r="AA16" s="47">
        <f t="shared" si="29"/>
        <v>0.8</v>
      </c>
      <c r="AB16" s="47">
        <f t="shared" si="29"/>
        <v>0.8</v>
      </c>
      <c r="AC16" s="47">
        <f t="shared" si="29"/>
        <v>0.8</v>
      </c>
      <c r="AD16" s="47">
        <f t="shared" si="29"/>
        <v>0.8</v>
      </c>
      <c r="AE16" s="47">
        <f t="shared" si="29"/>
        <v>0.8</v>
      </c>
      <c r="AF16" s="47">
        <f t="shared" si="29"/>
        <v>0.8</v>
      </c>
      <c r="AG16" s="47">
        <f t="shared" si="29"/>
        <v>0.8</v>
      </c>
      <c r="AH16" s="47">
        <f t="shared" si="29"/>
        <v>0.8</v>
      </c>
      <c r="AI16" s="194"/>
      <c r="AJ16" s="194"/>
      <c r="AK16" s="194"/>
      <c r="AL16" s="194"/>
      <c r="AM16" s="194"/>
      <c r="AN16" s="194"/>
      <c r="AO16" s="194"/>
      <c r="AP16" s="194"/>
      <c r="AQ16" s="194"/>
      <c r="AR16" s="194"/>
      <c r="AS16" s="194"/>
      <c r="AT16" s="194"/>
      <c r="AU16" s="194"/>
      <c r="AV16" s="194"/>
      <c r="AW16" s="194"/>
    </row>
    <row r="17" spans="1:49">
      <c r="A17" t="s">
        <v>16</v>
      </c>
      <c r="B17" s="3" t="s">
        <v>399</v>
      </c>
      <c r="C17" s="3" t="s">
        <v>748</v>
      </c>
      <c r="D17" s="3"/>
      <c r="F17" s="37">
        <f t="shared" si="30"/>
        <v>0.8</v>
      </c>
      <c r="G17" s="47">
        <f t="shared" si="18"/>
        <v>0.8</v>
      </c>
      <c r="H17" s="47">
        <f t="shared" si="19"/>
        <v>0.8</v>
      </c>
      <c r="I17" s="47">
        <f t="shared" si="20"/>
        <v>0.8</v>
      </c>
      <c r="J17" s="47">
        <f t="shared" si="21"/>
        <v>0.8</v>
      </c>
      <c r="K17" s="47">
        <f t="shared" si="22"/>
        <v>0.8</v>
      </c>
      <c r="L17" s="47">
        <f t="shared" si="23"/>
        <v>0.8</v>
      </c>
      <c r="M17" s="47">
        <f t="shared" si="23"/>
        <v>0.8</v>
      </c>
      <c r="N17" s="47">
        <f t="shared" si="23"/>
        <v>0.8</v>
      </c>
      <c r="P17" s="47">
        <f t="shared" si="24"/>
        <v>0.8</v>
      </c>
      <c r="Q17" s="47">
        <f t="shared" si="28"/>
        <v>0.8</v>
      </c>
      <c r="R17" s="47">
        <f t="shared" si="28"/>
        <v>0.8</v>
      </c>
      <c r="S17" s="47">
        <f t="shared" si="28"/>
        <v>0.8</v>
      </c>
      <c r="T17" s="47">
        <f t="shared" si="28"/>
        <v>0.8</v>
      </c>
      <c r="U17" s="47">
        <f t="shared" si="28"/>
        <v>0.8</v>
      </c>
      <c r="V17" s="47">
        <f t="shared" si="28"/>
        <v>0.8</v>
      </c>
      <c r="W17" s="47">
        <f t="shared" si="28"/>
        <v>0.8</v>
      </c>
      <c r="X17" s="47">
        <f t="shared" si="28"/>
        <v>0.8</v>
      </c>
      <c r="Y17" s="194"/>
      <c r="Z17" s="47">
        <f t="shared" si="26"/>
        <v>0.8</v>
      </c>
      <c r="AA17" s="47">
        <f t="shared" si="29"/>
        <v>0.8</v>
      </c>
      <c r="AB17" s="47">
        <f t="shared" si="29"/>
        <v>0.8</v>
      </c>
      <c r="AC17" s="47">
        <f t="shared" si="29"/>
        <v>0.8</v>
      </c>
      <c r="AD17" s="47">
        <f t="shared" si="29"/>
        <v>0.8</v>
      </c>
      <c r="AE17" s="47">
        <f t="shared" si="29"/>
        <v>0.8</v>
      </c>
      <c r="AF17" s="47">
        <f t="shared" si="29"/>
        <v>0.8</v>
      </c>
      <c r="AG17" s="47">
        <f t="shared" si="29"/>
        <v>0.8</v>
      </c>
      <c r="AH17" s="47">
        <f t="shared" si="29"/>
        <v>0.8</v>
      </c>
      <c r="AI17" s="194"/>
      <c r="AJ17" s="194"/>
      <c r="AK17" s="194"/>
      <c r="AL17" s="194"/>
      <c r="AM17" s="194"/>
      <c r="AN17" s="194"/>
      <c r="AO17" s="194"/>
      <c r="AP17" s="194"/>
      <c r="AQ17" s="194"/>
      <c r="AR17" s="194"/>
      <c r="AS17" s="194"/>
      <c r="AT17" s="194"/>
      <c r="AU17" s="194"/>
      <c r="AV17" s="194"/>
      <c r="AW17" s="194"/>
    </row>
    <row r="18" spans="1:49">
      <c r="A18" t="s">
        <v>16</v>
      </c>
      <c r="B18" s="3" t="s">
        <v>400</v>
      </c>
      <c r="C18" s="3" t="s">
        <v>749</v>
      </c>
      <c r="D18" s="3"/>
      <c r="F18" s="37">
        <f t="shared" si="30"/>
        <v>0.8</v>
      </c>
      <c r="G18" s="47">
        <f t="shared" si="18"/>
        <v>0.8</v>
      </c>
      <c r="H18" s="47">
        <f t="shared" si="19"/>
        <v>0.8</v>
      </c>
      <c r="I18" s="47">
        <f t="shared" si="20"/>
        <v>0.8</v>
      </c>
      <c r="J18" s="47">
        <f t="shared" si="21"/>
        <v>0.8</v>
      </c>
      <c r="K18" s="47">
        <f t="shared" si="22"/>
        <v>0.8</v>
      </c>
      <c r="L18" s="47">
        <f t="shared" si="23"/>
        <v>0.8</v>
      </c>
      <c r="M18" s="47">
        <f t="shared" si="23"/>
        <v>0.8</v>
      </c>
      <c r="N18" s="47">
        <f t="shared" si="23"/>
        <v>0.8</v>
      </c>
      <c r="P18" s="47">
        <f t="shared" si="24"/>
        <v>0.8</v>
      </c>
      <c r="Q18" s="47">
        <f t="shared" si="28"/>
        <v>0.8</v>
      </c>
      <c r="R18" s="47">
        <f t="shared" si="28"/>
        <v>0.8</v>
      </c>
      <c r="S18" s="47">
        <f t="shared" si="28"/>
        <v>0.8</v>
      </c>
      <c r="T18" s="47">
        <f t="shared" si="28"/>
        <v>0.8</v>
      </c>
      <c r="U18" s="47">
        <f t="shared" si="28"/>
        <v>0.8</v>
      </c>
      <c r="V18" s="47">
        <f t="shared" si="28"/>
        <v>0.8</v>
      </c>
      <c r="W18" s="47">
        <f t="shared" si="28"/>
        <v>0.8</v>
      </c>
      <c r="X18" s="47">
        <f t="shared" si="28"/>
        <v>0.8</v>
      </c>
      <c r="Y18" s="194"/>
      <c r="Z18" s="47">
        <f t="shared" si="26"/>
        <v>0.8</v>
      </c>
      <c r="AA18" s="47">
        <f t="shared" si="29"/>
        <v>0.8</v>
      </c>
      <c r="AB18" s="47">
        <f t="shared" si="29"/>
        <v>0.8</v>
      </c>
      <c r="AC18" s="47">
        <f t="shared" si="29"/>
        <v>0.8</v>
      </c>
      <c r="AD18" s="47">
        <f t="shared" si="29"/>
        <v>0.8</v>
      </c>
      <c r="AE18" s="47">
        <f t="shared" si="29"/>
        <v>0.8</v>
      </c>
      <c r="AF18" s="47">
        <f t="shared" si="29"/>
        <v>0.8</v>
      </c>
      <c r="AG18" s="47">
        <f t="shared" si="29"/>
        <v>0.8</v>
      </c>
      <c r="AH18" s="47">
        <f t="shared" si="29"/>
        <v>0.8</v>
      </c>
      <c r="AI18" s="194"/>
      <c r="AJ18" s="194"/>
      <c r="AK18" s="194"/>
      <c r="AL18" s="194"/>
      <c r="AM18" s="194"/>
      <c r="AN18" s="194"/>
      <c r="AO18" s="194"/>
      <c r="AP18" s="194"/>
      <c r="AQ18" s="194"/>
      <c r="AR18" s="194"/>
      <c r="AS18" s="194"/>
      <c r="AT18" s="194"/>
      <c r="AU18" s="194"/>
      <c r="AV18" s="194"/>
      <c r="AW18" s="194"/>
    </row>
    <row r="19" spans="1:49">
      <c r="A19" t="s">
        <v>16</v>
      </c>
      <c r="B19" s="3" t="s">
        <v>401</v>
      </c>
      <c r="C19" s="3" t="s">
        <v>750</v>
      </c>
      <c r="D19" s="3"/>
      <c r="F19" s="37">
        <f t="shared" si="30"/>
        <v>0.8</v>
      </c>
      <c r="G19" s="47">
        <f t="shared" si="18"/>
        <v>0.8</v>
      </c>
      <c r="H19" s="47">
        <f t="shared" si="19"/>
        <v>0.8</v>
      </c>
      <c r="I19" s="47">
        <f t="shared" si="20"/>
        <v>0.8</v>
      </c>
      <c r="J19" s="47">
        <f t="shared" si="21"/>
        <v>0.8</v>
      </c>
      <c r="K19" s="47">
        <f t="shared" si="22"/>
        <v>0.8</v>
      </c>
      <c r="L19" s="47">
        <f t="shared" si="23"/>
        <v>0.8</v>
      </c>
      <c r="M19" s="47">
        <f t="shared" si="23"/>
        <v>0.8</v>
      </c>
      <c r="N19" s="47">
        <f t="shared" si="23"/>
        <v>0.8</v>
      </c>
      <c r="P19" s="47">
        <f t="shared" si="24"/>
        <v>0.8</v>
      </c>
      <c r="Q19" s="47">
        <f t="shared" si="28"/>
        <v>0.8</v>
      </c>
      <c r="R19" s="47">
        <f t="shared" si="28"/>
        <v>0.8</v>
      </c>
      <c r="S19" s="47">
        <f t="shared" si="28"/>
        <v>0.8</v>
      </c>
      <c r="T19" s="47">
        <f t="shared" si="28"/>
        <v>0.8</v>
      </c>
      <c r="U19" s="47">
        <f t="shared" si="28"/>
        <v>0.8</v>
      </c>
      <c r="V19" s="47">
        <f t="shared" si="28"/>
        <v>0.8</v>
      </c>
      <c r="W19" s="47">
        <f t="shared" si="28"/>
        <v>0.8</v>
      </c>
      <c r="X19" s="47">
        <f t="shared" si="28"/>
        <v>0.8</v>
      </c>
      <c r="Y19" s="194"/>
      <c r="Z19" s="47">
        <f t="shared" si="26"/>
        <v>0.8</v>
      </c>
      <c r="AA19" s="47">
        <f t="shared" si="29"/>
        <v>0.8</v>
      </c>
      <c r="AB19" s="47">
        <f t="shared" si="29"/>
        <v>0.8</v>
      </c>
      <c r="AC19" s="47">
        <f t="shared" si="29"/>
        <v>0.8</v>
      </c>
      <c r="AD19" s="47">
        <f t="shared" si="29"/>
        <v>0.8</v>
      </c>
      <c r="AE19" s="47">
        <f t="shared" si="29"/>
        <v>0.8</v>
      </c>
      <c r="AF19" s="47">
        <f t="shared" si="29"/>
        <v>0.8</v>
      </c>
      <c r="AG19" s="47">
        <f t="shared" si="29"/>
        <v>0.8</v>
      </c>
      <c r="AH19" s="47">
        <f t="shared" si="29"/>
        <v>0.8</v>
      </c>
      <c r="AI19" s="194"/>
      <c r="AJ19" s="194"/>
      <c r="AK19" s="194"/>
      <c r="AL19" s="194"/>
      <c r="AM19" s="194"/>
      <c r="AN19" s="194"/>
      <c r="AO19" s="194"/>
      <c r="AP19" s="194"/>
      <c r="AQ19" s="194"/>
      <c r="AR19" s="194"/>
      <c r="AS19" s="194"/>
      <c r="AT19" s="194"/>
      <c r="AU19" s="194"/>
      <c r="AV19" s="194"/>
      <c r="AW19" s="194"/>
    </row>
    <row r="20" spans="1:49">
      <c r="A20" t="s">
        <v>16</v>
      </c>
      <c r="B20" s="3" t="s">
        <v>402</v>
      </c>
      <c r="C20" s="3" t="s">
        <v>751</v>
      </c>
      <c r="D20" s="3"/>
      <c r="F20" s="37">
        <f t="shared" si="30"/>
        <v>0.8</v>
      </c>
      <c r="G20" s="47">
        <f t="shared" si="18"/>
        <v>0.8</v>
      </c>
      <c r="H20" s="47">
        <f t="shared" si="19"/>
        <v>0.8</v>
      </c>
      <c r="I20" s="47">
        <f t="shared" si="20"/>
        <v>0.8</v>
      </c>
      <c r="J20" s="47">
        <f t="shared" si="21"/>
        <v>0.8</v>
      </c>
      <c r="K20" s="47">
        <f t="shared" si="22"/>
        <v>0.8</v>
      </c>
      <c r="L20" s="47">
        <f t="shared" si="23"/>
        <v>0.8</v>
      </c>
      <c r="M20" s="47">
        <f t="shared" si="23"/>
        <v>0.8</v>
      </c>
      <c r="N20" s="47">
        <f t="shared" si="23"/>
        <v>0.8</v>
      </c>
      <c r="P20" s="47">
        <f t="shared" si="24"/>
        <v>0.8</v>
      </c>
      <c r="Q20" s="47">
        <f t="shared" si="28"/>
        <v>0.8</v>
      </c>
      <c r="R20" s="47">
        <f t="shared" si="28"/>
        <v>0.8</v>
      </c>
      <c r="S20" s="47">
        <f t="shared" si="28"/>
        <v>0.8</v>
      </c>
      <c r="T20" s="47">
        <f t="shared" si="28"/>
        <v>0.8</v>
      </c>
      <c r="U20" s="47">
        <f t="shared" si="28"/>
        <v>0.8</v>
      </c>
      <c r="V20" s="47">
        <f t="shared" si="28"/>
        <v>0.8</v>
      </c>
      <c r="W20" s="47">
        <f t="shared" si="28"/>
        <v>0.8</v>
      </c>
      <c r="X20" s="47">
        <f t="shared" si="28"/>
        <v>0.8</v>
      </c>
      <c r="Y20" s="194"/>
      <c r="Z20" s="47">
        <f t="shared" si="26"/>
        <v>0.8</v>
      </c>
      <c r="AA20" s="47">
        <f t="shared" si="29"/>
        <v>0.8</v>
      </c>
      <c r="AB20" s="47">
        <f t="shared" si="29"/>
        <v>0.8</v>
      </c>
      <c r="AC20" s="47">
        <f t="shared" si="29"/>
        <v>0.8</v>
      </c>
      <c r="AD20" s="47">
        <f t="shared" si="29"/>
        <v>0.8</v>
      </c>
      <c r="AE20" s="47">
        <f t="shared" si="29"/>
        <v>0.8</v>
      </c>
      <c r="AF20" s="47">
        <f t="shared" si="29"/>
        <v>0.8</v>
      </c>
      <c r="AG20" s="47">
        <f t="shared" si="29"/>
        <v>0.8</v>
      </c>
      <c r="AH20" s="47">
        <f t="shared" si="29"/>
        <v>0.8</v>
      </c>
      <c r="AI20" s="194"/>
      <c r="AJ20" s="194"/>
      <c r="AK20" s="194"/>
      <c r="AL20" s="194"/>
      <c r="AM20" s="194"/>
      <c r="AN20" s="194"/>
      <c r="AO20" s="194"/>
      <c r="AP20" s="194"/>
      <c r="AQ20" s="194"/>
      <c r="AR20" s="194"/>
      <c r="AS20" s="194"/>
      <c r="AT20" s="194"/>
      <c r="AU20" s="194"/>
      <c r="AV20" s="194"/>
      <c r="AW20" s="194"/>
    </row>
    <row r="21" spans="1:49">
      <c r="A21" t="s">
        <v>16</v>
      </c>
      <c r="B21" s="3" t="s">
        <v>403</v>
      </c>
      <c r="C21" s="3" t="s">
        <v>752</v>
      </c>
      <c r="D21" s="3"/>
      <c r="F21" s="37">
        <f t="shared" si="30"/>
        <v>0.8</v>
      </c>
      <c r="G21" s="47">
        <f t="shared" si="18"/>
        <v>0.8</v>
      </c>
      <c r="H21" s="47">
        <f t="shared" si="19"/>
        <v>0.8</v>
      </c>
      <c r="I21" s="47">
        <f t="shared" si="20"/>
        <v>0.8</v>
      </c>
      <c r="J21" s="47">
        <f t="shared" si="21"/>
        <v>0.8</v>
      </c>
      <c r="K21" s="47">
        <f t="shared" si="22"/>
        <v>0.8</v>
      </c>
      <c r="L21" s="47">
        <f t="shared" si="23"/>
        <v>0.8</v>
      </c>
      <c r="M21" s="47">
        <f t="shared" si="23"/>
        <v>0.8</v>
      </c>
      <c r="N21" s="47">
        <f t="shared" si="23"/>
        <v>0.8</v>
      </c>
      <c r="P21" s="47">
        <f t="shared" si="24"/>
        <v>0.8</v>
      </c>
      <c r="Q21" s="47">
        <f t="shared" si="28"/>
        <v>0.8</v>
      </c>
      <c r="R21" s="47">
        <f t="shared" si="28"/>
        <v>0.8</v>
      </c>
      <c r="S21" s="47">
        <f t="shared" si="28"/>
        <v>0.8</v>
      </c>
      <c r="T21" s="47">
        <f t="shared" si="28"/>
        <v>0.8</v>
      </c>
      <c r="U21" s="47">
        <f t="shared" si="28"/>
        <v>0.8</v>
      </c>
      <c r="V21" s="47">
        <f t="shared" si="28"/>
        <v>0.8</v>
      </c>
      <c r="W21" s="47">
        <f t="shared" si="28"/>
        <v>0.8</v>
      </c>
      <c r="X21" s="47">
        <f t="shared" si="28"/>
        <v>0.8</v>
      </c>
      <c r="Y21" s="194"/>
      <c r="Z21" s="47">
        <f t="shared" si="26"/>
        <v>0.8</v>
      </c>
      <c r="AA21" s="47">
        <f t="shared" si="29"/>
        <v>0.8</v>
      </c>
      <c r="AB21" s="47">
        <f t="shared" si="29"/>
        <v>0.8</v>
      </c>
      <c r="AC21" s="47">
        <f t="shared" si="29"/>
        <v>0.8</v>
      </c>
      <c r="AD21" s="47">
        <f t="shared" si="29"/>
        <v>0.8</v>
      </c>
      <c r="AE21" s="47">
        <f t="shared" si="29"/>
        <v>0.8</v>
      </c>
      <c r="AF21" s="47">
        <f t="shared" si="29"/>
        <v>0.8</v>
      </c>
      <c r="AG21" s="47">
        <f t="shared" si="29"/>
        <v>0.8</v>
      </c>
      <c r="AH21" s="47">
        <f t="shared" si="29"/>
        <v>0.8</v>
      </c>
      <c r="AI21" s="194"/>
      <c r="AJ21" s="194"/>
      <c r="AK21" s="194"/>
      <c r="AL21" s="194"/>
      <c r="AM21" s="194"/>
      <c r="AN21" s="194"/>
      <c r="AO21" s="194"/>
      <c r="AP21" s="194"/>
      <c r="AQ21" s="194"/>
      <c r="AR21" s="194"/>
      <c r="AS21" s="194"/>
      <c r="AT21" s="194"/>
      <c r="AU21" s="194"/>
      <c r="AV21" s="194"/>
      <c r="AW21" s="194"/>
    </row>
    <row r="22" spans="1:49">
      <c r="A22" t="s">
        <v>16</v>
      </c>
      <c r="B22" s="3" t="s">
        <v>404</v>
      </c>
      <c r="C22" s="3" t="s">
        <v>753</v>
      </c>
      <c r="D22" s="3"/>
      <c r="F22" s="37">
        <f t="shared" si="30"/>
        <v>0.8</v>
      </c>
      <c r="G22" s="47">
        <f t="shared" si="18"/>
        <v>0.8</v>
      </c>
      <c r="H22" s="47">
        <f t="shared" si="19"/>
        <v>0.8</v>
      </c>
      <c r="I22" s="47">
        <f t="shared" si="20"/>
        <v>0.8</v>
      </c>
      <c r="J22" s="47">
        <f t="shared" si="21"/>
        <v>0.8</v>
      </c>
      <c r="K22" s="47">
        <f t="shared" si="22"/>
        <v>0.8</v>
      </c>
      <c r="L22" s="47">
        <f t="shared" si="23"/>
        <v>0.8</v>
      </c>
      <c r="M22" s="47">
        <f t="shared" si="23"/>
        <v>0.8</v>
      </c>
      <c r="N22" s="47">
        <f t="shared" si="23"/>
        <v>0.8</v>
      </c>
      <c r="P22" s="47">
        <f t="shared" si="24"/>
        <v>0.8</v>
      </c>
      <c r="Q22" s="47">
        <f t="shared" si="28"/>
        <v>0.8</v>
      </c>
      <c r="R22" s="47">
        <f t="shared" si="28"/>
        <v>0.8</v>
      </c>
      <c r="S22" s="47">
        <f t="shared" si="28"/>
        <v>0.8</v>
      </c>
      <c r="T22" s="47">
        <f t="shared" si="28"/>
        <v>0.8</v>
      </c>
      <c r="U22" s="47">
        <f t="shared" si="28"/>
        <v>0.8</v>
      </c>
      <c r="V22" s="47">
        <f t="shared" si="28"/>
        <v>0.8</v>
      </c>
      <c r="W22" s="47">
        <f t="shared" si="28"/>
        <v>0.8</v>
      </c>
      <c r="X22" s="47">
        <f t="shared" si="28"/>
        <v>0.8</v>
      </c>
      <c r="Y22" s="194"/>
      <c r="Z22" s="47">
        <f t="shared" si="26"/>
        <v>0.8</v>
      </c>
      <c r="AA22" s="47">
        <f t="shared" si="29"/>
        <v>0.8</v>
      </c>
      <c r="AB22" s="47">
        <f t="shared" si="29"/>
        <v>0.8</v>
      </c>
      <c r="AC22" s="47">
        <f t="shared" si="29"/>
        <v>0.8</v>
      </c>
      <c r="AD22" s="47">
        <f t="shared" si="29"/>
        <v>0.8</v>
      </c>
      <c r="AE22" s="47">
        <f t="shared" si="29"/>
        <v>0.8</v>
      </c>
      <c r="AF22" s="47">
        <f t="shared" si="29"/>
        <v>0.8</v>
      </c>
      <c r="AG22" s="47">
        <f t="shared" si="29"/>
        <v>0.8</v>
      </c>
      <c r="AH22" s="47">
        <f t="shared" si="29"/>
        <v>0.8</v>
      </c>
      <c r="AI22" s="194"/>
      <c r="AJ22" s="194"/>
      <c r="AK22" s="194"/>
      <c r="AL22" s="194"/>
      <c r="AM22" s="194"/>
      <c r="AN22" s="194"/>
      <c r="AO22" s="194"/>
      <c r="AP22" s="194"/>
      <c r="AQ22" s="194"/>
      <c r="AR22" s="194"/>
      <c r="AS22" s="194"/>
      <c r="AT22" s="194"/>
      <c r="AU22" s="194"/>
      <c r="AV22" s="194"/>
      <c r="AW22" s="194"/>
    </row>
    <row r="23" spans="1:49">
      <c r="A23" t="s">
        <v>16</v>
      </c>
      <c r="B23" s="3" t="s">
        <v>366</v>
      </c>
      <c r="C23" s="3" t="s">
        <v>754</v>
      </c>
      <c r="D23" s="3"/>
      <c r="F23" s="37">
        <f t="shared" si="30"/>
        <v>0.8</v>
      </c>
      <c r="G23" s="47">
        <f t="shared" si="18"/>
        <v>0.8</v>
      </c>
      <c r="H23" s="47">
        <f t="shared" si="19"/>
        <v>0.8</v>
      </c>
      <c r="I23" s="47">
        <f t="shared" si="20"/>
        <v>0.8</v>
      </c>
      <c r="J23" s="47">
        <f t="shared" si="21"/>
        <v>0.8</v>
      </c>
      <c r="K23" s="47">
        <f t="shared" si="22"/>
        <v>0.8</v>
      </c>
      <c r="L23" s="47">
        <f t="shared" si="23"/>
        <v>0.8</v>
      </c>
      <c r="M23" s="47">
        <f t="shared" si="23"/>
        <v>0.8</v>
      </c>
      <c r="N23" s="47">
        <f t="shared" si="23"/>
        <v>0.8</v>
      </c>
      <c r="P23" s="47">
        <f t="shared" si="24"/>
        <v>0.8</v>
      </c>
      <c r="Q23" s="47">
        <f t="shared" si="28"/>
        <v>0.8</v>
      </c>
      <c r="R23" s="47">
        <f t="shared" si="28"/>
        <v>0.8</v>
      </c>
      <c r="S23" s="47">
        <f t="shared" si="28"/>
        <v>0.8</v>
      </c>
      <c r="T23" s="47">
        <f t="shared" si="28"/>
        <v>0.8</v>
      </c>
      <c r="U23" s="47">
        <f t="shared" si="28"/>
        <v>0.8</v>
      </c>
      <c r="V23" s="47">
        <f t="shared" si="28"/>
        <v>0.8</v>
      </c>
      <c r="W23" s="47">
        <f t="shared" si="28"/>
        <v>0.8</v>
      </c>
      <c r="X23" s="47">
        <f t="shared" si="28"/>
        <v>0.8</v>
      </c>
      <c r="Y23" s="194"/>
      <c r="Z23" s="47">
        <f t="shared" si="26"/>
        <v>0.8</v>
      </c>
      <c r="AA23" s="47">
        <f t="shared" si="29"/>
        <v>0.8</v>
      </c>
      <c r="AB23" s="47">
        <f t="shared" si="29"/>
        <v>0.8</v>
      </c>
      <c r="AC23" s="47">
        <f t="shared" si="29"/>
        <v>0.8</v>
      </c>
      <c r="AD23" s="47">
        <f t="shared" si="29"/>
        <v>0.8</v>
      </c>
      <c r="AE23" s="47">
        <f t="shared" si="29"/>
        <v>0.8</v>
      </c>
      <c r="AF23" s="47">
        <f t="shared" si="29"/>
        <v>0.8</v>
      </c>
      <c r="AG23" s="47">
        <f t="shared" si="29"/>
        <v>0.8</v>
      </c>
      <c r="AH23" s="47">
        <f t="shared" si="29"/>
        <v>0.8</v>
      </c>
      <c r="AI23" s="194"/>
      <c r="AJ23" s="194"/>
      <c r="AK23" s="194"/>
      <c r="AL23" s="194"/>
      <c r="AM23" s="194"/>
      <c r="AN23" s="194"/>
      <c r="AO23" s="194"/>
      <c r="AP23" s="194"/>
      <c r="AQ23" s="194"/>
      <c r="AR23" s="194"/>
      <c r="AS23" s="194"/>
      <c r="AT23" s="194"/>
      <c r="AU23" s="194"/>
      <c r="AV23" s="194"/>
      <c r="AW23" s="194"/>
    </row>
    <row r="24" spans="1:49">
      <c r="A24" t="s">
        <v>16</v>
      </c>
      <c r="B24" s="3" t="s">
        <v>368</v>
      </c>
      <c r="C24" s="3" t="s">
        <v>755</v>
      </c>
      <c r="F24" s="293">
        <v>0</v>
      </c>
      <c r="G24" s="293">
        <v>0</v>
      </c>
      <c r="H24" s="293">
        <v>0</v>
      </c>
      <c r="I24" s="293">
        <v>0</v>
      </c>
      <c r="J24" s="293">
        <v>0.2</v>
      </c>
      <c r="K24" s="47">
        <f t="shared" si="22"/>
        <v>0.8</v>
      </c>
      <c r="L24" s="47">
        <f t="shared" si="23"/>
        <v>0.8</v>
      </c>
      <c r="M24" s="47">
        <f t="shared" si="23"/>
        <v>0.8</v>
      </c>
      <c r="N24" s="47">
        <f t="shared" si="23"/>
        <v>0.8</v>
      </c>
      <c r="P24" s="47">
        <f>F24</f>
        <v>0</v>
      </c>
      <c r="Q24" s="47">
        <f t="shared" ref="Q24:T24" si="31">G24</f>
        <v>0</v>
      </c>
      <c r="R24" s="47">
        <f t="shared" si="31"/>
        <v>0</v>
      </c>
      <c r="S24" s="47">
        <f t="shared" si="31"/>
        <v>0</v>
      </c>
      <c r="T24" s="47">
        <f t="shared" si="31"/>
        <v>0.2</v>
      </c>
      <c r="U24" s="47">
        <v>0.8</v>
      </c>
      <c r="V24" s="47">
        <f t="shared" si="28"/>
        <v>0.8</v>
      </c>
      <c r="W24" s="47">
        <f t="shared" si="28"/>
        <v>0.8</v>
      </c>
      <c r="X24" s="47">
        <f t="shared" si="28"/>
        <v>0.8</v>
      </c>
      <c r="Y24" s="194"/>
      <c r="Z24" s="47">
        <f>F24</f>
        <v>0</v>
      </c>
      <c r="AA24" s="47">
        <f t="shared" ref="AA24:AD24" si="32">G24</f>
        <v>0</v>
      </c>
      <c r="AB24" s="47">
        <f t="shared" si="32"/>
        <v>0</v>
      </c>
      <c r="AC24" s="47">
        <f t="shared" si="32"/>
        <v>0</v>
      </c>
      <c r="AD24" s="47">
        <f t="shared" si="32"/>
        <v>0.2</v>
      </c>
      <c r="AE24" s="47">
        <v>0.8</v>
      </c>
      <c r="AF24" s="47">
        <f t="shared" si="29"/>
        <v>0.8</v>
      </c>
      <c r="AG24" s="47">
        <f t="shared" si="29"/>
        <v>0.8</v>
      </c>
      <c r="AH24" s="47">
        <f t="shared" si="29"/>
        <v>0.8</v>
      </c>
      <c r="AI24" s="194"/>
      <c r="AJ24" s="194"/>
      <c r="AK24" s="194"/>
      <c r="AL24" s="194"/>
      <c r="AM24" s="194"/>
      <c r="AN24" s="194"/>
      <c r="AO24" s="194"/>
      <c r="AP24" s="194"/>
      <c r="AQ24" s="194"/>
      <c r="AR24" s="194"/>
      <c r="AS24" s="194"/>
      <c r="AT24" s="194"/>
      <c r="AU24" s="194"/>
      <c r="AV24" s="194"/>
      <c r="AW24" s="194"/>
    </row>
    <row r="25" spans="1:49">
      <c r="A25" t="s">
        <v>16</v>
      </c>
      <c r="B25" s="3" t="s">
        <v>367</v>
      </c>
      <c r="C25" s="3" t="s">
        <v>756</v>
      </c>
      <c r="F25" s="37">
        <v>0.8</v>
      </c>
      <c r="G25" s="47">
        <f t="shared" si="18"/>
        <v>0.8</v>
      </c>
      <c r="H25" s="47">
        <f t="shared" si="19"/>
        <v>0.8</v>
      </c>
      <c r="I25" s="293">
        <v>0.4</v>
      </c>
      <c r="J25" s="293">
        <v>0.4</v>
      </c>
      <c r="K25" s="47">
        <f t="shared" si="22"/>
        <v>0.8</v>
      </c>
      <c r="L25" s="47">
        <f t="shared" si="23"/>
        <v>0.8</v>
      </c>
      <c r="M25" s="47">
        <f t="shared" si="23"/>
        <v>0.8</v>
      </c>
      <c r="N25" s="47">
        <f t="shared" si="23"/>
        <v>0.8</v>
      </c>
      <c r="P25" s="47">
        <f t="shared" si="24"/>
        <v>0.8</v>
      </c>
      <c r="Q25" s="47">
        <f t="shared" si="28"/>
        <v>0.8</v>
      </c>
      <c r="R25" s="47">
        <f t="shared" si="28"/>
        <v>0.8</v>
      </c>
      <c r="S25" s="47">
        <f t="shared" si="28"/>
        <v>0.8</v>
      </c>
      <c r="T25" s="47">
        <f t="shared" si="28"/>
        <v>0.8</v>
      </c>
      <c r="U25" s="47">
        <f t="shared" si="28"/>
        <v>0.8</v>
      </c>
      <c r="V25" s="47">
        <f t="shared" si="28"/>
        <v>0.8</v>
      </c>
      <c r="W25" s="47">
        <f t="shared" si="28"/>
        <v>0.8</v>
      </c>
      <c r="X25" s="47">
        <f t="shared" si="28"/>
        <v>0.8</v>
      </c>
      <c r="Y25" s="194"/>
      <c r="Z25" s="47">
        <f t="shared" si="26"/>
        <v>0.8</v>
      </c>
      <c r="AA25" s="47">
        <f t="shared" si="29"/>
        <v>0.8</v>
      </c>
      <c r="AB25" s="47">
        <f t="shared" si="29"/>
        <v>0.8</v>
      </c>
      <c r="AC25" s="47">
        <f t="shared" si="29"/>
        <v>0.8</v>
      </c>
      <c r="AD25" s="47">
        <f t="shared" si="29"/>
        <v>0.8</v>
      </c>
      <c r="AE25" s="47">
        <f t="shared" si="29"/>
        <v>0.8</v>
      </c>
      <c r="AF25" s="47">
        <f t="shared" si="29"/>
        <v>0.8</v>
      </c>
      <c r="AG25" s="47">
        <f t="shared" si="29"/>
        <v>0.8</v>
      </c>
      <c r="AH25" s="47">
        <f t="shared" si="29"/>
        <v>0.8</v>
      </c>
      <c r="AI25" s="194"/>
      <c r="AJ25" s="194"/>
      <c r="AK25" s="194"/>
      <c r="AL25" s="194"/>
      <c r="AM25" s="194"/>
      <c r="AN25" s="194"/>
      <c r="AO25" s="194"/>
      <c r="AP25" s="194"/>
      <c r="AQ25" s="194"/>
      <c r="AR25" s="194"/>
      <c r="AS25" s="194"/>
      <c r="AT25" s="194"/>
      <c r="AU25" s="194"/>
      <c r="AV25" s="194"/>
      <c r="AW25" s="194"/>
    </row>
    <row r="26" spans="1:49" ht="15.75" thickBot="1">
      <c r="A26" t="s">
        <v>16</v>
      </c>
      <c r="B26" s="3"/>
      <c r="C26" s="3"/>
      <c r="P26" s="3"/>
      <c r="R26" s="3"/>
      <c r="T26" s="3"/>
      <c r="U26" s="3"/>
      <c r="V26" s="3"/>
      <c r="W26" s="3"/>
      <c r="X26" s="3"/>
      <c r="Y26" s="3"/>
      <c r="Z26" s="3"/>
      <c r="AA26" s="3"/>
      <c r="AB26" s="3"/>
      <c r="AD26" s="217" t="s">
        <v>781</v>
      </c>
      <c r="AE26" s="3"/>
      <c r="AF26" s="3"/>
      <c r="AG26" s="3"/>
      <c r="AH26" s="3"/>
      <c r="AI26" s="3"/>
      <c r="AJ26" s="3"/>
      <c r="AK26" s="3"/>
      <c r="AL26" s="3"/>
      <c r="AM26" s="3"/>
      <c r="AN26" s="3"/>
      <c r="AO26" s="3"/>
      <c r="AP26" s="3"/>
      <c r="AQ26" s="3"/>
      <c r="AR26" s="3"/>
      <c r="AS26" s="3"/>
      <c r="AT26" s="3"/>
      <c r="AU26" s="3"/>
      <c r="AV26" s="3"/>
      <c r="AW26" s="3"/>
    </row>
    <row r="27" spans="1:49" ht="15.75" thickBot="1">
      <c r="A27" t="s">
        <v>16</v>
      </c>
      <c r="B27" s="9" t="s">
        <v>141</v>
      </c>
      <c r="C27" s="9"/>
      <c r="AD27" s="161">
        <v>0.95</v>
      </c>
    </row>
    <row r="28" spans="1:49">
      <c r="A28" t="s">
        <v>16</v>
      </c>
      <c r="B28" s="3" t="s">
        <v>397</v>
      </c>
      <c r="C28" s="3" t="s">
        <v>746</v>
      </c>
      <c r="D28" t="s">
        <v>39</v>
      </c>
      <c r="F28" s="195">
        <f>F51/F$60</f>
        <v>1.1310877688817864E-2</v>
      </c>
      <c r="G28" s="48">
        <f t="shared" ref="G28:G35" si="33">F28</f>
        <v>1.1310877688817864E-2</v>
      </c>
      <c r="H28" s="48">
        <f t="shared" ref="H28:H35" si="34">G28</f>
        <v>1.1310877688817864E-2</v>
      </c>
      <c r="I28" s="48">
        <f t="shared" ref="I28:I35" si="35">H28</f>
        <v>1.1310877688817864E-2</v>
      </c>
      <c r="J28" s="48">
        <f t="shared" ref="J28:N35" si="36">IF($D$4,AD28,T28)</f>
        <v>1.0745333804376971E-2</v>
      </c>
      <c r="K28" s="48">
        <f t="shared" si="36"/>
        <v>1.0208067114158122E-2</v>
      </c>
      <c r="L28" s="48">
        <f t="shared" si="36"/>
        <v>9.6976637584502146E-3</v>
      </c>
      <c r="M28" s="48">
        <f t="shared" si="36"/>
        <v>9.2127805705277035E-3</v>
      </c>
      <c r="N28" s="48">
        <f t="shared" si="36"/>
        <v>8.7521415420013186E-3</v>
      </c>
      <c r="P28" s="196">
        <f t="shared" ref="P28:P36" si="37">$F28</f>
        <v>1.1310877688817864E-2</v>
      </c>
      <c r="Q28" s="196">
        <f>P28</f>
        <v>1.1310877688817864E-2</v>
      </c>
      <c r="R28" s="196">
        <f>Q28</f>
        <v>1.1310877688817864E-2</v>
      </c>
      <c r="S28" s="196">
        <f>R28</f>
        <v>1.1310877688817864E-2</v>
      </c>
      <c r="T28" s="25">
        <f t="shared" ref="T28:T35" si="38">R28</f>
        <v>1.1310877688817864E-2</v>
      </c>
      <c r="U28" s="25">
        <f t="shared" ref="U28:U35" si="39">T28</f>
        <v>1.1310877688817864E-2</v>
      </c>
      <c r="V28" s="25">
        <f t="shared" ref="V28:X35" si="40">R28</f>
        <v>1.1310877688817864E-2</v>
      </c>
      <c r="W28" s="25">
        <f t="shared" si="40"/>
        <v>1.1310877688817864E-2</v>
      </c>
      <c r="X28" s="25">
        <f t="shared" si="40"/>
        <v>1.1310877688817864E-2</v>
      </c>
      <c r="Y28" s="197"/>
      <c r="Z28" s="196">
        <f>P28</f>
        <v>1.1310877688817864E-2</v>
      </c>
      <c r="AA28" s="196">
        <f>Q28</f>
        <v>1.1310877688817864E-2</v>
      </c>
      <c r="AB28" s="196">
        <f>R28</f>
        <v>1.1310877688817864E-2</v>
      </c>
      <c r="AC28" s="196">
        <f>S28</f>
        <v>1.1310877688817864E-2</v>
      </c>
      <c r="AD28" s="218">
        <f>AC28*$AD$27</f>
        <v>1.0745333804376971E-2</v>
      </c>
      <c r="AE28" s="218">
        <f t="shared" ref="AE28:AH28" si="41">AD28*$AD$27</f>
        <v>1.0208067114158122E-2</v>
      </c>
      <c r="AF28" s="218">
        <f t="shared" si="41"/>
        <v>9.6976637584502146E-3</v>
      </c>
      <c r="AG28" s="218">
        <f t="shared" si="41"/>
        <v>9.2127805705277035E-3</v>
      </c>
      <c r="AH28" s="218">
        <f t="shared" si="41"/>
        <v>8.7521415420013186E-3</v>
      </c>
      <c r="AI28" s="197"/>
      <c r="AM28" s="197"/>
      <c r="AP28" s="218">
        <v>9.7864749964441684E-3</v>
      </c>
      <c r="AQ28" s="218">
        <v>8.3185037469775437E-3</v>
      </c>
      <c r="AR28" s="56">
        <v>7.0707281849309118E-3</v>
      </c>
      <c r="AS28" s="197"/>
      <c r="AT28" s="197"/>
      <c r="AU28" s="197"/>
      <c r="AV28" s="197"/>
      <c r="AW28" s="197"/>
    </row>
    <row r="29" spans="1:49">
      <c r="A29" t="s">
        <v>16</v>
      </c>
      <c r="B29" s="3" t="s">
        <v>398</v>
      </c>
      <c r="C29" s="3" t="s">
        <v>747</v>
      </c>
      <c r="F29" s="195">
        <f>F52/F$60</f>
        <v>7.4488324862735031E-2</v>
      </c>
      <c r="G29" s="48">
        <f t="shared" si="33"/>
        <v>7.4488324862735031E-2</v>
      </c>
      <c r="H29" s="48">
        <f t="shared" si="34"/>
        <v>7.4488324862735031E-2</v>
      </c>
      <c r="I29" s="48">
        <f t="shared" si="35"/>
        <v>7.4488324862735031E-2</v>
      </c>
      <c r="J29" s="48">
        <f t="shared" si="36"/>
        <v>7.0763908619598276E-2</v>
      </c>
      <c r="K29" s="48">
        <f t="shared" si="36"/>
        <v>6.7225713188618363E-2</v>
      </c>
      <c r="L29" s="48">
        <f t="shared" si="36"/>
        <v>6.3864427529187445E-2</v>
      </c>
      <c r="M29" s="48">
        <f t="shared" si="36"/>
        <v>6.0671206152728072E-2</v>
      </c>
      <c r="N29" s="48">
        <f t="shared" si="36"/>
        <v>5.7637645845091665E-2</v>
      </c>
      <c r="P29" s="196">
        <f t="shared" si="37"/>
        <v>7.4488324862735031E-2</v>
      </c>
      <c r="Q29" s="196">
        <f t="shared" ref="Q29:R35" si="42">P29</f>
        <v>7.4488324862735031E-2</v>
      </c>
      <c r="R29" s="196">
        <f t="shared" si="42"/>
        <v>7.4488324862735031E-2</v>
      </c>
      <c r="S29" s="196">
        <f t="shared" ref="S29" si="43">R29</f>
        <v>7.4488324862735031E-2</v>
      </c>
      <c r="T29" s="25">
        <f t="shared" si="38"/>
        <v>7.4488324862735031E-2</v>
      </c>
      <c r="U29" s="25">
        <f t="shared" si="39"/>
        <v>7.4488324862735031E-2</v>
      </c>
      <c r="V29" s="25">
        <f t="shared" si="40"/>
        <v>7.4488324862735031E-2</v>
      </c>
      <c r="W29" s="25">
        <f t="shared" si="40"/>
        <v>7.4488324862735031E-2</v>
      </c>
      <c r="X29" s="25">
        <f t="shared" si="40"/>
        <v>7.4488324862735031E-2</v>
      </c>
      <c r="Y29" s="197"/>
      <c r="Z29" s="196">
        <f t="shared" ref="Z29:Z36" si="44">P29</f>
        <v>7.4488324862735031E-2</v>
      </c>
      <c r="AA29" s="196">
        <f t="shared" ref="AA29:AA35" si="45">Q29</f>
        <v>7.4488324862735031E-2</v>
      </c>
      <c r="AB29" s="196">
        <f t="shared" ref="AB29:AB35" si="46">R29</f>
        <v>7.4488324862735031E-2</v>
      </c>
      <c r="AC29" s="196">
        <f t="shared" ref="AC29:AC35" si="47">S29</f>
        <v>7.4488324862735031E-2</v>
      </c>
      <c r="AD29" s="218">
        <f t="shared" ref="AD29:AH29" si="48">AC29*$AD$27</f>
        <v>7.0763908619598276E-2</v>
      </c>
      <c r="AE29" s="218">
        <f t="shared" si="48"/>
        <v>6.7225713188618363E-2</v>
      </c>
      <c r="AF29" s="218">
        <f t="shared" si="48"/>
        <v>6.3864427529187445E-2</v>
      </c>
      <c r="AG29" s="218">
        <f t="shared" si="48"/>
        <v>6.0671206152728072E-2</v>
      </c>
      <c r="AH29" s="218">
        <f t="shared" si="48"/>
        <v>5.7637645845091665E-2</v>
      </c>
      <c r="AI29" s="197"/>
      <c r="AM29" s="197"/>
      <c r="AP29" s="54">
        <v>6.5492845584742485E-2</v>
      </c>
      <c r="AQ29" s="218">
        <v>5.5668918747031108E-2</v>
      </c>
      <c r="AR29" s="56">
        <v>4.7318580934976442E-2</v>
      </c>
      <c r="AS29" s="197"/>
      <c r="AT29" s="197"/>
      <c r="AU29" s="197"/>
      <c r="AV29" s="197"/>
      <c r="AW29" s="197"/>
    </row>
    <row r="30" spans="1:49">
      <c r="A30" t="s">
        <v>16</v>
      </c>
      <c r="B30" s="3" t="s">
        <v>399</v>
      </c>
      <c r="C30" s="3" t="s">
        <v>748</v>
      </c>
      <c r="F30" s="195">
        <f t="shared" ref="F30:F35" si="49">F53/F$60</f>
        <v>2.1367810388246332E-2</v>
      </c>
      <c r="G30" s="48">
        <f t="shared" si="33"/>
        <v>2.1367810388246332E-2</v>
      </c>
      <c r="H30" s="48">
        <f t="shared" si="34"/>
        <v>2.1367810388246332E-2</v>
      </c>
      <c r="I30" s="48">
        <f t="shared" si="35"/>
        <v>2.1367810388246332E-2</v>
      </c>
      <c r="J30" s="48">
        <f t="shared" si="36"/>
        <v>2.0299419868834014E-2</v>
      </c>
      <c r="K30" s="48">
        <f t="shared" si="36"/>
        <v>1.9284448875392313E-2</v>
      </c>
      <c r="L30" s="48">
        <f t="shared" si="36"/>
        <v>1.8320226431622698E-2</v>
      </c>
      <c r="M30" s="48">
        <f t="shared" si="36"/>
        <v>1.7404215110041563E-2</v>
      </c>
      <c r="N30" s="48">
        <f t="shared" si="36"/>
        <v>1.6534004354539486E-2</v>
      </c>
      <c r="P30" s="196">
        <f t="shared" si="37"/>
        <v>2.1367810388246332E-2</v>
      </c>
      <c r="Q30" s="196">
        <f t="shared" si="42"/>
        <v>2.1367810388246332E-2</v>
      </c>
      <c r="R30" s="196">
        <f t="shared" si="42"/>
        <v>2.1367810388246332E-2</v>
      </c>
      <c r="S30" s="196">
        <f t="shared" ref="S30" si="50">R30</f>
        <v>2.1367810388246332E-2</v>
      </c>
      <c r="T30" s="25">
        <f t="shared" si="38"/>
        <v>2.1367810388246332E-2</v>
      </c>
      <c r="U30" s="25">
        <f t="shared" si="39"/>
        <v>2.1367810388246332E-2</v>
      </c>
      <c r="V30" s="25">
        <f t="shared" si="40"/>
        <v>2.1367810388246332E-2</v>
      </c>
      <c r="W30" s="25">
        <f t="shared" si="40"/>
        <v>2.1367810388246332E-2</v>
      </c>
      <c r="X30" s="25">
        <f t="shared" si="40"/>
        <v>2.1367810388246332E-2</v>
      </c>
      <c r="Y30" s="197"/>
      <c r="Z30" s="196">
        <f t="shared" si="44"/>
        <v>2.1367810388246332E-2</v>
      </c>
      <c r="AA30" s="196">
        <f t="shared" si="45"/>
        <v>2.1367810388246332E-2</v>
      </c>
      <c r="AB30" s="196">
        <f t="shared" si="46"/>
        <v>2.1367810388246332E-2</v>
      </c>
      <c r="AC30" s="196">
        <f t="shared" si="47"/>
        <v>2.1367810388246332E-2</v>
      </c>
      <c r="AD30" s="218">
        <f t="shared" ref="AD30:AH30" si="51">AC30*$AD$27</f>
        <v>2.0299419868834014E-2</v>
      </c>
      <c r="AE30" s="218">
        <f t="shared" si="51"/>
        <v>1.9284448875392313E-2</v>
      </c>
      <c r="AF30" s="218">
        <f t="shared" si="51"/>
        <v>1.8320226431622698E-2</v>
      </c>
      <c r="AG30" s="218">
        <f t="shared" si="51"/>
        <v>1.7404215110041563E-2</v>
      </c>
      <c r="AH30" s="218">
        <f t="shared" si="51"/>
        <v>1.6534004354539486E-2</v>
      </c>
      <c r="AI30" s="197"/>
      <c r="AM30" s="197"/>
      <c r="AP30" s="54">
        <v>2.1843528378332117E-2</v>
      </c>
      <c r="AQ30" s="218">
        <v>1.8566999121582297E-2</v>
      </c>
      <c r="AR30" s="56">
        <v>1.5781949253344953E-2</v>
      </c>
      <c r="AS30" s="197"/>
      <c r="AT30" s="197"/>
      <c r="AU30" s="197"/>
      <c r="AV30" s="197"/>
      <c r="AW30" s="197"/>
    </row>
    <row r="31" spans="1:49">
      <c r="A31" t="s">
        <v>16</v>
      </c>
      <c r="B31" s="3" t="s">
        <v>400</v>
      </c>
      <c r="C31" s="3" t="s">
        <v>749</v>
      </c>
      <c r="F31" s="195">
        <f t="shared" si="49"/>
        <v>1.4627762918736976E-2</v>
      </c>
      <c r="G31" s="48">
        <f t="shared" si="33"/>
        <v>1.4627762918736976E-2</v>
      </c>
      <c r="H31" s="48">
        <f t="shared" si="34"/>
        <v>1.4627762918736976E-2</v>
      </c>
      <c r="I31" s="48">
        <f t="shared" si="35"/>
        <v>1.4627762918736976E-2</v>
      </c>
      <c r="J31" s="48">
        <f t="shared" si="36"/>
        <v>1.3896374772800127E-2</v>
      </c>
      <c r="K31" s="48">
        <f t="shared" si="36"/>
        <v>1.3201556034160121E-2</v>
      </c>
      <c r="L31" s="48">
        <f t="shared" si="36"/>
        <v>1.2541478232452115E-2</v>
      </c>
      <c r="M31" s="48">
        <f t="shared" si="36"/>
        <v>1.1914404320829509E-2</v>
      </c>
      <c r="N31" s="48">
        <f t="shared" si="36"/>
        <v>1.1318684104788033E-2</v>
      </c>
      <c r="P31" s="196">
        <f t="shared" si="37"/>
        <v>1.4627762918736976E-2</v>
      </c>
      <c r="Q31" s="196">
        <f t="shared" si="42"/>
        <v>1.4627762918736976E-2</v>
      </c>
      <c r="R31" s="196">
        <f t="shared" si="42"/>
        <v>1.4627762918736976E-2</v>
      </c>
      <c r="S31" s="196">
        <f t="shared" ref="S31" si="52">R31</f>
        <v>1.4627762918736976E-2</v>
      </c>
      <c r="T31" s="25">
        <f t="shared" si="38"/>
        <v>1.4627762918736976E-2</v>
      </c>
      <c r="U31" s="25">
        <f t="shared" si="39"/>
        <v>1.4627762918736976E-2</v>
      </c>
      <c r="V31" s="25">
        <f t="shared" si="40"/>
        <v>1.4627762918736976E-2</v>
      </c>
      <c r="W31" s="25">
        <f t="shared" si="40"/>
        <v>1.4627762918736976E-2</v>
      </c>
      <c r="X31" s="25">
        <f t="shared" si="40"/>
        <v>1.4627762918736976E-2</v>
      </c>
      <c r="Y31" s="197"/>
      <c r="Z31" s="196">
        <f t="shared" si="44"/>
        <v>1.4627762918736976E-2</v>
      </c>
      <c r="AA31" s="196">
        <f t="shared" si="45"/>
        <v>1.4627762918736976E-2</v>
      </c>
      <c r="AB31" s="196">
        <f t="shared" si="46"/>
        <v>1.4627762918736976E-2</v>
      </c>
      <c r="AC31" s="196">
        <f t="shared" si="47"/>
        <v>1.4627762918736976E-2</v>
      </c>
      <c r="AD31" s="218">
        <f t="shared" ref="AD31:AH31" si="53">AC31*$AD$27</f>
        <v>1.3896374772800127E-2</v>
      </c>
      <c r="AE31" s="218">
        <f t="shared" si="53"/>
        <v>1.3201556034160121E-2</v>
      </c>
      <c r="AF31" s="218">
        <f t="shared" si="53"/>
        <v>1.2541478232452115E-2</v>
      </c>
      <c r="AG31" s="218">
        <f t="shared" si="53"/>
        <v>1.1914404320829509E-2</v>
      </c>
      <c r="AH31" s="218">
        <f t="shared" si="53"/>
        <v>1.1318684104788033E-2</v>
      </c>
      <c r="AI31" s="197"/>
      <c r="AM31" s="197"/>
      <c r="AP31" s="54">
        <v>1.316775848625332E-2</v>
      </c>
      <c r="AQ31" s="218">
        <v>1.1192594713315322E-2</v>
      </c>
      <c r="AR31" s="56">
        <v>9.513705506318023E-3</v>
      </c>
      <c r="AS31" s="197"/>
      <c r="AT31" s="197"/>
      <c r="AU31" s="197"/>
      <c r="AV31" s="197"/>
      <c r="AW31" s="197"/>
    </row>
    <row r="32" spans="1:49">
      <c r="A32" t="s">
        <v>16</v>
      </c>
      <c r="B32" s="3" t="s">
        <v>401</v>
      </c>
      <c r="C32" s="3" t="s">
        <v>750</v>
      </c>
      <c r="F32" s="195">
        <f t="shared" si="49"/>
        <v>0.58639103006054849</v>
      </c>
      <c r="G32" s="48">
        <v>0.6</v>
      </c>
      <c r="H32" s="48">
        <v>0.60599999999999998</v>
      </c>
      <c r="I32" s="277">
        <v>0.61</v>
      </c>
      <c r="J32" s="48">
        <f>F32</f>
        <v>0.58639103006054849</v>
      </c>
      <c r="K32" s="48">
        <f t="shared" si="36"/>
        <v>0.52921790462964491</v>
      </c>
      <c r="L32" s="48">
        <f t="shared" si="36"/>
        <v>0.50275700939816259</v>
      </c>
      <c r="M32" s="48">
        <f t="shared" si="36"/>
        <v>0.47761915892825446</v>
      </c>
      <c r="N32" s="48">
        <f t="shared" si="36"/>
        <v>0.4537382009818417</v>
      </c>
      <c r="P32" s="196">
        <f t="shared" si="37"/>
        <v>0.58639103006054849</v>
      </c>
      <c r="Q32" s="196">
        <f t="shared" si="42"/>
        <v>0.58639103006054849</v>
      </c>
      <c r="R32" s="277">
        <f>I32</f>
        <v>0.61</v>
      </c>
      <c r="S32" s="196">
        <f>Q32</f>
        <v>0.58639103006054849</v>
      </c>
      <c r="T32" s="25">
        <f>S32</f>
        <v>0.58639103006054849</v>
      </c>
      <c r="U32" s="25">
        <f t="shared" si="39"/>
        <v>0.58639103006054849</v>
      </c>
      <c r="V32" s="25">
        <f t="shared" ref="V32:X32" si="54">U32</f>
        <v>0.58639103006054849</v>
      </c>
      <c r="W32" s="25">
        <f t="shared" si="54"/>
        <v>0.58639103006054849</v>
      </c>
      <c r="X32" s="25">
        <f t="shared" si="54"/>
        <v>0.58639103006054849</v>
      </c>
      <c r="Y32" s="197"/>
      <c r="Z32" s="196">
        <f t="shared" si="44"/>
        <v>0.58639103006054849</v>
      </c>
      <c r="AA32" s="196">
        <f t="shared" si="45"/>
        <v>0.58639103006054849</v>
      </c>
      <c r="AB32" s="196">
        <f t="shared" si="46"/>
        <v>0.61</v>
      </c>
      <c r="AC32" s="196">
        <f t="shared" si="47"/>
        <v>0.58639103006054849</v>
      </c>
      <c r="AD32" s="218">
        <f t="shared" ref="AD32:AH32" si="55">AC32*$AD$27</f>
        <v>0.55707147855752104</v>
      </c>
      <c r="AE32" s="218">
        <f t="shared" si="55"/>
        <v>0.52921790462964491</v>
      </c>
      <c r="AF32" s="218">
        <f t="shared" si="55"/>
        <v>0.50275700939816259</v>
      </c>
      <c r="AG32" s="218">
        <f t="shared" si="55"/>
        <v>0.47761915892825446</v>
      </c>
      <c r="AH32" s="218">
        <f t="shared" si="55"/>
        <v>0.4537382009818417</v>
      </c>
      <c r="AI32" s="197"/>
      <c r="AM32" s="197"/>
      <c r="AP32" s="54">
        <v>0.43256392509058594</v>
      </c>
      <c r="AQ32" s="218">
        <v>0.36767933632699806</v>
      </c>
      <c r="AR32" s="56">
        <v>0.31252743587794835</v>
      </c>
      <c r="AS32" s="197"/>
      <c r="AT32" s="197"/>
      <c r="AU32" s="197"/>
      <c r="AV32" s="197"/>
      <c r="AW32" s="197"/>
    </row>
    <row r="33" spans="1:49">
      <c r="A33" t="s">
        <v>16</v>
      </c>
      <c r="B33" s="3" t="s">
        <v>402</v>
      </c>
      <c r="C33" s="3" t="s">
        <v>751</v>
      </c>
      <c r="F33" s="195">
        <f t="shared" si="49"/>
        <v>0.17957151280249187</v>
      </c>
      <c r="G33" s="48">
        <f t="shared" si="33"/>
        <v>0.17957151280249187</v>
      </c>
      <c r="H33" s="48">
        <f t="shared" si="34"/>
        <v>0.17957151280249187</v>
      </c>
      <c r="I33" s="48">
        <f t="shared" si="35"/>
        <v>0.17957151280249187</v>
      </c>
      <c r="J33" s="48">
        <f t="shared" si="36"/>
        <v>0.17059293716236726</v>
      </c>
      <c r="K33" s="48">
        <f t="shared" si="36"/>
        <v>0.16206329030424887</v>
      </c>
      <c r="L33" s="48">
        <f t="shared" si="36"/>
        <v>0.15396012578903642</v>
      </c>
      <c r="M33" s="48">
        <f t="shared" si="36"/>
        <v>0.14626211949958459</v>
      </c>
      <c r="N33" s="48">
        <f t="shared" si="36"/>
        <v>0.13894901352460537</v>
      </c>
      <c r="P33" s="196">
        <f t="shared" si="37"/>
        <v>0.17957151280249187</v>
      </c>
      <c r="Q33" s="196">
        <f t="shared" si="42"/>
        <v>0.17957151280249187</v>
      </c>
      <c r="R33" s="196">
        <f t="shared" si="42"/>
        <v>0.17957151280249187</v>
      </c>
      <c r="S33" s="196">
        <f t="shared" ref="S33" si="56">R33</f>
        <v>0.17957151280249187</v>
      </c>
      <c r="T33" s="25">
        <f t="shared" si="38"/>
        <v>0.17957151280249187</v>
      </c>
      <c r="U33" s="25">
        <f t="shared" si="39"/>
        <v>0.17957151280249187</v>
      </c>
      <c r="V33" s="25">
        <f t="shared" si="40"/>
        <v>0.17957151280249187</v>
      </c>
      <c r="W33" s="25">
        <f t="shared" si="40"/>
        <v>0.17957151280249187</v>
      </c>
      <c r="X33" s="25">
        <f t="shared" si="40"/>
        <v>0.17957151280249187</v>
      </c>
      <c r="Y33" s="197"/>
      <c r="Z33" s="196">
        <f t="shared" si="44"/>
        <v>0.17957151280249187</v>
      </c>
      <c r="AA33" s="196">
        <f t="shared" si="45"/>
        <v>0.17957151280249187</v>
      </c>
      <c r="AB33" s="196">
        <f t="shared" si="46"/>
        <v>0.17957151280249187</v>
      </c>
      <c r="AC33" s="196">
        <f t="shared" si="47"/>
        <v>0.17957151280249187</v>
      </c>
      <c r="AD33" s="218">
        <f t="shared" ref="AD33:AH33" si="57">AC33*$AD$27</f>
        <v>0.17059293716236726</v>
      </c>
      <c r="AE33" s="218">
        <f t="shared" si="57"/>
        <v>0.16206329030424887</v>
      </c>
      <c r="AF33" s="218">
        <f t="shared" si="57"/>
        <v>0.15396012578903642</v>
      </c>
      <c r="AG33" s="218">
        <f t="shared" si="57"/>
        <v>0.14626211949958459</v>
      </c>
      <c r="AH33" s="218">
        <f t="shared" si="57"/>
        <v>0.13894901352460537</v>
      </c>
      <c r="AI33" s="197"/>
      <c r="AM33" s="197"/>
      <c r="AP33" s="54">
        <v>0.15199325034036584</v>
      </c>
      <c r="AQ33" s="218">
        <v>0.12919426278931095</v>
      </c>
      <c r="AR33" s="56">
        <v>0.10981512337091431</v>
      </c>
      <c r="AS33" s="197"/>
      <c r="AT33" s="197"/>
      <c r="AU33" s="197"/>
      <c r="AV33" s="197"/>
      <c r="AW33" s="197"/>
    </row>
    <row r="34" spans="1:49">
      <c r="A34" t="s">
        <v>16</v>
      </c>
      <c r="B34" s="3" t="s">
        <v>403</v>
      </c>
      <c r="C34" s="3" t="s">
        <v>752</v>
      </c>
      <c r="F34" s="195">
        <f t="shared" si="49"/>
        <v>1.0141010242039481E-2</v>
      </c>
      <c r="G34" s="48">
        <f t="shared" si="33"/>
        <v>1.0141010242039481E-2</v>
      </c>
      <c r="H34" s="48">
        <f t="shared" si="34"/>
        <v>1.0141010242039481E-2</v>
      </c>
      <c r="I34" s="48">
        <f t="shared" si="35"/>
        <v>1.0141010242039481E-2</v>
      </c>
      <c r="J34" s="48">
        <f t="shared" si="36"/>
        <v>9.6339597299375072E-3</v>
      </c>
      <c r="K34" s="48">
        <f t="shared" si="36"/>
        <v>9.152261743440632E-3</v>
      </c>
      <c r="L34" s="48">
        <f t="shared" si="36"/>
        <v>8.6946486562685995E-3</v>
      </c>
      <c r="M34" s="48">
        <f t="shared" si="36"/>
        <v>8.2599162234551684E-3</v>
      </c>
      <c r="N34" s="48">
        <f t="shared" si="36"/>
        <v>7.8469204122824099E-3</v>
      </c>
      <c r="P34" s="196">
        <f t="shared" si="37"/>
        <v>1.0141010242039481E-2</v>
      </c>
      <c r="Q34" s="196">
        <f t="shared" si="42"/>
        <v>1.0141010242039481E-2</v>
      </c>
      <c r="R34" s="196">
        <f t="shared" si="42"/>
        <v>1.0141010242039481E-2</v>
      </c>
      <c r="S34" s="196">
        <f t="shared" ref="S34" si="58">R34</f>
        <v>1.0141010242039481E-2</v>
      </c>
      <c r="T34" s="25">
        <f t="shared" si="38"/>
        <v>1.0141010242039481E-2</v>
      </c>
      <c r="U34" s="25">
        <f t="shared" si="39"/>
        <v>1.0141010242039481E-2</v>
      </c>
      <c r="V34" s="25">
        <f t="shared" si="40"/>
        <v>1.0141010242039481E-2</v>
      </c>
      <c r="W34" s="25">
        <f t="shared" si="40"/>
        <v>1.0141010242039481E-2</v>
      </c>
      <c r="X34" s="25">
        <f t="shared" si="40"/>
        <v>1.0141010242039481E-2</v>
      </c>
      <c r="Y34" s="197"/>
      <c r="Z34" s="196">
        <f t="shared" si="44"/>
        <v>1.0141010242039481E-2</v>
      </c>
      <c r="AA34" s="196">
        <f t="shared" si="45"/>
        <v>1.0141010242039481E-2</v>
      </c>
      <c r="AB34" s="196">
        <f t="shared" si="46"/>
        <v>1.0141010242039481E-2</v>
      </c>
      <c r="AC34" s="196">
        <f t="shared" si="47"/>
        <v>1.0141010242039481E-2</v>
      </c>
      <c r="AD34" s="218">
        <f t="shared" ref="AD34:AH34" si="59">AC34*$AD$27</f>
        <v>9.6339597299375072E-3</v>
      </c>
      <c r="AE34" s="218">
        <f t="shared" si="59"/>
        <v>9.152261743440632E-3</v>
      </c>
      <c r="AF34" s="218">
        <f t="shared" si="59"/>
        <v>8.6946486562685995E-3</v>
      </c>
      <c r="AG34" s="218">
        <f t="shared" si="59"/>
        <v>8.2599162234551684E-3</v>
      </c>
      <c r="AH34" s="218">
        <f t="shared" si="59"/>
        <v>7.8469204122824099E-3</v>
      </c>
      <c r="AI34" s="197"/>
      <c r="AM34" s="197"/>
      <c r="AP34" s="54">
        <v>5.5938512554391424E-3</v>
      </c>
      <c r="AQ34" s="218">
        <v>4.7547735671232706E-3</v>
      </c>
      <c r="AR34" s="56">
        <v>4.0415575320547799E-3</v>
      </c>
      <c r="AS34" s="197"/>
      <c r="AT34" s="197"/>
      <c r="AU34" s="197"/>
      <c r="AV34" s="197"/>
      <c r="AW34" s="197"/>
    </row>
    <row r="35" spans="1:49">
      <c r="A35" t="s">
        <v>16</v>
      </c>
      <c r="B35" s="3" t="s">
        <v>404</v>
      </c>
      <c r="C35" s="3" t="s">
        <v>753</v>
      </c>
      <c r="F35" s="195">
        <f t="shared" si="49"/>
        <v>2.9052410444323504E-3</v>
      </c>
      <c r="G35" s="48">
        <f t="shared" si="33"/>
        <v>2.9052410444323504E-3</v>
      </c>
      <c r="H35" s="48">
        <f t="shared" si="34"/>
        <v>2.9052410444323504E-3</v>
      </c>
      <c r="I35" s="48">
        <f t="shared" si="35"/>
        <v>2.9052410444323504E-3</v>
      </c>
      <c r="J35" s="48">
        <f t="shared" si="36"/>
        <v>2.7599789922107326E-3</v>
      </c>
      <c r="K35" s="48">
        <f t="shared" si="36"/>
        <v>2.6219800426001958E-3</v>
      </c>
      <c r="L35" s="48">
        <f t="shared" si="36"/>
        <v>2.4908810404701857E-3</v>
      </c>
      <c r="M35" s="48">
        <f t="shared" si="36"/>
        <v>2.3663369884466762E-3</v>
      </c>
      <c r="N35" s="48">
        <f t="shared" si="36"/>
        <v>2.2480201390243423E-3</v>
      </c>
      <c r="P35" s="196">
        <f t="shared" si="37"/>
        <v>2.9052410444323504E-3</v>
      </c>
      <c r="Q35" s="196">
        <f t="shared" si="42"/>
        <v>2.9052410444323504E-3</v>
      </c>
      <c r="R35" s="196">
        <f t="shared" si="42"/>
        <v>2.9052410444323504E-3</v>
      </c>
      <c r="S35" s="196">
        <f t="shared" ref="S35" si="60">R35</f>
        <v>2.9052410444323504E-3</v>
      </c>
      <c r="T35" s="25">
        <f t="shared" si="38"/>
        <v>2.9052410444323504E-3</v>
      </c>
      <c r="U35" s="25">
        <f t="shared" si="39"/>
        <v>2.9052410444323504E-3</v>
      </c>
      <c r="V35" s="25">
        <f t="shared" si="40"/>
        <v>2.9052410444323504E-3</v>
      </c>
      <c r="W35" s="25">
        <f t="shared" si="40"/>
        <v>2.9052410444323504E-3</v>
      </c>
      <c r="X35" s="25">
        <f t="shared" si="40"/>
        <v>2.9052410444323504E-3</v>
      </c>
      <c r="Y35" s="197"/>
      <c r="Z35" s="196">
        <f t="shared" si="44"/>
        <v>2.9052410444323504E-3</v>
      </c>
      <c r="AA35" s="196">
        <f t="shared" si="45"/>
        <v>2.9052410444323504E-3</v>
      </c>
      <c r="AB35" s="196">
        <f t="shared" si="46"/>
        <v>2.9052410444323504E-3</v>
      </c>
      <c r="AC35" s="196">
        <f t="shared" si="47"/>
        <v>2.9052410444323504E-3</v>
      </c>
      <c r="AD35" s="218">
        <f t="shared" ref="AD35:AH35" si="61">AC35*$AD$27</f>
        <v>2.7599789922107326E-3</v>
      </c>
      <c r="AE35" s="218">
        <f t="shared" si="61"/>
        <v>2.6219800426001958E-3</v>
      </c>
      <c r="AF35" s="218">
        <f t="shared" si="61"/>
        <v>2.4908810404701857E-3</v>
      </c>
      <c r="AG35" s="218">
        <f t="shared" si="61"/>
        <v>2.3663369884466762E-3</v>
      </c>
      <c r="AH35" s="218">
        <f t="shared" si="61"/>
        <v>2.2480201390243423E-3</v>
      </c>
      <c r="AI35" s="197"/>
      <c r="AM35" s="197"/>
      <c r="AP35" s="54">
        <v>4.9746960538483084E-3</v>
      </c>
      <c r="AQ35" s="218">
        <v>4.2284916457710616E-3</v>
      </c>
      <c r="AR35" s="56">
        <v>3.5942178989054022E-3</v>
      </c>
      <c r="AS35" s="197"/>
      <c r="AT35" s="197"/>
      <c r="AU35" s="197"/>
      <c r="AV35" s="197"/>
      <c r="AW35" s="197"/>
    </row>
    <row r="36" spans="1:49">
      <c r="A36" t="s">
        <v>16</v>
      </c>
      <c r="B36" s="3" t="s">
        <v>366</v>
      </c>
      <c r="C36" s="3" t="s">
        <v>754</v>
      </c>
      <c r="D36" t="s">
        <v>39</v>
      </c>
      <c r="F36" s="195">
        <f>F59/F$60</f>
        <v>9.9196429991951662E-2</v>
      </c>
      <c r="G36" s="48">
        <f t="shared" ref="G36:I36" si="62">1-SUM(G28:G35)</f>
        <v>8.5587460052500175E-2</v>
      </c>
      <c r="H36" s="48">
        <f t="shared" si="62"/>
        <v>7.958746005250017E-2</v>
      </c>
      <c r="I36" s="48">
        <f t="shared" si="62"/>
        <v>7.5587460052500166E-2</v>
      </c>
      <c r="J36" s="48">
        <f>1-SUM(J28:J35)</f>
        <v>0.11491705698932664</v>
      </c>
      <c r="K36" s="48">
        <f>1-SUM(K28:K35)</f>
        <v>0.18702477806773643</v>
      </c>
      <c r="L36" s="48">
        <f>1-SUM(L28:L35)</f>
        <v>0.22767353916434974</v>
      </c>
      <c r="M36" s="48">
        <f>1-SUM(M28:M35)</f>
        <v>0.26628986220613238</v>
      </c>
      <c r="N36" s="48">
        <f>1-SUM(N28:N35)</f>
        <v>0.30297536909582556</v>
      </c>
      <c r="P36" s="196">
        <f t="shared" si="37"/>
        <v>9.9196429991951662E-2</v>
      </c>
      <c r="Q36" s="48">
        <f t="shared" ref="Q36:X36" si="63">1-SUM(Q28:Q35)</f>
        <v>9.9196429991951662E-2</v>
      </c>
      <c r="R36" s="48">
        <f t="shared" si="63"/>
        <v>7.5587460052500166E-2</v>
      </c>
      <c r="S36" s="48">
        <f t="shared" si="63"/>
        <v>9.9196429991951662E-2</v>
      </c>
      <c r="T36" s="48">
        <f t="shared" si="63"/>
        <v>9.9196429991951662E-2</v>
      </c>
      <c r="U36" s="48">
        <f t="shared" si="63"/>
        <v>9.9196429991951662E-2</v>
      </c>
      <c r="V36" s="48">
        <f t="shared" ref="V36:W36" si="64">1-SUM(V28:V35)</f>
        <v>9.9196429991951662E-2</v>
      </c>
      <c r="W36" s="48">
        <f t="shared" si="64"/>
        <v>9.9196429991951662E-2</v>
      </c>
      <c r="X36" s="48">
        <f t="shared" si="63"/>
        <v>9.9196429991951662E-2</v>
      </c>
      <c r="Y36" s="197"/>
      <c r="Z36" s="196">
        <f t="shared" si="44"/>
        <v>9.9196429991951662E-2</v>
      </c>
      <c r="AA36" s="48">
        <f t="shared" ref="AA36:AH36" si="65">1-SUM(AA28:AA35)</f>
        <v>9.9196429991951662E-2</v>
      </c>
      <c r="AB36" s="48">
        <f t="shared" si="65"/>
        <v>7.5587460052500166E-2</v>
      </c>
      <c r="AC36" s="48">
        <f t="shared" si="65"/>
        <v>9.9196429991951662E-2</v>
      </c>
      <c r="AD36" s="48">
        <f t="shared" si="65"/>
        <v>0.14423660849235409</v>
      </c>
      <c r="AE36" s="48">
        <f t="shared" si="65"/>
        <v>0.18702477806773643</v>
      </c>
      <c r="AF36" s="48">
        <f t="shared" ref="AF36:AG36" si="66">1-SUM(AF28:AF35)</f>
        <v>0.22767353916434974</v>
      </c>
      <c r="AG36" s="48">
        <f t="shared" si="66"/>
        <v>0.26628986220613238</v>
      </c>
      <c r="AH36" s="48">
        <f t="shared" si="65"/>
        <v>0.30297536909582556</v>
      </c>
      <c r="AI36" s="197"/>
      <c r="AJ36" s="197"/>
      <c r="AK36" s="197"/>
      <c r="AL36" s="197"/>
      <c r="AM36" s="197"/>
      <c r="AN36" s="197"/>
      <c r="AO36" s="197"/>
      <c r="AP36" s="197"/>
      <c r="AQ36" s="197"/>
      <c r="AR36" s="197"/>
      <c r="AS36" s="197"/>
      <c r="AT36" s="197"/>
      <c r="AU36" s="197"/>
      <c r="AV36" s="197"/>
      <c r="AW36" s="197"/>
    </row>
    <row r="37" spans="1:49">
      <c r="A37" t="s">
        <v>16</v>
      </c>
    </row>
    <row r="38" spans="1:49" ht="15.75" thickBot="1">
      <c r="A38" t="s">
        <v>16</v>
      </c>
      <c r="B38" s="9" t="s">
        <v>417</v>
      </c>
      <c r="C38" s="9"/>
      <c r="D38" s="9"/>
    </row>
    <row r="39" spans="1:49">
      <c r="A39" t="s">
        <v>16</v>
      </c>
      <c r="B39" s="3" t="s">
        <v>396</v>
      </c>
      <c r="C39" s="3" t="s">
        <v>745</v>
      </c>
      <c r="D39" t="s">
        <v>39</v>
      </c>
      <c r="F39" s="195">
        <f>F46/F$48</f>
        <v>0.16642758048548645</v>
      </c>
      <c r="G39" s="294">
        <v>0.19</v>
      </c>
      <c r="H39" s="294">
        <f>G39</f>
        <v>0.19</v>
      </c>
      <c r="I39" s="294">
        <f>H39</f>
        <v>0.19</v>
      </c>
      <c r="J39" s="294">
        <v>0.19</v>
      </c>
      <c r="K39" s="48">
        <f>IF($D$4,AE39,U39)</f>
        <v>0.17147499999999999</v>
      </c>
      <c r="L39" s="48">
        <f>IF($D$4,AF39,V39)</f>
        <v>0.16290124999999997</v>
      </c>
      <c r="M39" s="48">
        <f>IF($D$4,AG39,W39)</f>
        <v>0.15475618749999998</v>
      </c>
      <c r="N39" s="48">
        <f>IF($D$4,AH39,X39)</f>
        <v>0.14701837812499996</v>
      </c>
      <c r="P39" s="196">
        <f>F39</f>
        <v>0.16642758048548645</v>
      </c>
      <c r="Q39" s="196">
        <f t="shared" ref="Q39:T39" si="67">G39</f>
        <v>0.19</v>
      </c>
      <c r="R39" s="196">
        <f t="shared" si="67"/>
        <v>0.19</v>
      </c>
      <c r="S39" s="196">
        <f t="shared" si="67"/>
        <v>0.19</v>
      </c>
      <c r="T39" s="196">
        <f t="shared" si="67"/>
        <v>0.19</v>
      </c>
      <c r="U39" s="25">
        <f>T39</f>
        <v>0.19</v>
      </c>
      <c r="V39" s="25">
        <f>U39</f>
        <v>0.19</v>
      </c>
      <c r="W39" s="25">
        <f t="shared" ref="W39:X39" si="68">V39</f>
        <v>0.19</v>
      </c>
      <c r="X39" s="25">
        <f t="shared" si="68"/>
        <v>0.19</v>
      </c>
      <c r="Y39" s="197"/>
      <c r="Z39" s="196">
        <f>P39</f>
        <v>0.16642758048548645</v>
      </c>
      <c r="AA39" s="196">
        <f>Q39</f>
        <v>0.19</v>
      </c>
      <c r="AB39" s="196">
        <f>R39</f>
        <v>0.19</v>
      </c>
      <c r="AC39" s="196">
        <f>S39</f>
        <v>0.19</v>
      </c>
      <c r="AD39" s="54">
        <f>AC39*$AD$27</f>
        <v>0.18049999999999999</v>
      </c>
      <c r="AE39" s="54">
        <f t="shared" ref="AE39:AH39" si="69">AD39*$AD$27</f>
        <v>0.17147499999999999</v>
      </c>
      <c r="AF39" s="54">
        <f t="shared" si="69"/>
        <v>0.16290124999999997</v>
      </c>
      <c r="AG39" s="54">
        <f t="shared" si="69"/>
        <v>0.15475618749999998</v>
      </c>
      <c r="AH39" s="54">
        <f t="shared" si="69"/>
        <v>0.14701837812499996</v>
      </c>
      <c r="AI39" s="197"/>
      <c r="AJ39" s="197"/>
      <c r="AK39" s="197"/>
      <c r="AL39" s="197"/>
      <c r="AM39" s="197"/>
      <c r="AN39" s="197"/>
      <c r="AO39" s="197"/>
      <c r="AP39" s="197"/>
      <c r="AQ39" s="197"/>
      <c r="AR39" s="197"/>
      <c r="AS39" s="197"/>
      <c r="AT39" s="197"/>
      <c r="AU39" s="197"/>
      <c r="AV39" s="197"/>
      <c r="AW39" s="197"/>
    </row>
    <row r="40" spans="1:49">
      <c r="A40" t="s">
        <v>16</v>
      </c>
      <c r="B40" s="3" t="s">
        <v>368</v>
      </c>
      <c r="C40" s="3" t="s">
        <v>755</v>
      </c>
      <c r="D40" t="s">
        <v>39</v>
      </c>
      <c r="F40" s="195">
        <f>F47/F$48</f>
        <v>0.83357241951451344</v>
      </c>
      <c r="G40" s="48">
        <f t="shared" ref="G40" si="70">1-G39</f>
        <v>0.81</v>
      </c>
      <c r="H40" s="48">
        <f t="shared" ref="H40:N40" si="71">1-H39</f>
        <v>0.81</v>
      </c>
      <c r="I40" s="48">
        <f t="shared" si="71"/>
        <v>0.81</v>
      </c>
      <c r="J40" s="48">
        <f t="shared" si="71"/>
        <v>0.81</v>
      </c>
      <c r="K40" s="48">
        <f t="shared" si="71"/>
        <v>0.82852499999999996</v>
      </c>
      <c r="L40" s="48">
        <f t="shared" si="71"/>
        <v>0.83709875</v>
      </c>
      <c r="M40" s="48">
        <f t="shared" si="71"/>
        <v>0.84524381250000002</v>
      </c>
      <c r="N40" s="48">
        <f t="shared" si="71"/>
        <v>0.85298162187500004</v>
      </c>
      <c r="P40" s="196">
        <f>F40</f>
        <v>0.83357241951451344</v>
      </c>
      <c r="Q40" s="48">
        <f t="shared" ref="Q40:X40" si="72">1-Q39</f>
        <v>0.81</v>
      </c>
      <c r="R40" s="48">
        <f t="shared" si="72"/>
        <v>0.81</v>
      </c>
      <c r="S40" s="48">
        <f t="shared" si="72"/>
        <v>0.81</v>
      </c>
      <c r="T40" s="48">
        <f t="shared" si="72"/>
        <v>0.81</v>
      </c>
      <c r="U40" s="48">
        <f t="shared" si="72"/>
        <v>0.81</v>
      </c>
      <c r="V40" s="48">
        <f t="shared" ref="V40:W40" si="73">1-V39</f>
        <v>0.81</v>
      </c>
      <c r="W40" s="48">
        <f t="shared" si="73"/>
        <v>0.81</v>
      </c>
      <c r="X40" s="48">
        <f t="shared" si="72"/>
        <v>0.81</v>
      </c>
      <c r="Y40" s="197"/>
      <c r="Z40" s="196">
        <f>P40</f>
        <v>0.83357241951451344</v>
      </c>
      <c r="AA40" s="196">
        <f t="shared" ref="AA40" si="74">Q40</f>
        <v>0.81</v>
      </c>
      <c r="AB40" s="196">
        <f t="shared" ref="AB40" si="75">R40</f>
        <v>0.81</v>
      </c>
      <c r="AC40" s="196">
        <f t="shared" ref="AC40" si="76">S40</f>
        <v>0.81</v>
      </c>
      <c r="AD40" s="48">
        <f>1-AD39</f>
        <v>0.81950000000000001</v>
      </c>
      <c r="AE40" s="48">
        <f>1-AE39</f>
        <v>0.82852499999999996</v>
      </c>
      <c r="AF40" s="48">
        <f>1-AF39</f>
        <v>0.83709875</v>
      </c>
      <c r="AG40" s="48">
        <f>1-AG39</f>
        <v>0.84524381250000002</v>
      </c>
      <c r="AH40" s="48">
        <f>1-AH39</f>
        <v>0.85298162187500004</v>
      </c>
      <c r="AI40" s="197"/>
      <c r="AJ40" s="197"/>
      <c r="AK40" s="197"/>
      <c r="AL40" s="197"/>
      <c r="AM40" s="197"/>
      <c r="AN40" s="197"/>
      <c r="AO40" s="197"/>
      <c r="AP40" s="197"/>
      <c r="AQ40" s="197"/>
      <c r="AR40" s="197"/>
      <c r="AS40" s="197"/>
      <c r="AT40" s="197"/>
      <c r="AU40" s="197"/>
      <c r="AV40" s="197"/>
      <c r="AW40" s="197"/>
    </row>
    <row r="41" spans="1:49">
      <c r="A41" t="s">
        <v>16</v>
      </c>
    </row>
    <row r="42" spans="1:49" ht="15.75" thickBot="1">
      <c r="A42" t="s">
        <v>16</v>
      </c>
      <c r="B42" s="9" t="s">
        <v>193</v>
      </c>
      <c r="C42" s="9"/>
      <c r="D42" s="9"/>
      <c r="F42" s="35"/>
      <c r="G42" s="35"/>
    </row>
    <row r="43" spans="1:49">
      <c r="A43" t="s">
        <v>16</v>
      </c>
      <c r="B43" s="3"/>
      <c r="C43" s="1" t="s">
        <v>5</v>
      </c>
      <c r="D43" s="2" t="s">
        <v>137</v>
      </c>
      <c r="E43" s="2"/>
      <c r="F43" s="35">
        <f t="shared" ref="F43" si="77">F63*F92</f>
        <v>18.931145021834741</v>
      </c>
      <c r="G43" s="35">
        <f>F43*(1+(F13+G13)/2*((G7/F7)^(1/(G$4-F$4))-1))^(G$4-F$4)</f>
        <v>19.16679090850425</v>
      </c>
      <c r="H43" s="35">
        <f t="shared" ref="H43:N43" si="78">G43*(1+(G13+H13)/2*((H7/G7)^(1/(H$4-G$4))-1))^(H$4-G$4)</f>
        <v>18.454471209495399</v>
      </c>
      <c r="I43" s="35">
        <f t="shared" si="78"/>
        <v>18.640659659915396</v>
      </c>
      <c r="J43" s="35">
        <f t="shared" si="78"/>
        <v>20.949335350447488</v>
      </c>
      <c r="K43" s="35">
        <f t="shared" si="78"/>
        <v>28.083124176699719</v>
      </c>
      <c r="L43" s="35">
        <f t="shared" si="78"/>
        <v>37.533574095253329</v>
      </c>
      <c r="M43" s="35">
        <f t="shared" si="78"/>
        <v>46.687918963279856</v>
      </c>
      <c r="N43" s="35">
        <f t="shared" si="78"/>
        <v>50.155089588725303</v>
      </c>
      <c r="O43" s="35"/>
      <c r="P43" s="35">
        <f>$F43</f>
        <v>18.931145021834741</v>
      </c>
      <c r="Q43" s="35">
        <f>G43</f>
        <v>19.16679090850425</v>
      </c>
      <c r="R43" s="35">
        <f>H43</f>
        <v>18.454471209495399</v>
      </c>
      <c r="S43" s="35">
        <f>I43</f>
        <v>18.640659659915396</v>
      </c>
      <c r="T43" s="255">
        <f>R43*(1+(R13+T13)/2*((T7/R7)^(1/(T$4-R$4))-1))^(T$4-R$4)</f>
        <v>20.949315343702175</v>
      </c>
      <c r="U43" s="255">
        <f>T43*(1+(T13+U13)/2*((U7/T7)^(1/(U$4-T$4))-1))^(U$4-T$4)</f>
        <v>28.083097357141792</v>
      </c>
      <c r="V43" s="255">
        <f>S43*(1+(S13+V13)/2*((V7/S7)^(1/(V$4-S$4))-1))^(V$4-S$4)</f>
        <v>37.52614974900834</v>
      </c>
      <c r="W43" s="255">
        <f>T43*(1+(T13+W13)/2*((W7/T7)^(1/(W$4-T$4))-1))^(W$4-T$4)</f>
        <v>46.685846643130326</v>
      </c>
      <c r="X43" s="255">
        <f>U43*(1+(U13+X13)/2*((X7/U7)^(1/(X$4-U$4))-1))^(X$4-U$4)</f>
        <v>50.139845950972003</v>
      </c>
      <c r="Z43" s="35">
        <f>P43</f>
        <v>18.931145021834741</v>
      </c>
      <c r="AA43" s="35">
        <f>Q43</f>
        <v>19.16679090850425</v>
      </c>
      <c r="AB43" s="35">
        <f>R43</f>
        <v>18.454471209495399</v>
      </c>
      <c r="AC43" s="35">
        <f>S43</f>
        <v>18.640659659915396</v>
      </c>
      <c r="AD43" s="255">
        <f>AB43*(1+(AB13+AD13)/2*((AD7/AB7)^(1/(AD$4-AB$4))-1))^(AD$4-AB$4)</f>
        <v>20.949315343702175</v>
      </c>
      <c r="AE43" s="255">
        <f>AD43*(1+(AD13+AE13)/2*((AE7/AD7)^(1/(AE$4-AD$4))-1))^(AE$4-AD$4)</f>
        <v>28.083097357141792</v>
      </c>
      <c r="AF43" s="255">
        <f>AC43*(1+(AC13+AF13)/2*((AF7/AC7)^(1/(AF$4-AC$4))-1))^(AF$4-AC$4)</f>
        <v>37.52614974900834</v>
      </c>
      <c r="AG43" s="255">
        <f>AD43*(1+(AD13+AG13)/2*((AG7/AD7)^(1/(AG$4-AD$4))-1))^(AG$4-AD$4)</f>
        <v>46.685846643130326</v>
      </c>
      <c r="AH43" s="255">
        <f>AE43*(1+(AE13+AH13)/2*((AH7/AE7)^(1/(AH$4-AE$4))-1))^(AH$4-AE$4)</f>
        <v>50.139845950972003</v>
      </c>
    </row>
    <row r="44" spans="1:49">
      <c r="A44" t="s">
        <v>16</v>
      </c>
    </row>
    <row r="45" spans="1:49" ht="15.75" thickBot="1">
      <c r="A45" t="s">
        <v>16</v>
      </c>
      <c r="B45" s="9" t="s">
        <v>395</v>
      </c>
      <c r="C45" s="9"/>
      <c r="D45" s="9"/>
    </row>
    <row r="46" spans="1:49">
      <c r="A46" t="s">
        <v>16</v>
      </c>
      <c r="B46" s="3" t="s">
        <v>396</v>
      </c>
      <c r="C46" s="3" t="s">
        <v>745</v>
      </c>
      <c r="D46" t="s">
        <v>137</v>
      </c>
      <c r="F46" s="37">
        <f>F64*F93</f>
        <v>5.4191590500230697</v>
      </c>
      <c r="G46" s="6">
        <f t="shared" ref="G46:N46" si="79">G39*G$48</f>
        <v>6.263725567965813</v>
      </c>
      <c r="H46" s="6">
        <f t="shared" si="79"/>
        <v>6.0309388102583563</v>
      </c>
      <c r="I46" s="6">
        <f t="shared" si="79"/>
        <v>6.0917853736148864</v>
      </c>
      <c r="J46" s="6">
        <f t="shared" si="79"/>
        <v>6.8462627934374565</v>
      </c>
      <c r="K46" s="6">
        <f t="shared" si="79"/>
        <v>8.2827765928960844</v>
      </c>
      <c r="L46" s="6">
        <f t="shared" ref="L46:M46" si="80">L39*L$48</f>
        <v>10.51656847925557</v>
      </c>
      <c r="M46" s="6">
        <f t="shared" si="80"/>
        <v>12.4274565726394</v>
      </c>
      <c r="N46" s="6">
        <f t="shared" si="79"/>
        <v>12.682835324881403</v>
      </c>
      <c r="P46" s="6">
        <f t="shared" ref="P46" si="81">P39*P$48</f>
        <v>5.4191590500230697</v>
      </c>
      <c r="Q46" s="6">
        <f>$G46</f>
        <v>6.263725567965813</v>
      </c>
      <c r="R46" s="6">
        <f t="shared" ref="R46:X47" si="82">R39*R$48</f>
        <v>6.0299454950865155</v>
      </c>
      <c r="S46" s="6">
        <f t="shared" si="82"/>
        <v>6.0908959928898438</v>
      </c>
      <c r="T46" s="254">
        <f t="shared" si="82"/>
        <v>6.845128654616043</v>
      </c>
      <c r="U46" s="254">
        <f t="shared" si="82"/>
        <v>9.1760714503508893</v>
      </c>
      <c r="V46" s="254">
        <f t="shared" ref="V46:W46" si="83">V39*V$48</f>
        <v>12.261791122463769</v>
      </c>
      <c r="W46" s="254">
        <f t="shared" si="83"/>
        <v>15.254466381306896</v>
      </c>
      <c r="X46" s="254">
        <f t="shared" si="82"/>
        <v>16.38305074061574</v>
      </c>
      <c r="Y46" s="6"/>
      <c r="Z46" s="6">
        <f t="shared" ref="Z46:AH47" si="84">Z39*Z$48</f>
        <v>5.4191590500230697</v>
      </c>
      <c r="AA46" s="6">
        <f t="shared" si="84"/>
        <v>6.263725567965813</v>
      </c>
      <c r="AB46" s="6">
        <f t="shared" si="84"/>
        <v>6.0299454950865155</v>
      </c>
      <c r="AC46" s="6">
        <f t="shared" si="84"/>
        <v>6.0908959928898438</v>
      </c>
      <c r="AD46" s="254">
        <f t="shared" si="84"/>
        <v>6.5028722218852408</v>
      </c>
      <c r="AE46" s="254">
        <f t="shared" si="84"/>
        <v>8.2814044839416763</v>
      </c>
      <c r="AF46" s="254">
        <f t="shared" ref="AF46:AG46" si="85">AF39*AF$48</f>
        <v>10.512953163622372</v>
      </c>
      <c r="AG46" s="254">
        <f t="shared" si="85"/>
        <v>12.424858207989349</v>
      </c>
      <c r="AH46" s="254">
        <f t="shared" si="84"/>
        <v>12.676892361183713</v>
      </c>
      <c r="AI46" s="6"/>
      <c r="AJ46" s="6"/>
      <c r="AK46" s="6"/>
      <c r="AL46" s="6"/>
      <c r="AM46" s="6"/>
      <c r="AN46" s="6"/>
      <c r="AO46" s="6"/>
      <c r="AP46" s="6"/>
      <c r="AQ46" s="6"/>
      <c r="AR46" s="6"/>
      <c r="AS46" s="6"/>
      <c r="AT46" s="6"/>
      <c r="AU46" s="6"/>
      <c r="AV46" s="6"/>
      <c r="AW46" s="6"/>
    </row>
    <row r="47" spans="1:49">
      <c r="A47" t="s">
        <v>16</v>
      </c>
      <c r="B47" s="3" t="s">
        <v>368</v>
      </c>
      <c r="C47" s="3" t="s">
        <v>755</v>
      </c>
      <c r="D47" t="s">
        <v>137</v>
      </c>
      <c r="F47" s="37">
        <f>F103</f>
        <v>27.142505514316699</v>
      </c>
      <c r="G47" s="6">
        <f t="shared" ref="G47" si="86">G40*G$48</f>
        <v>26.703251105538467</v>
      </c>
      <c r="H47" s="6">
        <f t="shared" ref="H47:N47" si="87">H40*H$48</f>
        <v>25.710844401627732</v>
      </c>
      <c r="I47" s="6">
        <f t="shared" si="87"/>
        <v>25.970242908568729</v>
      </c>
      <c r="J47" s="6">
        <f t="shared" si="87"/>
        <v>29.186699277286003</v>
      </c>
      <c r="K47" s="6">
        <f t="shared" si="87"/>
        <v>40.020338105433609</v>
      </c>
      <c r="L47" s="6">
        <f t="shared" si="87"/>
        <v>54.041367566389084</v>
      </c>
      <c r="M47" s="6">
        <f t="shared" si="87"/>
        <v>67.875998645520468</v>
      </c>
      <c r="N47" s="6">
        <f t="shared" si="87"/>
        <v>73.584170791170493</v>
      </c>
      <c r="P47" s="6">
        <f>P40*P$48</f>
        <v>27.142505514316699</v>
      </c>
      <c r="Q47" s="6">
        <f>$G47</f>
        <v>26.703251105538467</v>
      </c>
      <c r="R47" s="6">
        <f t="shared" si="82"/>
        <v>25.706609742210937</v>
      </c>
      <c r="S47" s="6">
        <f t="shared" si="82"/>
        <v>25.966451338109337</v>
      </c>
      <c r="T47" s="254">
        <f t="shared" si="82"/>
        <v>29.181864264415765</v>
      </c>
      <c r="U47" s="254">
        <f t="shared" si="82"/>
        <v>39.119041446232735</v>
      </c>
      <c r="V47" s="254">
        <f t="shared" ref="V47:W47" si="88">V40*V$48</f>
        <v>52.273951627345546</v>
      </c>
      <c r="W47" s="254">
        <f t="shared" si="88"/>
        <v>65.032198783466242</v>
      </c>
      <c r="X47" s="254">
        <f t="shared" si="82"/>
        <v>69.843532104730272</v>
      </c>
      <c r="Y47" s="6"/>
      <c r="Z47" s="6">
        <f t="shared" si="84"/>
        <v>27.142505514316699</v>
      </c>
      <c r="AA47" s="6">
        <f t="shared" si="84"/>
        <v>26.703251105538467</v>
      </c>
      <c r="AB47" s="6">
        <f t="shared" si="84"/>
        <v>25.706609742210937</v>
      </c>
      <c r="AC47" s="6">
        <f t="shared" si="84"/>
        <v>25.966451338109337</v>
      </c>
      <c r="AD47" s="254">
        <f t="shared" si="84"/>
        <v>29.524120697146564</v>
      </c>
      <c r="AE47" s="254">
        <f t="shared" si="84"/>
        <v>40.013708412641947</v>
      </c>
      <c r="AF47" s="254">
        <f t="shared" ref="AF47:AG47" si="89">AF40*AF$48</f>
        <v>54.022789586186938</v>
      </c>
      <c r="AG47" s="254">
        <f t="shared" si="89"/>
        <v>67.861806956783795</v>
      </c>
      <c r="AH47" s="254">
        <f t="shared" si="84"/>
        <v>73.549690484162284</v>
      </c>
      <c r="AI47" s="6"/>
      <c r="AJ47" s="6"/>
      <c r="AK47" s="6"/>
      <c r="AL47" s="6"/>
      <c r="AM47" s="6"/>
      <c r="AN47" s="6"/>
      <c r="AO47" s="6"/>
      <c r="AP47" s="6"/>
      <c r="AQ47" s="6"/>
      <c r="AR47" s="6"/>
      <c r="AS47" s="6"/>
      <c r="AT47" s="6"/>
      <c r="AU47" s="6"/>
      <c r="AV47" s="6"/>
      <c r="AW47" s="6"/>
    </row>
    <row r="48" spans="1:49">
      <c r="A48" t="s">
        <v>16</v>
      </c>
      <c r="B48" s="3"/>
      <c r="C48" s="1" t="s">
        <v>5</v>
      </c>
      <c r="D48" s="2" t="s">
        <v>137</v>
      </c>
      <c r="E48" s="2"/>
      <c r="F48" s="35">
        <f>SUM(F46:F47)</f>
        <v>32.561664564339772</v>
      </c>
      <c r="G48" s="35">
        <f>F48*(1+(F21+G21)/2*((G7/F7)^(1/(G$4-F$4))-1))^(G$4-F$4)</f>
        <v>32.966976673504277</v>
      </c>
      <c r="H48" s="35">
        <f t="shared" ref="H48:N48" si="90">G48*(1+(G21+H21)/2*((H7/G7)^(1/(H$4-G$4))-1))^(H$4-G$4)</f>
        <v>31.741783211886087</v>
      </c>
      <c r="I48" s="35">
        <f t="shared" si="90"/>
        <v>32.062028282183611</v>
      </c>
      <c r="J48" s="35">
        <f t="shared" si="90"/>
        <v>36.032962070723457</v>
      </c>
      <c r="K48" s="35">
        <f t="shared" si="90"/>
        <v>48.303114698329694</v>
      </c>
      <c r="L48" s="35">
        <f t="shared" si="90"/>
        <v>64.557936045644652</v>
      </c>
      <c r="M48" s="35">
        <f t="shared" si="90"/>
        <v>80.303455218159868</v>
      </c>
      <c r="N48" s="35">
        <f t="shared" si="90"/>
        <v>86.267006116051903</v>
      </c>
      <c r="P48" s="35">
        <f>$F48</f>
        <v>32.561664564339772</v>
      </c>
      <c r="Q48" s="35">
        <f>$G48</f>
        <v>32.966976673504277</v>
      </c>
      <c r="R48" s="35">
        <f>P48*(1+(P21+R21)/2*((R7/P7)^(1/(R$4-P$4))-1))^(R$4-P$4)</f>
        <v>31.736555237297448</v>
      </c>
      <c r="S48" s="35">
        <f>Q48*(1+(Q21+S21)/2*((S7/Q7)^(1/(S$4-Q$4))-1))^(S$4-Q$4)</f>
        <v>32.057347330999178</v>
      </c>
      <c r="T48" s="255">
        <f>R48*(1+(R21+T21)/2*((T7/R7)^(1/(T$4-R$4))-1))^(T$4-R$4)</f>
        <v>36.026992919031805</v>
      </c>
      <c r="U48" s="255">
        <f>T48*(1+(T21+U21)/2*((U7/T7)^(1/(U$4-T$4))-1))^(U$4-T$4)</f>
        <v>48.295112896583625</v>
      </c>
      <c r="V48" s="255">
        <f>S48*(1+(S21+V21)/2*((V7/S7)^(1/(V$4-S$4))-1))^(V$4-S$4)</f>
        <v>64.535742749809316</v>
      </c>
      <c r="W48" s="255">
        <f>T48*(1+(T21+W21)/2*((W7/T7)^(1/(W$4-T$4))-1))^(W$4-T$4)</f>
        <v>80.28666516477314</v>
      </c>
      <c r="X48" s="255">
        <f>U48*(1+(U21+X21)/2*((X7/U7)^(1/(X$4-U$4))-1))^(X$4-U$4)</f>
        <v>86.226582845346002</v>
      </c>
      <c r="Y48" s="3"/>
      <c r="Z48" s="35">
        <f>P48</f>
        <v>32.561664564339772</v>
      </c>
      <c r="AA48" s="35">
        <f>Q48</f>
        <v>32.966976673504277</v>
      </c>
      <c r="AB48" s="35">
        <f>R48</f>
        <v>31.736555237297448</v>
      </c>
      <c r="AC48" s="35">
        <f>S48</f>
        <v>32.057347330999178</v>
      </c>
      <c r="AD48" s="255">
        <f>AB48*(1+(AB21+AD21)/2*((AD7/AB7)^(1/(AD$4-AB$4))-1))^(AD$4-AB$4)</f>
        <v>36.026992919031805</v>
      </c>
      <c r="AE48" s="255">
        <f>AD48*(1+(AD21+AE21)/2*((AE7/AD7)^(1/(AE$4-AD$4))-1))^(AE$4-AD$4)</f>
        <v>48.295112896583625</v>
      </c>
      <c r="AF48" s="255">
        <f>AC48*(1+(AC21+AF21)/2*((AF7/AC7)^(1/(AF$4-AC$4))-1))^(AF$4-AC$4)</f>
        <v>64.535742749809316</v>
      </c>
      <c r="AG48" s="255">
        <f>AD48*(1+(AD21+AG21)/2*((AG7/AD7)^(1/(AG$4-AD$4))-1))^(AG$4-AD$4)</f>
        <v>80.28666516477314</v>
      </c>
      <c r="AH48" s="255">
        <f>AE48*(1+(AE21+AH21)/2*((AH7/AE7)^(1/(AH$4-AE$4))-1))^(AH$4-AE$4)</f>
        <v>86.226582845346002</v>
      </c>
      <c r="AI48" s="3"/>
      <c r="AJ48" s="3"/>
      <c r="AK48" s="3"/>
      <c r="AL48" s="3"/>
      <c r="AM48" s="3"/>
      <c r="AN48" s="3"/>
      <c r="AO48" s="3"/>
      <c r="AP48" s="3"/>
      <c r="AQ48" s="3"/>
      <c r="AR48" s="3"/>
      <c r="AS48" s="3"/>
      <c r="AT48" s="3"/>
      <c r="AU48" s="3"/>
      <c r="AV48" s="3"/>
      <c r="AW48" s="3"/>
    </row>
    <row r="49" spans="1:49">
      <c r="A49" t="s">
        <v>16</v>
      </c>
      <c r="B49" s="3"/>
      <c r="C49" s="1"/>
      <c r="D49" s="2"/>
      <c r="E49" s="2"/>
      <c r="F49" s="35"/>
      <c r="G49" s="35"/>
      <c r="H49" s="35"/>
      <c r="I49" s="35"/>
      <c r="J49" s="35"/>
      <c r="K49" s="35"/>
      <c r="L49" s="35"/>
      <c r="M49" s="35"/>
      <c r="N49" s="35"/>
      <c r="P49" s="6"/>
      <c r="R49" s="3"/>
      <c r="T49" s="3"/>
      <c r="U49" s="3"/>
      <c r="V49" s="3"/>
      <c r="W49" s="3"/>
      <c r="X49" s="3"/>
      <c r="Y49" s="3"/>
      <c r="Z49" s="3"/>
      <c r="AB49" s="3"/>
      <c r="AD49" s="3"/>
      <c r="AE49" s="3"/>
      <c r="AF49" s="3"/>
      <c r="AG49" s="3"/>
      <c r="AH49" s="3"/>
      <c r="AI49" s="3"/>
      <c r="AJ49" s="3"/>
      <c r="AK49" s="3"/>
      <c r="AL49" s="3"/>
      <c r="AM49" s="3"/>
      <c r="AN49" s="3"/>
      <c r="AO49" s="3"/>
      <c r="AP49" s="3"/>
      <c r="AQ49" s="3"/>
      <c r="AR49" s="3"/>
      <c r="AS49" s="3"/>
      <c r="AT49" s="3"/>
      <c r="AU49" s="3"/>
      <c r="AV49" s="3"/>
      <c r="AW49" s="3"/>
    </row>
    <row r="50" spans="1:49" ht="15.75" thickBot="1">
      <c r="A50" t="s">
        <v>16</v>
      </c>
      <c r="B50" s="9" t="s">
        <v>194</v>
      </c>
      <c r="C50" s="9"/>
      <c r="D50" s="9"/>
    </row>
    <row r="51" spans="1:49">
      <c r="A51" t="s">
        <v>16</v>
      </c>
      <c r="B51" s="3" t="s">
        <v>397</v>
      </c>
      <c r="C51" s="3" t="s">
        <v>746</v>
      </c>
      <c r="D51" t="s">
        <v>137</v>
      </c>
      <c r="F51" s="37">
        <f>F65*F94</f>
        <v>2.508551055458172</v>
      </c>
      <c r="G51" s="6">
        <f t="shared" ref="G51" si="91">G28*G$60</f>
        <v>2.539776305544069</v>
      </c>
      <c r="H51" s="6">
        <f t="shared" ref="H51:N59" si="92">H28*H$60</f>
        <v>2.4453873855547426</v>
      </c>
      <c r="I51" s="6">
        <f t="shared" si="92"/>
        <v>2.4700590698758176</v>
      </c>
      <c r="J51" s="6">
        <f t="shared" si="92"/>
        <v>2.6371808668574701</v>
      </c>
      <c r="K51" s="6">
        <f t="shared" si="92"/>
        <v>3.3584484994581625</v>
      </c>
      <c r="L51" s="6">
        <f t="shared" ref="L51:M51" si="93">L28*L$60</f>
        <v>4.2641924760951957</v>
      </c>
      <c r="M51" s="6">
        <f t="shared" si="93"/>
        <v>5.0390074403623251</v>
      </c>
      <c r="N51" s="6">
        <f t="shared" si="92"/>
        <v>5.1425568211335344</v>
      </c>
      <c r="P51" s="6">
        <f t="shared" ref="P51:X51" si="94">P28*P$60</f>
        <v>2.508551055458172</v>
      </c>
      <c r="Q51" s="6">
        <f t="shared" si="94"/>
        <v>2.539776305544069</v>
      </c>
      <c r="R51" s="6">
        <f t="shared" si="94"/>
        <v>2.4453873855547426</v>
      </c>
      <c r="S51" s="6">
        <f t="shared" si="94"/>
        <v>2.4700590698758176</v>
      </c>
      <c r="T51" s="254">
        <f t="shared" si="94"/>
        <v>2.7759798598499685</v>
      </c>
      <c r="U51" s="254">
        <f t="shared" si="94"/>
        <v>3.7212725755769114</v>
      </c>
      <c r="V51" s="254">
        <f t="shared" ref="V51:W51" si="95">V28*V$60</f>
        <v>4.9735442205513296</v>
      </c>
      <c r="W51" s="254">
        <f t="shared" si="95"/>
        <v>6.1865792194502198</v>
      </c>
      <c r="X51" s="254">
        <f t="shared" si="94"/>
        <v>6.6460112570730461</v>
      </c>
      <c r="Y51" s="6"/>
      <c r="Z51" s="6">
        <f>P51</f>
        <v>2.508551055458172</v>
      </c>
      <c r="AA51" s="6">
        <f>Q51</f>
        <v>2.539776305544069</v>
      </c>
      <c r="AB51" s="6">
        <f>R51</f>
        <v>2.4453873855547426</v>
      </c>
      <c r="AC51" s="6">
        <f>S51</f>
        <v>2.4700590698758176</v>
      </c>
      <c r="AD51" s="254">
        <f t="shared" ref="AD51:AH59" si="96">AD28*AD$60</f>
        <v>2.6371783483333711</v>
      </c>
      <c r="AE51" s="254">
        <f t="shared" si="96"/>
        <v>3.3584452921189967</v>
      </c>
      <c r="AF51" s="254">
        <f t="shared" ref="AF51:AG51" si="97">AF28*AF$60</f>
        <v>4.2633489955005288</v>
      </c>
      <c r="AG51" s="254">
        <f t="shared" si="97"/>
        <v>5.0387837757209324</v>
      </c>
      <c r="AH51" s="254">
        <f t="shared" si="96"/>
        <v>5.1409938436979452</v>
      </c>
      <c r="AI51" s="6"/>
      <c r="AJ51" s="6"/>
      <c r="AK51" s="6"/>
      <c r="AL51" s="6"/>
      <c r="AM51" s="6"/>
      <c r="AN51" s="6"/>
      <c r="AO51" s="6"/>
      <c r="AP51" s="6"/>
      <c r="AQ51" s="6"/>
      <c r="AR51" s="6"/>
      <c r="AS51" s="6"/>
      <c r="AT51" s="6"/>
      <c r="AU51" s="6"/>
      <c r="AV51" s="6"/>
      <c r="AW51" s="6"/>
    </row>
    <row r="52" spans="1:49">
      <c r="A52" t="s">
        <v>16</v>
      </c>
      <c r="B52" s="3" t="s">
        <v>398</v>
      </c>
      <c r="C52" s="3" t="s">
        <v>747</v>
      </c>
      <c r="D52" t="s">
        <v>137</v>
      </c>
      <c r="F52" s="37">
        <f t="shared" ref="F52:F58" si="98">F66*F95</f>
        <v>16.520182703280053</v>
      </c>
      <c r="G52" s="6">
        <f t="shared" ref="G52" si="99">G29*G$60</f>
        <v>16.725818078032439</v>
      </c>
      <c r="H52" s="6">
        <f t="shared" si="92"/>
        <v>16.104215340469594</v>
      </c>
      <c r="I52" s="6">
        <f t="shared" si="92"/>
        <v>16.266691895090634</v>
      </c>
      <c r="J52" s="6">
        <f t="shared" si="92"/>
        <v>17.367280465464823</v>
      </c>
      <c r="K52" s="6">
        <f t="shared" si="92"/>
        <v>22.117222884455941</v>
      </c>
      <c r="L52" s="6">
        <f t="shared" ref="L52:M52" si="100">L29*L$60</f>
        <v>28.082043071743819</v>
      </c>
      <c r="M52" s="6">
        <f t="shared" si="100"/>
        <v>33.184623999119253</v>
      </c>
      <c r="N52" s="6">
        <f t="shared" si="92"/>
        <v>33.866553388369596</v>
      </c>
      <c r="P52" s="6">
        <f t="shared" ref="P52:P59" si="101">P29*P$60</f>
        <v>16.520182703280053</v>
      </c>
      <c r="Q52" s="6">
        <f t="shared" ref="Q52:X59" si="102">Q29*Q$60</f>
        <v>16.725818078032439</v>
      </c>
      <c r="R52" s="6">
        <f t="shared" si="102"/>
        <v>16.104215340469594</v>
      </c>
      <c r="S52" s="6">
        <f t="shared" si="102"/>
        <v>16.266691895090634</v>
      </c>
      <c r="T52" s="254">
        <f t="shared" si="102"/>
        <v>18.281347858384027</v>
      </c>
      <c r="U52" s="254">
        <f t="shared" si="102"/>
        <v>24.506618154521821</v>
      </c>
      <c r="V52" s="254">
        <f t="shared" ref="V52:W52" si="103">V29*V$60</f>
        <v>32.75351284064012</v>
      </c>
      <c r="W52" s="254">
        <f t="shared" si="103"/>
        <v>40.742012721350214</v>
      </c>
      <c r="X52" s="254">
        <f t="shared" si="102"/>
        <v>43.767624332784237</v>
      </c>
      <c r="Y52" s="6"/>
      <c r="Z52" s="6">
        <f t="shared" ref="Z52:Z59" si="104">P52</f>
        <v>16.520182703280053</v>
      </c>
      <c r="AA52" s="6">
        <f t="shared" ref="AA52:AA60" si="105">Q52</f>
        <v>16.725818078032439</v>
      </c>
      <c r="AB52" s="6">
        <f t="shared" ref="AB52:AB60" si="106">R52</f>
        <v>16.104215340469594</v>
      </c>
      <c r="AC52" s="6">
        <f t="shared" ref="AC52:AC60" si="107">S52</f>
        <v>16.266691895090634</v>
      </c>
      <c r="AD52" s="254">
        <f t="shared" si="96"/>
        <v>17.367263879604167</v>
      </c>
      <c r="AE52" s="254">
        <f t="shared" si="96"/>
        <v>22.117201762370787</v>
      </c>
      <c r="AF52" s="254">
        <f t="shared" ref="AF52:AG52" si="108">AF29*AF$60</f>
        <v>28.076488290030191</v>
      </c>
      <c r="AG52" s="254">
        <f t="shared" si="108"/>
        <v>33.183151044948346</v>
      </c>
      <c r="AH52" s="254">
        <f t="shared" si="96"/>
        <v>33.856260325870089</v>
      </c>
      <c r="AI52" s="6"/>
      <c r="AJ52" s="6"/>
      <c r="AK52" s="6"/>
      <c r="AL52" s="6"/>
      <c r="AM52" s="6"/>
      <c r="AN52" s="6"/>
      <c r="AO52" s="6"/>
      <c r="AP52" s="6"/>
      <c r="AQ52" s="6"/>
      <c r="AR52" s="6"/>
      <c r="AS52" s="6"/>
      <c r="AT52" s="6"/>
      <c r="AU52" s="6"/>
      <c r="AV52" s="6"/>
      <c r="AW52" s="6"/>
    </row>
    <row r="53" spans="1:49">
      <c r="A53" t="s">
        <v>16</v>
      </c>
      <c r="B53" s="3" t="s">
        <v>399</v>
      </c>
      <c r="C53" s="3" t="s">
        <v>748</v>
      </c>
      <c r="D53" t="s">
        <v>137</v>
      </c>
      <c r="F53" s="37">
        <f t="shared" si="98"/>
        <v>4.7389994637867545</v>
      </c>
      <c r="G53" s="6">
        <f t="shared" ref="G53" si="109">G30*G$60</f>
        <v>4.7979882745154434</v>
      </c>
      <c r="H53" s="6">
        <f t="shared" si="92"/>
        <v>4.6196745661922405</v>
      </c>
      <c r="I53" s="6">
        <f t="shared" si="92"/>
        <v>4.6662827859109095</v>
      </c>
      <c r="J53" s="6">
        <f t="shared" si="92"/>
        <v>4.9819989458670308</v>
      </c>
      <c r="K53" s="6">
        <f t="shared" si="92"/>
        <v>6.3445731365354883</v>
      </c>
      <c r="L53" s="6">
        <f t="shared" ref="L53:M53" si="110">L30*L$60</f>
        <v>8.0556486238259062</v>
      </c>
      <c r="M53" s="6">
        <f t="shared" si="110"/>
        <v>9.5193811208012331</v>
      </c>
      <c r="N53" s="6">
        <f t="shared" si="92"/>
        <v>9.7150002049265058</v>
      </c>
      <c r="P53" s="6">
        <f t="shared" si="101"/>
        <v>4.7389994637867545</v>
      </c>
      <c r="Q53" s="6">
        <f t="shared" si="102"/>
        <v>4.7979882745154434</v>
      </c>
      <c r="R53" s="6">
        <f t="shared" si="102"/>
        <v>4.6196745661922405</v>
      </c>
      <c r="S53" s="6">
        <f t="shared" si="102"/>
        <v>4.6662827859109095</v>
      </c>
      <c r="T53" s="254">
        <f t="shared" si="102"/>
        <v>5.2442094167021382</v>
      </c>
      <c r="U53" s="254">
        <f t="shared" si="102"/>
        <v>7.0299979352193773</v>
      </c>
      <c r="V53" s="254">
        <f t="shared" ref="V53:W53" si="111">V30*V$60</f>
        <v>9.3957120557817841</v>
      </c>
      <c r="W53" s="254">
        <f t="shared" si="111"/>
        <v>11.687302731932668</v>
      </c>
      <c r="X53" s="254">
        <f t="shared" si="102"/>
        <v>12.555233314889596</v>
      </c>
      <c r="Y53" s="6"/>
      <c r="Z53" s="6">
        <f t="shared" si="104"/>
        <v>4.7389994637867545</v>
      </c>
      <c r="AA53" s="6">
        <f t="shared" si="105"/>
        <v>4.7979882745154434</v>
      </c>
      <c r="AB53" s="6">
        <f t="shared" si="106"/>
        <v>4.6196745661922405</v>
      </c>
      <c r="AC53" s="6">
        <f t="shared" si="107"/>
        <v>4.6662827859109095</v>
      </c>
      <c r="AD53" s="254">
        <f t="shared" si="96"/>
        <v>4.9819941880271097</v>
      </c>
      <c r="AE53" s="254">
        <f t="shared" si="96"/>
        <v>6.3445670774287564</v>
      </c>
      <c r="AF53" s="254">
        <f t="shared" ref="AF53:AG53" si="112">AF30*AF$60</f>
        <v>8.0540551724679439</v>
      </c>
      <c r="AG53" s="254">
        <f t="shared" si="112"/>
        <v>9.5189585873976093</v>
      </c>
      <c r="AH53" s="254">
        <f t="shared" si="96"/>
        <v>9.7120475246479643</v>
      </c>
      <c r="AI53" s="6"/>
      <c r="AJ53" s="6"/>
      <c r="AK53" s="6"/>
      <c r="AL53" s="6"/>
      <c r="AM53" s="6"/>
      <c r="AN53" s="6"/>
      <c r="AO53" s="6"/>
      <c r="AP53" s="6"/>
      <c r="AQ53" s="6"/>
      <c r="AR53" s="6"/>
      <c r="AS53" s="6"/>
      <c r="AT53" s="6"/>
      <c r="AU53" s="6"/>
      <c r="AV53" s="6"/>
      <c r="AW53" s="6"/>
    </row>
    <row r="54" spans="1:49">
      <c r="A54" t="s">
        <v>16</v>
      </c>
      <c r="B54" s="3" t="s">
        <v>400</v>
      </c>
      <c r="C54" s="3" t="s">
        <v>749</v>
      </c>
      <c r="D54" t="s">
        <v>137</v>
      </c>
      <c r="F54" s="37">
        <f t="shared" si="98"/>
        <v>3.2441770761137643</v>
      </c>
      <c r="G54" s="6">
        <f t="shared" ref="G54" si="113">G31*G$60</f>
        <v>3.284559048927981</v>
      </c>
      <c r="H54" s="6">
        <f t="shared" si="92"/>
        <v>3.1624908255995221</v>
      </c>
      <c r="I54" s="6">
        <f t="shared" si="92"/>
        <v>3.1943974166690543</v>
      </c>
      <c r="J54" s="6">
        <f t="shared" si="92"/>
        <v>3.4105272424930662</v>
      </c>
      <c r="K54" s="6">
        <f t="shared" si="92"/>
        <v>4.3433047174959176</v>
      </c>
      <c r="L54" s="6">
        <f t="shared" ref="L54:M54" si="114">L31*L$60</f>
        <v>5.514655740804991</v>
      </c>
      <c r="M54" s="6">
        <f t="shared" si="114"/>
        <v>6.5166831621070562</v>
      </c>
      <c r="N54" s="6">
        <f t="shared" si="92"/>
        <v>6.6505981273268402</v>
      </c>
      <c r="P54" s="6">
        <f t="shared" si="101"/>
        <v>3.2441770761137643</v>
      </c>
      <c r="Q54" s="6">
        <f t="shared" si="102"/>
        <v>3.284559048927981</v>
      </c>
      <c r="R54" s="6">
        <f t="shared" si="102"/>
        <v>3.1624908255995221</v>
      </c>
      <c r="S54" s="6">
        <f t="shared" si="102"/>
        <v>3.1943974166690543</v>
      </c>
      <c r="T54" s="254">
        <f t="shared" si="102"/>
        <v>3.5900286763084908</v>
      </c>
      <c r="U54" s="254">
        <f t="shared" si="102"/>
        <v>4.8125260027655594</v>
      </c>
      <c r="V54" s="254">
        <f t="shared" ref="V54:W54" si="115">V31*V$60</f>
        <v>6.432023024703299</v>
      </c>
      <c r="W54" s="254">
        <f t="shared" si="115"/>
        <v>8.000777356965715</v>
      </c>
      <c r="X54" s="254">
        <f t="shared" si="102"/>
        <v>8.5949366351853822</v>
      </c>
      <c r="Y54" s="6"/>
      <c r="Z54" s="6">
        <f t="shared" si="104"/>
        <v>3.2441770761137643</v>
      </c>
      <c r="AA54" s="6">
        <f t="shared" si="105"/>
        <v>3.284559048927981</v>
      </c>
      <c r="AB54" s="6">
        <f t="shared" si="106"/>
        <v>3.1624908255995221</v>
      </c>
      <c r="AC54" s="6">
        <f t="shared" si="107"/>
        <v>3.1943974166690543</v>
      </c>
      <c r="AD54" s="254">
        <f t="shared" si="96"/>
        <v>3.4105239854183775</v>
      </c>
      <c r="AE54" s="254">
        <f t="shared" si="96"/>
        <v>4.3433005696129499</v>
      </c>
      <c r="AF54" s="254">
        <f t="shared" ref="AF54:AG54" si="116">AF31*AF$60</f>
        <v>5.5135649117371868</v>
      </c>
      <c r="AG54" s="254">
        <f t="shared" si="116"/>
        <v>6.516393908395929</v>
      </c>
      <c r="AH54" s="254">
        <f t="shared" si="96"/>
        <v>6.6485768108557295</v>
      </c>
      <c r="AI54" s="6"/>
      <c r="AJ54" s="6"/>
      <c r="AK54" s="6"/>
      <c r="AL54" s="6"/>
      <c r="AM54" s="6"/>
      <c r="AN54" s="6"/>
      <c r="AO54" s="6"/>
      <c r="AP54" s="6"/>
      <c r="AQ54" s="6"/>
      <c r="AR54" s="6"/>
      <c r="AS54" s="6"/>
      <c r="AT54" s="6"/>
      <c r="AU54" s="6"/>
      <c r="AV54" s="6"/>
      <c r="AW54" s="6"/>
    </row>
    <row r="55" spans="1:49">
      <c r="A55" t="s">
        <v>16</v>
      </c>
      <c r="B55" s="3" t="s">
        <v>401</v>
      </c>
      <c r="C55" s="3" t="s">
        <v>750</v>
      </c>
      <c r="D55" t="s">
        <v>137</v>
      </c>
      <c r="F55" s="37">
        <f>F69*F98</f>
        <v>130.05107807184956</v>
      </c>
      <c r="G55" s="6">
        <f>G32*G$60</f>
        <v>134.72568842583829</v>
      </c>
      <c r="H55" s="6">
        <f t="shared" si="92"/>
        <v>131.01589429361536</v>
      </c>
      <c r="I55" s="6">
        <f t="shared" si="92"/>
        <v>133.21123913432774</v>
      </c>
      <c r="J55" s="6">
        <f t="shared" si="92"/>
        <v>143.91541790377966</v>
      </c>
      <c r="K55" s="6">
        <f t="shared" si="92"/>
        <v>174.11240128160202</v>
      </c>
      <c r="L55" s="6">
        <f t="shared" ref="L55:M55" si="117">L32*L$60</f>
        <v>221.06898219807692</v>
      </c>
      <c r="M55" s="6">
        <f t="shared" si="117"/>
        <v>261.2377964583622</v>
      </c>
      <c r="N55" s="6">
        <f t="shared" si="92"/>
        <v>266.60611797355193</v>
      </c>
      <c r="P55" s="6">
        <f t="shared" si="101"/>
        <v>130.05107807184956</v>
      </c>
      <c r="Q55" s="6">
        <f t="shared" si="102"/>
        <v>131.66989201940638</v>
      </c>
      <c r="R55" s="6">
        <f t="shared" si="102"/>
        <v>131.88068567509137</v>
      </c>
      <c r="S55" s="6">
        <f t="shared" si="102"/>
        <v>128.0555339862631</v>
      </c>
      <c r="T55" s="254">
        <f t="shared" si="102"/>
        <v>143.91541790377966</v>
      </c>
      <c r="U55" s="254">
        <f t="shared" si="102"/>
        <v>192.92232828986374</v>
      </c>
      <c r="V55" s="254">
        <f t="shared" ref="V55:W55" si="118">V32*V$60</f>
        <v>257.8439798198886</v>
      </c>
      <c r="W55" s="254">
        <f t="shared" si="118"/>
        <v>320.73148175150561</v>
      </c>
      <c r="X55" s="254">
        <f t="shared" si="102"/>
        <v>344.54986554066159</v>
      </c>
      <c r="Y55" s="6"/>
      <c r="Z55" s="6">
        <f t="shared" si="104"/>
        <v>130.05107807184956</v>
      </c>
      <c r="AA55" s="6">
        <f t="shared" si="105"/>
        <v>131.66989201940638</v>
      </c>
      <c r="AB55" s="6">
        <f t="shared" si="106"/>
        <v>131.88068567509137</v>
      </c>
      <c r="AC55" s="6">
        <f t="shared" si="107"/>
        <v>128.0555339862631</v>
      </c>
      <c r="AD55" s="254">
        <f t="shared" si="96"/>
        <v>136.71951644047903</v>
      </c>
      <c r="AE55" s="254">
        <f t="shared" si="96"/>
        <v>174.11223500317791</v>
      </c>
      <c r="AF55" s="254">
        <f t="shared" ref="AF55:AG55" si="119">AF32*AF$60</f>
        <v>221.02525354426686</v>
      </c>
      <c r="AG55" s="254">
        <f t="shared" si="119"/>
        <v>261.2262009886681</v>
      </c>
      <c r="AH55" s="254">
        <f t="shared" si="96"/>
        <v>266.52508836880941</v>
      </c>
      <c r="AI55" s="6"/>
      <c r="AJ55" s="6"/>
      <c r="AK55" s="6"/>
      <c r="AL55" s="6"/>
      <c r="AM55" s="6"/>
      <c r="AN55" s="6"/>
      <c r="AO55" s="6"/>
      <c r="AP55" s="6"/>
      <c r="AQ55" s="6"/>
      <c r="AR55" s="6"/>
      <c r="AS55" s="6"/>
      <c r="AT55" s="6"/>
      <c r="AU55" s="6"/>
      <c r="AV55" s="6"/>
      <c r="AW55" s="6"/>
    </row>
    <row r="56" spans="1:49">
      <c r="A56" t="s">
        <v>16</v>
      </c>
      <c r="B56" s="3" t="s">
        <v>402</v>
      </c>
      <c r="C56" s="3" t="s">
        <v>751</v>
      </c>
      <c r="D56" t="s">
        <v>137</v>
      </c>
      <c r="F56" s="37">
        <f t="shared" si="98"/>
        <v>39.825760684889083</v>
      </c>
      <c r="G56" s="6">
        <f t="shared" ref="G56" si="120">G33*G$60</f>
        <v>40.321492806641579</v>
      </c>
      <c r="H56" s="6">
        <f t="shared" si="92"/>
        <v>38.822974157550945</v>
      </c>
      <c r="I56" s="6">
        <f t="shared" si="92"/>
        <v>39.21466185843564</v>
      </c>
      <c r="J56" s="6">
        <f t="shared" si="92"/>
        <v>41.867887782356199</v>
      </c>
      <c r="K56" s="6">
        <f t="shared" si="92"/>
        <v>53.318733904547322</v>
      </c>
      <c r="L56" s="6">
        <f t="shared" ref="L56:M56" si="121">L33*L$60</f>
        <v>67.698326768260401</v>
      </c>
      <c r="M56" s="6">
        <f t="shared" si="121"/>
        <v>79.999290416113141</v>
      </c>
      <c r="N56" s="6">
        <f t="shared" si="92"/>
        <v>81.643240555652724</v>
      </c>
      <c r="P56" s="6">
        <f t="shared" si="101"/>
        <v>39.825760684889083</v>
      </c>
      <c r="Q56" s="6">
        <f t="shared" si="102"/>
        <v>40.321492806641579</v>
      </c>
      <c r="R56" s="6">
        <f t="shared" si="102"/>
        <v>38.822974157550945</v>
      </c>
      <c r="S56" s="6">
        <f t="shared" si="102"/>
        <v>39.21466185843564</v>
      </c>
      <c r="T56" s="254">
        <f t="shared" si="102"/>
        <v>44.071460823532846</v>
      </c>
      <c r="U56" s="254">
        <f t="shared" si="102"/>
        <v>59.07892953412447</v>
      </c>
      <c r="V56" s="254">
        <f t="shared" ref="V56:W56" si="122">V33*V$60</f>
        <v>78.959996230658021</v>
      </c>
      <c r="W56" s="254">
        <f t="shared" si="122"/>
        <v>98.218141869522995</v>
      </c>
      <c r="X56" s="254">
        <f t="shared" si="102"/>
        <v>105.51208565493091</v>
      </c>
      <c r="Y56" s="6"/>
      <c r="Z56" s="6">
        <f t="shared" si="104"/>
        <v>39.825760684889083</v>
      </c>
      <c r="AA56" s="6">
        <f t="shared" si="105"/>
        <v>40.321492806641579</v>
      </c>
      <c r="AB56" s="6">
        <f t="shared" si="106"/>
        <v>38.822974157550945</v>
      </c>
      <c r="AC56" s="6">
        <f t="shared" si="107"/>
        <v>39.21466185843564</v>
      </c>
      <c r="AD56" s="254">
        <f t="shared" si="96"/>
        <v>41.867847798263455</v>
      </c>
      <c r="AE56" s="254">
        <f t="shared" si="96"/>
        <v>53.318682984825443</v>
      </c>
      <c r="AF56" s="254">
        <f t="shared" ref="AF56:AG56" si="123">AF33*AF$60</f>
        <v>67.684935668951326</v>
      </c>
      <c r="AG56" s="254">
        <f t="shared" si="123"/>
        <v>79.995739515898293</v>
      </c>
      <c r="AH56" s="254">
        <f t="shared" si="96"/>
        <v>81.618426723313064</v>
      </c>
      <c r="AI56" s="6"/>
      <c r="AJ56" s="6"/>
      <c r="AK56" s="6"/>
      <c r="AL56" s="6"/>
      <c r="AM56" s="6"/>
      <c r="AN56" s="6"/>
      <c r="AO56" s="6"/>
      <c r="AP56" s="6"/>
      <c r="AQ56" s="6"/>
      <c r="AR56" s="6"/>
      <c r="AS56" s="6"/>
      <c r="AT56" s="6"/>
      <c r="AU56" s="6"/>
      <c r="AV56" s="6"/>
      <c r="AW56" s="6"/>
    </row>
    <row r="57" spans="1:49">
      <c r="A57" t="s">
        <v>16</v>
      </c>
      <c r="B57" s="3" t="s">
        <v>403</v>
      </c>
      <c r="C57" s="3" t="s">
        <v>752</v>
      </c>
      <c r="D57" t="s">
        <v>137</v>
      </c>
      <c r="F57" s="37">
        <f t="shared" si="98"/>
        <v>2.2490953086010257</v>
      </c>
      <c r="G57" s="6">
        <f t="shared" ref="G57" si="124">G34*G$60</f>
        <v>2.2770909769870764</v>
      </c>
      <c r="H57" s="6">
        <f t="shared" si="92"/>
        <v>2.1924645641939198</v>
      </c>
      <c r="I57" s="6">
        <f t="shared" si="92"/>
        <v>2.2145844924852267</v>
      </c>
      <c r="J57" s="6">
        <f t="shared" si="92"/>
        <v>2.3644211277566409</v>
      </c>
      <c r="K57" s="6">
        <f t="shared" si="92"/>
        <v>3.01108910973706</v>
      </c>
      <c r="L57" s="6">
        <f t="shared" ref="L57:M57" si="125">L34*L$60</f>
        <v>3.8231533187614692</v>
      </c>
      <c r="M57" s="6">
        <f t="shared" si="125"/>
        <v>4.5178303106350866</v>
      </c>
      <c r="N57" s="6">
        <f t="shared" si="92"/>
        <v>4.610669731221857</v>
      </c>
      <c r="P57" s="6">
        <f t="shared" si="101"/>
        <v>2.2490953086010257</v>
      </c>
      <c r="Q57" s="6">
        <f t="shared" si="102"/>
        <v>2.2770909769870764</v>
      </c>
      <c r="R57" s="6">
        <f t="shared" si="102"/>
        <v>2.1924645641939198</v>
      </c>
      <c r="S57" s="6">
        <f t="shared" si="102"/>
        <v>2.2145844924852267</v>
      </c>
      <c r="T57" s="254">
        <f t="shared" si="102"/>
        <v>2.4888643450069905</v>
      </c>
      <c r="U57" s="254">
        <f t="shared" si="102"/>
        <v>3.3363868251934181</v>
      </c>
      <c r="V57" s="254">
        <f t="shared" ref="V57:W57" si="126">V34*V$60</f>
        <v>4.4591378553858814</v>
      </c>
      <c r="W57" s="254">
        <f t="shared" si="126"/>
        <v>5.5467104281091615</v>
      </c>
      <c r="X57" s="254">
        <f t="shared" si="102"/>
        <v>5.9586240856726436</v>
      </c>
      <c r="Y57" s="6"/>
      <c r="Z57" s="6">
        <f t="shared" si="104"/>
        <v>2.2490953086010257</v>
      </c>
      <c r="AA57" s="6">
        <f t="shared" si="105"/>
        <v>2.2770909769870764</v>
      </c>
      <c r="AB57" s="6">
        <f t="shared" si="106"/>
        <v>2.1924645641939198</v>
      </c>
      <c r="AC57" s="6">
        <f t="shared" si="107"/>
        <v>2.2145844924852267</v>
      </c>
      <c r="AD57" s="254">
        <f t="shared" si="96"/>
        <v>2.3644188697197861</v>
      </c>
      <c r="AE57" s="254">
        <f t="shared" si="96"/>
        <v>3.0110862341282676</v>
      </c>
      <c r="AF57" s="254">
        <f t="shared" ref="AF57:AG57" si="127">AF34*AF$60</f>
        <v>3.8223970781243763</v>
      </c>
      <c r="AG57" s="254">
        <f t="shared" si="127"/>
        <v>4.5176297792986562</v>
      </c>
      <c r="AH57" s="254">
        <f t="shared" si="96"/>
        <v>4.6092684102440833</v>
      </c>
      <c r="AI57" s="6"/>
      <c r="AJ57" s="6"/>
      <c r="AK57" s="6"/>
      <c r="AL57" s="6"/>
      <c r="AM57" s="6"/>
      <c r="AN57" s="6"/>
      <c r="AO57" s="6"/>
      <c r="AP57" s="6"/>
      <c r="AQ57" s="6"/>
      <c r="AR57" s="6"/>
      <c r="AS57" s="6"/>
      <c r="AT57" s="6"/>
      <c r="AU57" s="6"/>
      <c r="AV57" s="6"/>
      <c r="AW57" s="6"/>
    </row>
    <row r="58" spans="1:49">
      <c r="A58" t="s">
        <v>16</v>
      </c>
      <c r="B58" s="3" t="s">
        <v>404</v>
      </c>
      <c r="C58" s="3" t="s">
        <v>753</v>
      </c>
      <c r="D58" t="s">
        <v>137</v>
      </c>
      <c r="F58" s="37">
        <f t="shared" si="98"/>
        <v>0.64433067785501452</v>
      </c>
      <c r="G58" s="6">
        <f t="shared" ref="G58" si="128">G35*G$60</f>
        <v>0.65235099959024967</v>
      </c>
      <c r="H58" s="6">
        <f t="shared" si="92"/>
        <v>0.62810685408386391</v>
      </c>
      <c r="I58" s="6">
        <f t="shared" si="92"/>
        <v>0.63444386805367525</v>
      </c>
      <c r="J58" s="6">
        <f t="shared" si="92"/>
        <v>0.67736972379786653</v>
      </c>
      <c r="K58" s="6">
        <f t="shared" si="92"/>
        <v>0.86263000048918725</v>
      </c>
      <c r="L58" s="6">
        <f t="shared" ref="L58:M58" si="129">L35*L$60</f>
        <v>1.0952737129461556</v>
      </c>
      <c r="M58" s="6">
        <f t="shared" si="129"/>
        <v>1.2942878211311157</v>
      </c>
      <c r="N58" s="6">
        <f t="shared" si="92"/>
        <v>1.3208848650934495</v>
      </c>
      <c r="P58" s="6">
        <f t="shared" si="101"/>
        <v>0.64433067785501452</v>
      </c>
      <c r="Q58" s="6">
        <f t="shared" si="102"/>
        <v>0.65235099959024967</v>
      </c>
      <c r="R58" s="6">
        <f t="shared" si="102"/>
        <v>0.62810685408386391</v>
      </c>
      <c r="S58" s="6">
        <f t="shared" si="102"/>
        <v>0.63444386805367525</v>
      </c>
      <c r="T58" s="254">
        <f t="shared" si="102"/>
        <v>0.71302076189249108</v>
      </c>
      <c r="U58" s="254">
        <f t="shared" si="102"/>
        <v>0.95582271522347628</v>
      </c>
      <c r="V58" s="254">
        <f t="shared" ref="V58:W58" si="130">V35*V$60</f>
        <v>1.2774733494050514</v>
      </c>
      <c r="W58" s="254">
        <f t="shared" si="130"/>
        <v>1.5890459049652672</v>
      </c>
      <c r="X58" s="254">
        <f t="shared" si="102"/>
        <v>1.7070527342804307</v>
      </c>
      <c r="Y58" s="6"/>
      <c r="Z58" s="6">
        <f t="shared" si="104"/>
        <v>0.64433067785501452</v>
      </c>
      <c r="AA58" s="6">
        <f t="shared" si="105"/>
        <v>0.65235099959024967</v>
      </c>
      <c r="AB58" s="6">
        <f t="shared" si="106"/>
        <v>0.62810685408386391</v>
      </c>
      <c r="AC58" s="6">
        <f t="shared" si="107"/>
        <v>0.63444386805367525</v>
      </c>
      <c r="AD58" s="254">
        <f t="shared" si="96"/>
        <v>0.67736907690557524</v>
      </c>
      <c r="AE58" s="254">
        <f t="shared" si="96"/>
        <v>0.86262917667218164</v>
      </c>
      <c r="AF58" s="254">
        <f t="shared" ref="AF58:AG58" si="131">AF35*AF$60</f>
        <v>1.0950570618151625</v>
      </c>
      <c r="AG58" s="254">
        <f t="shared" si="131"/>
        <v>1.2942303720352772</v>
      </c>
      <c r="AH58" s="254">
        <f t="shared" si="96"/>
        <v>1.3204834085202004</v>
      </c>
      <c r="AI58" s="6"/>
      <c r="AJ58" s="6"/>
      <c r="AK58" s="6"/>
      <c r="AL58" s="6"/>
      <c r="AM58" s="6"/>
      <c r="AN58" s="6"/>
      <c r="AO58" s="6"/>
      <c r="AP58" s="6"/>
      <c r="AQ58" s="6"/>
      <c r="AR58" s="6"/>
      <c r="AS58" s="6"/>
      <c r="AT58" s="6"/>
      <c r="AU58" s="6"/>
      <c r="AV58" s="6"/>
      <c r="AW58" s="6"/>
    </row>
    <row r="59" spans="1:49">
      <c r="A59" t="s">
        <v>16</v>
      </c>
      <c r="B59" s="3" t="s">
        <v>366</v>
      </c>
      <c r="C59" s="3" t="s">
        <v>754</v>
      </c>
      <c r="D59" t="s">
        <v>137</v>
      </c>
      <c r="F59" s="37">
        <f>F102</f>
        <v>22</v>
      </c>
      <c r="G59" s="6">
        <f t="shared" ref="G59" si="132">G36*G$60</f>
        <v>19.218049126986699</v>
      </c>
      <c r="H59" s="6">
        <f t="shared" si="92"/>
        <v>17.206637381742077</v>
      </c>
      <c r="I59" s="6">
        <f t="shared" si="92"/>
        <v>16.506720027229584</v>
      </c>
      <c r="J59" s="6">
        <f t="shared" si="92"/>
        <v>28.203596973820897</v>
      </c>
      <c r="K59" s="6">
        <f t="shared" si="92"/>
        <v>61.531049731434578</v>
      </c>
      <c r="L59" s="6">
        <f t="shared" ref="L59:M59" si="133">L36*L$60</f>
        <v>100.11110066222132</v>
      </c>
      <c r="M59" s="6">
        <f t="shared" si="133"/>
        <v>145.64946887396664</v>
      </c>
      <c r="N59" s="6">
        <f t="shared" si="92"/>
        <v>178.02134980359452</v>
      </c>
      <c r="P59" s="6">
        <f t="shared" si="101"/>
        <v>22</v>
      </c>
      <c r="Q59" s="6">
        <f t="shared" si="102"/>
        <v>22.273845533418598</v>
      </c>
      <c r="R59" s="6">
        <f t="shared" si="102"/>
        <v>16.341846000266067</v>
      </c>
      <c r="S59" s="6">
        <f t="shared" si="102"/>
        <v>21.662425175294217</v>
      </c>
      <c r="T59" s="254">
        <f t="shared" si="102"/>
        <v>24.345351386737054</v>
      </c>
      <c r="U59" s="254">
        <f t="shared" si="102"/>
        <v>32.635571233266909</v>
      </c>
      <c r="V59" s="254">
        <f t="shared" ref="V59:W59" si="134">V36*V$60</f>
        <v>43.617997175722103</v>
      </c>
      <c r="W59" s="254">
        <f t="shared" si="134"/>
        <v>54.256317618796132</v>
      </c>
      <c r="X59" s="254">
        <f t="shared" si="102"/>
        <v>58.285537915393242</v>
      </c>
      <c r="Y59" s="6"/>
      <c r="Z59" s="6">
        <f t="shared" si="104"/>
        <v>22</v>
      </c>
      <c r="AA59" s="6">
        <f t="shared" si="105"/>
        <v>22.273845533418598</v>
      </c>
      <c r="AB59" s="6">
        <f t="shared" si="106"/>
        <v>16.341846000266067</v>
      </c>
      <c r="AC59" s="6">
        <f t="shared" si="107"/>
        <v>21.662425175294217</v>
      </c>
      <c r="AD59" s="254">
        <f t="shared" si="96"/>
        <v>35.39933406239382</v>
      </c>
      <c r="AE59" s="254">
        <f t="shared" si="96"/>
        <v>61.530990968900106</v>
      </c>
      <c r="AF59" s="254">
        <f t="shared" ref="AF59:AG59" si="135">AF36*AF$60</f>
        <v>100.09129813895515</v>
      </c>
      <c r="AG59" s="254">
        <f t="shared" si="135"/>
        <v>145.6430039824954</v>
      </c>
      <c r="AH59" s="254">
        <f t="shared" si="96"/>
        <v>177.9672437698697</v>
      </c>
      <c r="AI59" s="6"/>
      <c r="AJ59" s="6"/>
      <c r="AK59" s="6"/>
      <c r="AL59" s="6"/>
      <c r="AM59" s="6"/>
      <c r="AN59" s="6"/>
      <c r="AO59" s="6"/>
      <c r="AP59" s="6"/>
      <c r="AQ59" s="6"/>
      <c r="AR59" s="6"/>
      <c r="AS59" s="6"/>
      <c r="AT59" s="6"/>
      <c r="AU59" s="6"/>
      <c r="AV59" s="6"/>
      <c r="AW59" s="6"/>
    </row>
    <row r="60" spans="1:49">
      <c r="A60" t="s">
        <v>16</v>
      </c>
      <c r="B60" s="3"/>
      <c r="C60" s="1" t="s">
        <v>5</v>
      </c>
      <c r="D60" s="2" t="s">
        <v>137</v>
      </c>
      <c r="E60" s="2"/>
      <c r="F60" s="35">
        <f>SUM(F51:F59)</f>
        <v>221.78217504183343</v>
      </c>
      <c r="G60" s="35">
        <f>F60*(1+(F22+G22)/2*((G7/F7)^(1/(G$4-F$4))-1))^(G$4-F$4)</f>
        <v>224.5428140430638</v>
      </c>
      <c r="H60" s="35">
        <f t="shared" ref="H60:N60" si="136">G60*(1+(G22+H22)/2*((H7/G7)^(1/(H$4-G$4))-1))^(H$4-G$4)</f>
        <v>216.19784536900227</v>
      </c>
      <c r="I60" s="35">
        <f t="shared" si="136"/>
        <v>218.37908054807826</v>
      </c>
      <c r="J60" s="35">
        <f t="shared" si="136"/>
        <v>245.42568103219364</v>
      </c>
      <c r="K60" s="35">
        <f t="shared" si="136"/>
        <v>328.99945326575568</v>
      </c>
      <c r="L60" s="35">
        <f t="shared" si="136"/>
        <v>439.71337657273619</v>
      </c>
      <c r="M60" s="35">
        <f t="shared" si="136"/>
        <v>546.95836960259794</v>
      </c>
      <c r="N60" s="35">
        <f t="shared" si="136"/>
        <v>587.57697147087106</v>
      </c>
      <c r="P60" s="61">
        <f>$F60</f>
        <v>221.78217504183343</v>
      </c>
      <c r="Q60" s="35">
        <f>P60*(1+(P22+Q22)/2*((Q7/P7)^(1/(Q$4-P$4))-1))^(Q$4-P$4)</f>
        <v>224.5428140430638</v>
      </c>
      <c r="R60" s="35">
        <f t="shared" ref="R60:X60" si="137">Q60*(1+(Q22+R22)/2*((R7/Q7)^(1/(R$4-Q$4))-1))^(R$4-Q$4)</f>
        <v>216.19784536900227</v>
      </c>
      <c r="S60" s="35">
        <f t="shared" si="137"/>
        <v>218.37908054807826</v>
      </c>
      <c r="T60" s="35">
        <f t="shared" si="137"/>
        <v>245.42568103219364</v>
      </c>
      <c r="U60" s="35">
        <f t="shared" si="137"/>
        <v>328.99945326575568</v>
      </c>
      <c r="V60" s="35">
        <f t="shared" si="137"/>
        <v>439.71337657273619</v>
      </c>
      <c r="W60" s="35">
        <f t="shared" si="137"/>
        <v>546.95836960259794</v>
      </c>
      <c r="X60" s="35">
        <f t="shared" si="137"/>
        <v>587.57697147087106</v>
      </c>
      <c r="Z60" s="61">
        <f>P60</f>
        <v>221.78217504183343</v>
      </c>
      <c r="AA60" s="61">
        <f t="shared" si="105"/>
        <v>224.5428140430638</v>
      </c>
      <c r="AB60" s="61">
        <f t="shared" si="106"/>
        <v>216.19784536900227</v>
      </c>
      <c r="AC60" s="61">
        <f t="shared" si="107"/>
        <v>218.37908054807826</v>
      </c>
      <c r="AD60" s="255">
        <f>AB60*(1+(AB22+AD22)/2*((AD7/AB7)^(1/(AD$4-AB$4))-1))^(AD$4-AB$4)</f>
        <v>245.42544664914467</v>
      </c>
      <c r="AE60" s="255">
        <f>AD60*(1+(AD22+AE22)/2*((AE7/AD7)^(1/(AE$4-AD$4))-1))^(AE$4-AD$4)</f>
        <v>328.99913906923541</v>
      </c>
      <c r="AF60" s="255">
        <f>AC60*(1+(AC22+AF22)/2*((AF7/AC7)^(1/(AF$4-AC$4))-1))^(AF$4-AC$4)</f>
        <v>439.62639886184871</v>
      </c>
      <c r="AG60" s="255">
        <f>AD60*(1+(AD22+AG22)/2*((AG7/AD7)^(1/(AG$4-AD$4))-1))^(AG$4-AD$4)</f>
        <v>546.93409195485845</v>
      </c>
      <c r="AH60" s="255">
        <f>AE60*(1+(AE22+AH22)/2*((AH7/AE7)^(1/(AH$4-AE$4))-1))^(AH$4-AE$4)</f>
        <v>587.39838918582825</v>
      </c>
    </row>
    <row r="61" spans="1:49">
      <c r="A61" t="s">
        <v>16</v>
      </c>
      <c r="B61" s="3"/>
      <c r="C61" s="1"/>
      <c r="D61" s="2"/>
      <c r="E61" s="2"/>
      <c r="F61" s="6"/>
      <c r="H61" s="6"/>
      <c r="J61" s="6"/>
      <c r="K61" s="6"/>
      <c r="L61" s="6"/>
      <c r="M61" s="6"/>
      <c r="N61" s="6"/>
    </row>
    <row r="62" spans="1:49" ht="15.75" thickBot="1">
      <c r="A62" t="s">
        <v>16</v>
      </c>
      <c r="B62" s="9" t="s">
        <v>136</v>
      </c>
      <c r="C62" s="9"/>
      <c r="D62" s="9"/>
      <c r="F62" s="37" t="s">
        <v>765</v>
      </c>
    </row>
    <row r="63" spans="1:49">
      <c r="A63" t="s">
        <v>16</v>
      </c>
      <c r="B63" t="s">
        <v>139</v>
      </c>
      <c r="C63" t="s">
        <v>140</v>
      </c>
      <c r="D63" t="s">
        <v>135</v>
      </c>
      <c r="F63" s="37">
        <v>0.39784000000000003</v>
      </c>
      <c r="G63" s="47">
        <f t="shared" ref="G63:G72" si="138">F63</f>
        <v>0.39784000000000003</v>
      </c>
      <c r="H63" s="47">
        <f t="shared" ref="H63:H72" si="139">IF($D$4,AB63,R63)</f>
        <v>0.39784000000000003</v>
      </c>
      <c r="I63" s="47">
        <f t="shared" ref="I63:I72" si="140">IF($D$4,AD63,T63)</f>
        <v>0.39784000000000003</v>
      </c>
      <c r="J63" s="47">
        <f t="shared" ref="J63:J72" si="141">IF($D$4,AD63,T63)</f>
        <v>0.39784000000000003</v>
      </c>
      <c r="K63" s="47">
        <f t="shared" ref="K63:K72" si="142">IF($D$4,AE63,U63)</f>
        <v>0.39784000000000003</v>
      </c>
      <c r="L63" s="47">
        <f t="shared" ref="L63:N72" si="143">IF($D$4,AF63,V63)</f>
        <v>0.39784000000000003</v>
      </c>
      <c r="M63" s="47">
        <f t="shared" si="143"/>
        <v>0.39784000000000003</v>
      </c>
      <c r="N63" s="47">
        <f t="shared" si="143"/>
        <v>0.39784000000000003</v>
      </c>
      <c r="O63" s="3"/>
      <c r="P63" s="47">
        <f t="shared" ref="P63:P72" si="144">$F63</f>
        <v>0.39784000000000003</v>
      </c>
      <c r="Q63" s="47">
        <f>P63</f>
        <v>0.39784000000000003</v>
      </c>
      <c r="R63" s="47">
        <f t="shared" ref="R63:S63" si="145">Q63</f>
        <v>0.39784000000000003</v>
      </c>
      <c r="S63" s="47">
        <f t="shared" si="145"/>
        <v>0.39784000000000003</v>
      </c>
      <c r="T63" s="34">
        <f t="shared" ref="T63:T72" si="146">R63</f>
        <v>0.39784000000000003</v>
      </c>
      <c r="U63" s="34">
        <f t="shared" ref="U63:U72" si="147">T63</f>
        <v>0.39784000000000003</v>
      </c>
      <c r="V63" s="34">
        <f t="shared" ref="V63:V72" si="148">R63</f>
        <v>0.39784000000000003</v>
      </c>
      <c r="W63" s="34">
        <f t="shared" ref="W63:W72" si="149">S63</f>
        <v>0.39784000000000003</v>
      </c>
      <c r="X63" s="34">
        <f t="shared" ref="X63:X72" si="150">T63</f>
        <v>0.39784000000000003</v>
      </c>
      <c r="Y63" s="198"/>
      <c r="Z63" s="47">
        <f>P63</f>
        <v>0.39784000000000003</v>
      </c>
      <c r="AA63" s="47">
        <f>Q63</f>
        <v>0.39784000000000003</v>
      </c>
      <c r="AB63" s="47">
        <f>R63</f>
        <v>0.39784000000000003</v>
      </c>
      <c r="AC63" s="47">
        <f>S63</f>
        <v>0.39784000000000003</v>
      </c>
      <c r="AD63" s="34">
        <f t="shared" ref="AD63:AD72" si="151">AB63</f>
        <v>0.39784000000000003</v>
      </c>
      <c r="AE63" s="34">
        <f t="shared" ref="AE63:AE72" si="152">AD63</f>
        <v>0.39784000000000003</v>
      </c>
      <c r="AF63" s="34">
        <f t="shared" ref="AF63:AF72" si="153">AB63</f>
        <v>0.39784000000000003</v>
      </c>
      <c r="AG63" s="34">
        <f t="shared" ref="AG63:AG72" si="154">AC63</f>
        <v>0.39784000000000003</v>
      </c>
      <c r="AH63" s="34">
        <f t="shared" ref="AH63:AH72" si="155">AD63</f>
        <v>0.39784000000000003</v>
      </c>
      <c r="AI63" s="198"/>
      <c r="AJ63" s="198"/>
      <c r="AK63" s="198"/>
      <c r="AL63" s="198"/>
      <c r="AM63" s="198"/>
      <c r="AN63" s="198"/>
      <c r="AO63" s="198"/>
      <c r="AP63" s="198"/>
      <c r="AQ63" s="198"/>
      <c r="AR63" s="198"/>
      <c r="AS63" s="198"/>
      <c r="AT63" s="198"/>
      <c r="AU63" s="198"/>
      <c r="AV63" s="198"/>
      <c r="AW63" s="198"/>
    </row>
    <row r="64" spans="1:49">
      <c r="A64" t="s">
        <v>16</v>
      </c>
      <c r="B64" t="s">
        <v>396</v>
      </c>
      <c r="C64" t="s">
        <v>405</v>
      </c>
      <c r="D64" t="s">
        <v>135</v>
      </c>
      <c r="F64" s="37">
        <v>1.4841</v>
      </c>
      <c r="G64" s="47">
        <f t="shared" si="138"/>
        <v>1.4841</v>
      </c>
      <c r="H64" s="47">
        <f t="shared" si="139"/>
        <v>1.4841</v>
      </c>
      <c r="I64" s="47">
        <f t="shared" si="140"/>
        <v>1.4841</v>
      </c>
      <c r="J64" s="47">
        <f t="shared" si="141"/>
        <v>1.4841</v>
      </c>
      <c r="K64" s="47">
        <f t="shared" si="142"/>
        <v>1.4841</v>
      </c>
      <c r="L64" s="47">
        <f t="shared" si="143"/>
        <v>1.4841</v>
      </c>
      <c r="M64" s="47">
        <f t="shared" si="143"/>
        <v>1.4841</v>
      </c>
      <c r="N64" s="47">
        <f t="shared" si="143"/>
        <v>1.4841</v>
      </c>
      <c r="O64" s="3"/>
      <c r="P64" s="47">
        <f t="shared" si="144"/>
        <v>1.4841</v>
      </c>
      <c r="Q64" s="47">
        <f t="shared" ref="Q64:Q71" si="156">P64</f>
        <v>1.4841</v>
      </c>
      <c r="R64" s="47">
        <f t="shared" ref="R64:S64" si="157">Q64</f>
        <v>1.4841</v>
      </c>
      <c r="S64" s="47">
        <f t="shared" si="157"/>
        <v>1.4841</v>
      </c>
      <c r="T64" s="34">
        <f t="shared" si="146"/>
        <v>1.4841</v>
      </c>
      <c r="U64" s="34">
        <f t="shared" si="147"/>
        <v>1.4841</v>
      </c>
      <c r="V64" s="34">
        <f t="shared" si="148"/>
        <v>1.4841</v>
      </c>
      <c r="W64" s="34">
        <f t="shared" si="149"/>
        <v>1.4841</v>
      </c>
      <c r="X64" s="34">
        <f t="shared" si="150"/>
        <v>1.4841</v>
      </c>
      <c r="Y64" s="198"/>
      <c r="Z64" s="47">
        <f t="shared" ref="Z64:Z72" si="158">P64</f>
        <v>1.4841</v>
      </c>
      <c r="AA64" s="47">
        <f t="shared" ref="AA64:AA72" si="159">Q64</f>
        <v>1.4841</v>
      </c>
      <c r="AB64" s="47">
        <f t="shared" ref="AB64:AB72" si="160">R64</f>
        <v>1.4841</v>
      </c>
      <c r="AC64" s="47">
        <f t="shared" ref="AC64:AC72" si="161">S64</f>
        <v>1.4841</v>
      </c>
      <c r="AD64" s="34">
        <f t="shared" si="151"/>
        <v>1.4841</v>
      </c>
      <c r="AE64" s="34">
        <f t="shared" si="152"/>
        <v>1.4841</v>
      </c>
      <c r="AF64" s="34">
        <f t="shared" si="153"/>
        <v>1.4841</v>
      </c>
      <c r="AG64" s="34">
        <f t="shared" si="154"/>
        <v>1.4841</v>
      </c>
      <c r="AH64" s="34">
        <f t="shared" si="155"/>
        <v>1.4841</v>
      </c>
      <c r="AI64" s="198"/>
      <c r="AJ64" s="198"/>
      <c r="AK64" s="198"/>
      <c r="AL64" s="198"/>
      <c r="AM64" s="198"/>
      <c r="AN64" s="198"/>
      <c r="AO64" s="198"/>
      <c r="AP64" s="198"/>
      <c r="AQ64" s="198"/>
      <c r="AR64" s="198"/>
      <c r="AS64" s="198"/>
      <c r="AT64" s="198"/>
      <c r="AU64" s="198"/>
      <c r="AV64" s="198"/>
      <c r="AW64" s="198"/>
    </row>
    <row r="65" spans="1:50">
      <c r="A65" t="s">
        <v>16</v>
      </c>
      <c r="B65" t="s">
        <v>397</v>
      </c>
      <c r="C65" t="s">
        <v>406</v>
      </c>
      <c r="D65" t="s">
        <v>135</v>
      </c>
      <c r="F65" s="37">
        <v>2.5009999999999999</v>
      </c>
      <c r="G65" s="47">
        <f t="shared" si="138"/>
        <v>2.5009999999999999</v>
      </c>
      <c r="H65" s="47">
        <f t="shared" si="139"/>
        <v>2.5009999999999999</v>
      </c>
      <c r="I65" s="47">
        <f t="shared" si="140"/>
        <v>2.5009999999999999</v>
      </c>
      <c r="J65" s="47">
        <f t="shared" si="141"/>
        <v>2.5009999999999999</v>
      </c>
      <c r="K65" s="47">
        <f t="shared" si="142"/>
        <v>2.5009999999999999</v>
      </c>
      <c r="L65" s="47">
        <f t="shared" si="143"/>
        <v>2.5009999999999999</v>
      </c>
      <c r="M65" s="47">
        <f t="shared" si="143"/>
        <v>2.5009999999999999</v>
      </c>
      <c r="N65" s="47">
        <f t="shared" si="143"/>
        <v>2.5009999999999999</v>
      </c>
      <c r="O65" s="3"/>
      <c r="P65" s="47">
        <f t="shared" si="144"/>
        <v>2.5009999999999999</v>
      </c>
      <c r="Q65" s="47">
        <f t="shared" si="156"/>
        <v>2.5009999999999999</v>
      </c>
      <c r="R65" s="47">
        <f t="shared" ref="R65:S65" si="162">Q65</f>
        <v>2.5009999999999999</v>
      </c>
      <c r="S65" s="47">
        <f t="shared" si="162"/>
        <v>2.5009999999999999</v>
      </c>
      <c r="T65" s="34">
        <f t="shared" si="146"/>
        <v>2.5009999999999999</v>
      </c>
      <c r="U65" s="34">
        <f t="shared" si="147"/>
        <v>2.5009999999999999</v>
      </c>
      <c r="V65" s="34">
        <f t="shared" si="148"/>
        <v>2.5009999999999999</v>
      </c>
      <c r="W65" s="34">
        <f t="shared" si="149"/>
        <v>2.5009999999999999</v>
      </c>
      <c r="X65" s="34">
        <f t="shared" si="150"/>
        <v>2.5009999999999999</v>
      </c>
      <c r="Y65" s="198"/>
      <c r="Z65" s="47">
        <f t="shared" si="158"/>
        <v>2.5009999999999999</v>
      </c>
      <c r="AA65" s="47">
        <f t="shared" si="159"/>
        <v>2.5009999999999999</v>
      </c>
      <c r="AB65" s="47">
        <f t="shared" si="160"/>
        <v>2.5009999999999999</v>
      </c>
      <c r="AC65" s="47">
        <f t="shared" si="161"/>
        <v>2.5009999999999999</v>
      </c>
      <c r="AD65" s="34">
        <f t="shared" si="151"/>
        <v>2.5009999999999999</v>
      </c>
      <c r="AE65" s="34">
        <f t="shared" si="152"/>
        <v>2.5009999999999999</v>
      </c>
      <c r="AF65" s="34">
        <f t="shared" si="153"/>
        <v>2.5009999999999999</v>
      </c>
      <c r="AG65" s="34">
        <f t="shared" si="154"/>
        <v>2.5009999999999999</v>
      </c>
      <c r="AH65" s="34">
        <f t="shared" si="155"/>
        <v>2.5009999999999999</v>
      </c>
      <c r="AI65" s="198"/>
      <c r="AJ65" s="198"/>
      <c r="AK65" s="198"/>
      <c r="AL65" s="198"/>
      <c r="AM65" s="198"/>
      <c r="AN65" s="198"/>
      <c r="AO65" s="198"/>
      <c r="AP65" s="198"/>
      <c r="AQ65" s="198"/>
      <c r="AR65" s="198"/>
      <c r="AS65" s="198"/>
      <c r="AT65" s="198"/>
      <c r="AU65" s="198"/>
      <c r="AV65" s="198"/>
      <c r="AW65" s="198"/>
    </row>
    <row r="66" spans="1:50">
      <c r="A66" t="s">
        <v>16</v>
      </c>
      <c r="B66" t="s">
        <v>398</v>
      </c>
      <c r="C66" t="s">
        <v>407</v>
      </c>
      <c r="D66" t="s">
        <v>135</v>
      </c>
      <c r="F66" s="37">
        <v>5.0070955734014992</v>
      </c>
      <c r="G66" s="47">
        <f t="shared" si="138"/>
        <v>5.0070955734014992</v>
      </c>
      <c r="H66" s="47">
        <f t="shared" si="139"/>
        <v>5.0070955734014992</v>
      </c>
      <c r="I66" s="47">
        <f t="shared" si="140"/>
        <v>5.0070955734014992</v>
      </c>
      <c r="J66" s="47">
        <f t="shared" si="141"/>
        <v>5.0070955734014992</v>
      </c>
      <c r="K66" s="47">
        <f t="shared" si="142"/>
        <v>5.0070955734014992</v>
      </c>
      <c r="L66" s="47">
        <f t="shared" si="143"/>
        <v>5.0070955734014992</v>
      </c>
      <c r="M66" s="47">
        <f t="shared" si="143"/>
        <v>5.0070955734014992</v>
      </c>
      <c r="N66" s="47">
        <f t="shared" si="143"/>
        <v>5.0070955734014992</v>
      </c>
      <c r="O66" s="3"/>
      <c r="P66" s="47">
        <f t="shared" si="144"/>
        <v>5.0070955734014992</v>
      </c>
      <c r="Q66" s="47">
        <f t="shared" si="156"/>
        <v>5.0070955734014992</v>
      </c>
      <c r="R66" s="47">
        <f t="shared" ref="R66:S66" si="163">Q66</f>
        <v>5.0070955734014992</v>
      </c>
      <c r="S66" s="47">
        <f t="shared" si="163"/>
        <v>5.0070955734014992</v>
      </c>
      <c r="T66" s="34">
        <f t="shared" si="146"/>
        <v>5.0070955734014992</v>
      </c>
      <c r="U66" s="34">
        <f t="shared" si="147"/>
        <v>5.0070955734014992</v>
      </c>
      <c r="V66" s="34">
        <f t="shared" si="148"/>
        <v>5.0070955734014992</v>
      </c>
      <c r="W66" s="34">
        <f t="shared" si="149"/>
        <v>5.0070955734014992</v>
      </c>
      <c r="X66" s="34">
        <f t="shared" si="150"/>
        <v>5.0070955734014992</v>
      </c>
      <c r="Y66" s="198"/>
      <c r="Z66" s="47">
        <f t="shared" si="158"/>
        <v>5.0070955734014992</v>
      </c>
      <c r="AA66" s="47">
        <f t="shared" si="159"/>
        <v>5.0070955734014992</v>
      </c>
      <c r="AB66" s="47">
        <f t="shared" si="160"/>
        <v>5.0070955734014992</v>
      </c>
      <c r="AC66" s="47">
        <f t="shared" si="161"/>
        <v>5.0070955734014992</v>
      </c>
      <c r="AD66" s="34">
        <f t="shared" si="151"/>
        <v>5.0070955734014992</v>
      </c>
      <c r="AE66" s="34">
        <f t="shared" si="152"/>
        <v>5.0070955734014992</v>
      </c>
      <c r="AF66" s="34">
        <f t="shared" si="153"/>
        <v>5.0070955734014992</v>
      </c>
      <c r="AG66" s="34">
        <f t="shared" si="154"/>
        <v>5.0070955734014992</v>
      </c>
      <c r="AH66" s="34">
        <f t="shared" si="155"/>
        <v>5.0070955734014992</v>
      </c>
      <c r="AI66" s="198"/>
      <c r="AJ66" s="198"/>
      <c r="AK66" s="198"/>
      <c r="AL66" s="198"/>
      <c r="AM66" s="198"/>
      <c r="AN66" s="198"/>
      <c r="AO66" s="198"/>
      <c r="AP66" s="198"/>
      <c r="AQ66" s="198"/>
      <c r="AR66" s="198"/>
      <c r="AS66" s="198"/>
      <c r="AT66" s="198"/>
      <c r="AU66" s="198"/>
      <c r="AV66" s="198"/>
      <c r="AW66" s="198"/>
    </row>
    <row r="67" spans="1:50">
      <c r="A67" t="s">
        <v>16</v>
      </c>
      <c r="B67" t="s">
        <v>399</v>
      </c>
      <c r="C67" t="s">
        <v>408</v>
      </c>
      <c r="D67" t="s">
        <v>135</v>
      </c>
      <c r="F67" s="37">
        <v>7.9193584801965402</v>
      </c>
      <c r="G67" s="47">
        <f t="shared" si="138"/>
        <v>7.9193584801965402</v>
      </c>
      <c r="H67" s="47">
        <f t="shared" si="139"/>
        <v>7.9193584801965402</v>
      </c>
      <c r="I67" s="47">
        <f t="shared" si="140"/>
        <v>7.9193584801965402</v>
      </c>
      <c r="J67" s="47">
        <f t="shared" si="141"/>
        <v>7.9193584801965402</v>
      </c>
      <c r="K67" s="47">
        <f t="shared" si="142"/>
        <v>7.9193584801965402</v>
      </c>
      <c r="L67" s="47">
        <f t="shared" si="143"/>
        <v>7.9193584801965402</v>
      </c>
      <c r="M67" s="47">
        <f t="shared" si="143"/>
        <v>7.9193584801965402</v>
      </c>
      <c r="N67" s="47">
        <f t="shared" si="143"/>
        <v>7.9193584801965402</v>
      </c>
      <c r="O67" s="3"/>
      <c r="P67" s="47">
        <f t="shared" si="144"/>
        <v>7.9193584801965402</v>
      </c>
      <c r="Q67" s="47">
        <f t="shared" si="156"/>
        <v>7.9193584801965402</v>
      </c>
      <c r="R67" s="47">
        <f t="shared" ref="R67:S67" si="164">Q67</f>
        <v>7.9193584801965402</v>
      </c>
      <c r="S67" s="47">
        <f t="shared" si="164"/>
        <v>7.9193584801965402</v>
      </c>
      <c r="T67" s="34">
        <f t="shared" si="146"/>
        <v>7.9193584801965402</v>
      </c>
      <c r="U67" s="34">
        <f t="shared" si="147"/>
        <v>7.9193584801965402</v>
      </c>
      <c r="V67" s="34">
        <f t="shared" si="148"/>
        <v>7.9193584801965402</v>
      </c>
      <c r="W67" s="34">
        <f t="shared" si="149"/>
        <v>7.9193584801965402</v>
      </c>
      <c r="X67" s="34">
        <f t="shared" si="150"/>
        <v>7.9193584801965402</v>
      </c>
      <c r="Y67" s="198"/>
      <c r="Z67" s="47">
        <f t="shared" si="158"/>
        <v>7.9193584801965402</v>
      </c>
      <c r="AA67" s="47">
        <f t="shared" si="159"/>
        <v>7.9193584801965402</v>
      </c>
      <c r="AB67" s="47">
        <f t="shared" si="160"/>
        <v>7.9193584801965402</v>
      </c>
      <c r="AC67" s="47">
        <f t="shared" si="161"/>
        <v>7.9193584801965402</v>
      </c>
      <c r="AD67" s="34">
        <f t="shared" si="151"/>
        <v>7.9193584801965402</v>
      </c>
      <c r="AE67" s="34">
        <f t="shared" si="152"/>
        <v>7.9193584801965402</v>
      </c>
      <c r="AF67" s="34">
        <f t="shared" si="153"/>
        <v>7.9193584801965402</v>
      </c>
      <c r="AG67" s="34">
        <f t="shared" si="154"/>
        <v>7.9193584801965402</v>
      </c>
      <c r="AH67" s="34">
        <f t="shared" si="155"/>
        <v>7.9193584801965402</v>
      </c>
      <c r="AI67" s="198"/>
      <c r="AJ67" s="198"/>
      <c r="AK67" s="198"/>
      <c r="AL67" s="198"/>
      <c r="AM67" s="198"/>
      <c r="AN67" s="198"/>
      <c r="AO67" s="198"/>
      <c r="AP67" s="198"/>
      <c r="AQ67" s="198"/>
      <c r="AR67" s="198"/>
      <c r="AS67" s="198"/>
      <c r="AT67" s="198"/>
      <c r="AU67" s="198"/>
      <c r="AV67" s="198"/>
      <c r="AW67" s="198"/>
    </row>
    <row r="68" spans="1:50">
      <c r="A68" t="s">
        <v>16</v>
      </c>
      <c r="B68" t="s">
        <v>400</v>
      </c>
      <c r="C68" t="s">
        <v>409</v>
      </c>
      <c r="D68" t="s">
        <v>135</v>
      </c>
      <c r="F68" s="37">
        <v>10.886935146339562</v>
      </c>
      <c r="G68" s="47">
        <f t="shared" si="138"/>
        <v>10.886935146339562</v>
      </c>
      <c r="H68" s="47">
        <f t="shared" si="139"/>
        <v>10.886935146339562</v>
      </c>
      <c r="I68" s="47">
        <f t="shared" si="140"/>
        <v>10.886935146339562</v>
      </c>
      <c r="J68" s="47">
        <f t="shared" si="141"/>
        <v>10.886935146339562</v>
      </c>
      <c r="K68" s="47">
        <f t="shared" si="142"/>
        <v>10.886935146339562</v>
      </c>
      <c r="L68" s="47">
        <f t="shared" si="143"/>
        <v>10.886935146339562</v>
      </c>
      <c r="M68" s="47">
        <f t="shared" si="143"/>
        <v>10.886935146339562</v>
      </c>
      <c r="N68" s="47">
        <f t="shared" si="143"/>
        <v>10.886935146339562</v>
      </c>
      <c r="O68" s="3"/>
      <c r="P68" s="47">
        <f t="shared" si="144"/>
        <v>10.886935146339562</v>
      </c>
      <c r="Q68" s="47">
        <f t="shared" si="156"/>
        <v>10.886935146339562</v>
      </c>
      <c r="R68" s="47">
        <f t="shared" ref="R68:S68" si="165">Q68</f>
        <v>10.886935146339562</v>
      </c>
      <c r="S68" s="47">
        <f t="shared" si="165"/>
        <v>10.886935146339562</v>
      </c>
      <c r="T68" s="34">
        <f t="shared" si="146"/>
        <v>10.886935146339562</v>
      </c>
      <c r="U68" s="34">
        <f t="shared" si="147"/>
        <v>10.886935146339562</v>
      </c>
      <c r="V68" s="34">
        <f t="shared" si="148"/>
        <v>10.886935146339562</v>
      </c>
      <c r="W68" s="34">
        <f t="shared" si="149"/>
        <v>10.886935146339562</v>
      </c>
      <c r="X68" s="34">
        <f t="shared" si="150"/>
        <v>10.886935146339562</v>
      </c>
      <c r="Y68" s="198"/>
      <c r="Z68" s="47">
        <f t="shared" si="158"/>
        <v>10.886935146339562</v>
      </c>
      <c r="AA68" s="47">
        <f t="shared" si="159"/>
        <v>10.886935146339562</v>
      </c>
      <c r="AB68" s="47">
        <f t="shared" si="160"/>
        <v>10.886935146339562</v>
      </c>
      <c r="AC68" s="47">
        <f t="shared" si="161"/>
        <v>10.886935146339562</v>
      </c>
      <c r="AD68" s="34">
        <f t="shared" si="151"/>
        <v>10.886935146339562</v>
      </c>
      <c r="AE68" s="34">
        <f t="shared" si="152"/>
        <v>10.886935146339562</v>
      </c>
      <c r="AF68" s="34">
        <f t="shared" si="153"/>
        <v>10.886935146339562</v>
      </c>
      <c r="AG68" s="34">
        <f t="shared" si="154"/>
        <v>10.886935146339562</v>
      </c>
      <c r="AH68" s="34">
        <f t="shared" si="155"/>
        <v>10.886935146339562</v>
      </c>
      <c r="AI68" s="198"/>
      <c r="AJ68" s="198"/>
      <c r="AK68" s="198"/>
      <c r="AL68" s="198"/>
      <c r="AM68" s="198"/>
      <c r="AN68" s="198"/>
      <c r="AO68" s="198"/>
      <c r="AP68" s="198"/>
      <c r="AQ68" s="198"/>
      <c r="AR68" s="198"/>
      <c r="AS68" s="198"/>
      <c r="AT68" s="198"/>
      <c r="AU68" s="198"/>
      <c r="AV68" s="198"/>
      <c r="AW68" s="198"/>
    </row>
    <row r="69" spans="1:50">
      <c r="A69" t="s">
        <v>16</v>
      </c>
      <c r="B69" t="s">
        <v>401</v>
      </c>
      <c r="C69" t="s">
        <v>410</v>
      </c>
      <c r="D69" t="s">
        <v>135</v>
      </c>
      <c r="F69" s="37">
        <v>19.520776457571557</v>
      </c>
      <c r="G69" s="47">
        <v>19.520776457571557</v>
      </c>
      <c r="H69" s="47">
        <f t="shared" si="139"/>
        <v>19.520776457571557</v>
      </c>
      <c r="I69" s="47">
        <f t="shared" si="140"/>
        <v>19.520776457571557</v>
      </c>
      <c r="J69" s="47">
        <f t="shared" si="141"/>
        <v>19.520776457571557</v>
      </c>
      <c r="K69" s="47">
        <f t="shared" si="142"/>
        <v>19.520776457571557</v>
      </c>
      <c r="L69" s="47">
        <f t="shared" si="143"/>
        <v>19.520776457571557</v>
      </c>
      <c r="M69" s="47">
        <f t="shared" si="143"/>
        <v>19.520776457571557</v>
      </c>
      <c r="N69" s="47">
        <f t="shared" si="143"/>
        <v>19.520776457571557</v>
      </c>
      <c r="O69" s="3"/>
      <c r="P69" s="47">
        <f t="shared" si="144"/>
        <v>19.520776457571557</v>
      </c>
      <c r="Q69" s="47">
        <f t="shared" si="156"/>
        <v>19.520776457571557</v>
      </c>
      <c r="R69" s="47">
        <f t="shared" ref="R69:S69" si="166">Q69</f>
        <v>19.520776457571557</v>
      </c>
      <c r="S69" s="47">
        <f t="shared" si="166"/>
        <v>19.520776457571557</v>
      </c>
      <c r="T69" s="34">
        <f t="shared" si="146"/>
        <v>19.520776457571557</v>
      </c>
      <c r="U69" s="34">
        <f t="shared" si="147"/>
        <v>19.520776457571557</v>
      </c>
      <c r="V69" s="34">
        <f t="shared" si="148"/>
        <v>19.520776457571557</v>
      </c>
      <c r="W69" s="34">
        <f t="shared" si="149"/>
        <v>19.520776457571557</v>
      </c>
      <c r="X69" s="34">
        <f t="shared" si="150"/>
        <v>19.520776457571557</v>
      </c>
      <c r="Y69" s="198"/>
      <c r="Z69" s="47">
        <f t="shared" si="158"/>
        <v>19.520776457571557</v>
      </c>
      <c r="AA69" s="47">
        <f t="shared" si="159"/>
        <v>19.520776457571557</v>
      </c>
      <c r="AB69" s="47">
        <f t="shared" si="160"/>
        <v>19.520776457571557</v>
      </c>
      <c r="AC69" s="47">
        <f t="shared" si="161"/>
        <v>19.520776457571557</v>
      </c>
      <c r="AD69" s="34">
        <f t="shared" si="151"/>
        <v>19.520776457571557</v>
      </c>
      <c r="AE69" s="34">
        <f t="shared" si="152"/>
        <v>19.520776457571557</v>
      </c>
      <c r="AF69" s="34">
        <f t="shared" si="153"/>
        <v>19.520776457571557</v>
      </c>
      <c r="AG69" s="34">
        <f t="shared" si="154"/>
        <v>19.520776457571557</v>
      </c>
      <c r="AH69" s="34">
        <f t="shared" si="155"/>
        <v>19.520776457571557</v>
      </c>
      <c r="AI69" s="198"/>
      <c r="AJ69" s="198"/>
      <c r="AK69" s="198"/>
      <c r="AL69" s="198"/>
      <c r="AM69" s="198"/>
      <c r="AN69" s="198"/>
      <c r="AO69" s="198"/>
      <c r="AP69" s="198"/>
      <c r="AQ69" s="198"/>
      <c r="AR69" s="198"/>
      <c r="AS69" s="198"/>
      <c r="AT69" s="198"/>
      <c r="AU69" s="198"/>
      <c r="AV69" s="198"/>
      <c r="AW69" s="198"/>
    </row>
    <row r="70" spans="1:50">
      <c r="A70" t="s">
        <v>16</v>
      </c>
      <c r="B70" t="s">
        <v>402</v>
      </c>
      <c r="C70" t="s">
        <v>411</v>
      </c>
      <c r="D70" t="s">
        <v>135</v>
      </c>
      <c r="F70" s="37">
        <v>17.889918497338776</v>
      </c>
      <c r="G70" s="47">
        <f t="shared" si="138"/>
        <v>17.889918497338776</v>
      </c>
      <c r="H70" s="47">
        <f t="shared" si="139"/>
        <v>17.889918497338776</v>
      </c>
      <c r="I70" s="47">
        <f t="shared" si="140"/>
        <v>17.889918497338776</v>
      </c>
      <c r="J70" s="47">
        <f t="shared" si="141"/>
        <v>17.889918497338776</v>
      </c>
      <c r="K70" s="47">
        <f t="shared" si="142"/>
        <v>17.889918497338776</v>
      </c>
      <c r="L70" s="47">
        <f t="shared" si="143"/>
        <v>17.889918497338776</v>
      </c>
      <c r="M70" s="47">
        <f t="shared" si="143"/>
        <v>17.889918497338776</v>
      </c>
      <c r="N70" s="47">
        <f t="shared" si="143"/>
        <v>17.889918497338776</v>
      </c>
      <c r="O70" s="3"/>
      <c r="P70" s="47">
        <f t="shared" si="144"/>
        <v>17.889918497338776</v>
      </c>
      <c r="Q70" s="47">
        <f t="shared" si="156"/>
        <v>17.889918497338776</v>
      </c>
      <c r="R70" s="47">
        <f t="shared" ref="R70:S70" si="167">Q70</f>
        <v>17.889918497338776</v>
      </c>
      <c r="S70" s="47">
        <f t="shared" si="167"/>
        <v>17.889918497338776</v>
      </c>
      <c r="T70" s="34">
        <f t="shared" si="146"/>
        <v>17.889918497338776</v>
      </c>
      <c r="U70" s="34">
        <f t="shared" si="147"/>
        <v>17.889918497338776</v>
      </c>
      <c r="V70" s="34">
        <f t="shared" si="148"/>
        <v>17.889918497338776</v>
      </c>
      <c r="W70" s="34">
        <f t="shared" si="149"/>
        <v>17.889918497338776</v>
      </c>
      <c r="X70" s="34">
        <f t="shared" si="150"/>
        <v>17.889918497338776</v>
      </c>
      <c r="Y70" s="198"/>
      <c r="Z70" s="47">
        <f t="shared" si="158"/>
        <v>17.889918497338776</v>
      </c>
      <c r="AA70" s="47">
        <f t="shared" si="159"/>
        <v>17.889918497338776</v>
      </c>
      <c r="AB70" s="47">
        <f t="shared" si="160"/>
        <v>17.889918497338776</v>
      </c>
      <c r="AC70" s="47">
        <f t="shared" si="161"/>
        <v>17.889918497338776</v>
      </c>
      <c r="AD70" s="34">
        <f t="shared" si="151"/>
        <v>17.889918497338776</v>
      </c>
      <c r="AE70" s="34">
        <f t="shared" si="152"/>
        <v>17.889918497338776</v>
      </c>
      <c r="AF70" s="34">
        <f t="shared" si="153"/>
        <v>17.889918497338776</v>
      </c>
      <c r="AG70" s="34">
        <f t="shared" si="154"/>
        <v>17.889918497338776</v>
      </c>
      <c r="AH70" s="34">
        <f t="shared" si="155"/>
        <v>17.889918497338776</v>
      </c>
      <c r="AI70" s="198"/>
      <c r="AJ70" s="198"/>
      <c r="AK70" s="198"/>
      <c r="AL70" s="198"/>
      <c r="AM70" s="198"/>
      <c r="AN70" s="198"/>
      <c r="AO70" s="198"/>
      <c r="AP70" s="198"/>
      <c r="AQ70" s="198"/>
      <c r="AR70" s="198"/>
      <c r="AS70" s="198"/>
      <c r="AT70" s="198"/>
      <c r="AU70" s="198"/>
      <c r="AV70" s="198"/>
      <c r="AW70" s="198"/>
    </row>
    <row r="71" spans="1:50">
      <c r="A71" t="s">
        <v>16</v>
      </c>
      <c r="B71" t="s">
        <v>403</v>
      </c>
      <c r="C71" t="s">
        <v>412</v>
      </c>
      <c r="D71" t="s">
        <v>135</v>
      </c>
      <c r="F71" s="37">
        <v>18.402975262404723</v>
      </c>
      <c r="G71" s="47">
        <f t="shared" si="138"/>
        <v>18.402975262404723</v>
      </c>
      <c r="H71" s="47">
        <f t="shared" si="139"/>
        <v>18.402975262404723</v>
      </c>
      <c r="I71" s="47">
        <f t="shared" si="140"/>
        <v>18.402975262404723</v>
      </c>
      <c r="J71" s="47">
        <f t="shared" si="141"/>
        <v>18.402975262404723</v>
      </c>
      <c r="K71" s="47">
        <f t="shared" si="142"/>
        <v>18.402975262404723</v>
      </c>
      <c r="L71" s="47">
        <f t="shared" si="143"/>
        <v>18.402975262404723</v>
      </c>
      <c r="M71" s="47">
        <f t="shared" si="143"/>
        <v>18.402975262404723</v>
      </c>
      <c r="N71" s="47">
        <f t="shared" si="143"/>
        <v>18.402975262404723</v>
      </c>
      <c r="O71" s="3"/>
      <c r="P71" s="47">
        <f t="shared" si="144"/>
        <v>18.402975262404723</v>
      </c>
      <c r="Q71" s="47">
        <f t="shared" si="156"/>
        <v>18.402975262404723</v>
      </c>
      <c r="R71" s="47">
        <f t="shared" ref="R71:S71" si="168">Q71</f>
        <v>18.402975262404723</v>
      </c>
      <c r="S71" s="47">
        <f t="shared" si="168"/>
        <v>18.402975262404723</v>
      </c>
      <c r="T71" s="34">
        <f t="shared" si="146"/>
        <v>18.402975262404723</v>
      </c>
      <c r="U71" s="34">
        <f t="shared" si="147"/>
        <v>18.402975262404723</v>
      </c>
      <c r="V71" s="34">
        <f t="shared" si="148"/>
        <v>18.402975262404723</v>
      </c>
      <c r="W71" s="34">
        <f t="shared" si="149"/>
        <v>18.402975262404723</v>
      </c>
      <c r="X71" s="34">
        <f t="shared" si="150"/>
        <v>18.402975262404723</v>
      </c>
      <c r="Y71" s="198"/>
      <c r="Z71" s="47">
        <f t="shared" si="158"/>
        <v>18.402975262404723</v>
      </c>
      <c r="AA71" s="47">
        <f t="shared" si="159"/>
        <v>18.402975262404723</v>
      </c>
      <c r="AB71" s="47">
        <f t="shared" si="160"/>
        <v>18.402975262404723</v>
      </c>
      <c r="AC71" s="47">
        <f t="shared" si="161"/>
        <v>18.402975262404723</v>
      </c>
      <c r="AD71" s="34">
        <f t="shared" si="151"/>
        <v>18.402975262404723</v>
      </c>
      <c r="AE71" s="34">
        <f t="shared" si="152"/>
        <v>18.402975262404723</v>
      </c>
      <c r="AF71" s="34">
        <f t="shared" si="153"/>
        <v>18.402975262404723</v>
      </c>
      <c r="AG71" s="34">
        <f t="shared" si="154"/>
        <v>18.402975262404723</v>
      </c>
      <c r="AH71" s="34">
        <f t="shared" si="155"/>
        <v>18.402975262404723</v>
      </c>
      <c r="AI71" s="198"/>
      <c r="AJ71" s="198"/>
      <c r="AK71" s="198"/>
      <c r="AL71" s="198"/>
      <c r="AM71" s="198"/>
      <c r="AN71" s="198"/>
      <c r="AO71" s="198"/>
      <c r="AP71" s="198"/>
      <c r="AQ71" s="198"/>
      <c r="AR71" s="198"/>
      <c r="AS71" s="198"/>
      <c r="AT71" s="198"/>
      <c r="AU71" s="198"/>
      <c r="AV71" s="198"/>
      <c r="AW71" s="198"/>
    </row>
    <row r="72" spans="1:50">
      <c r="A72" t="s">
        <v>16</v>
      </c>
      <c r="B72" t="s">
        <v>404</v>
      </c>
      <c r="C72" t="s">
        <v>413</v>
      </c>
      <c r="D72" t="s">
        <v>135</v>
      </c>
      <c r="F72" s="37">
        <v>21.907017031495844</v>
      </c>
      <c r="G72" s="47">
        <f t="shared" si="138"/>
        <v>21.907017031495844</v>
      </c>
      <c r="H72" s="47">
        <f t="shared" si="139"/>
        <v>21.907017031495844</v>
      </c>
      <c r="I72" s="47">
        <f t="shared" si="140"/>
        <v>21.907017031495844</v>
      </c>
      <c r="J72" s="47">
        <f t="shared" si="141"/>
        <v>21.907017031495844</v>
      </c>
      <c r="K72" s="47">
        <f t="shared" si="142"/>
        <v>21.907017031495844</v>
      </c>
      <c r="L72" s="47">
        <f t="shared" si="143"/>
        <v>21.907017031495844</v>
      </c>
      <c r="M72" s="47">
        <f t="shared" si="143"/>
        <v>21.907017031495844</v>
      </c>
      <c r="N72" s="47">
        <f t="shared" si="143"/>
        <v>21.907017031495844</v>
      </c>
      <c r="O72" s="3"/>
      <c r="P72" s="47">
        <f t="shared" si="144"/>
        <v>21.907017031495844</v>
      </c>
      <c r="Q72" s="47">
        <f>P72</f>
        <v>21.907017031495844</v>
      </c>
      <c r="R72" s="47">
        <f t="shared" ref="R72:S72" si="169">Q72</f>
        <v>21.907017031495844</v>
      </c>
      <c r="S72" s="47">
        <f t="shared" si="169"/>
        <v>21.907017031495844</v>
      </c>
      <c r="T72" s="34">
        <f t="shared" si="146"/>
        <v>21.907017031495844</v>
      </c>
      <c r="U72" s="34">
        <f t="shared" si="147"/>
        <v>21.907017031495844</v>
      </c>
      <c r="V72" s="34">
        <f t="shared" si="148"/>
        <v>21.907017031495844</v>
      </c>
      <c r="W72" s="34">
        <f t="shared" si="149"/>
        <v>21.907017031495844</v>
      </c>
      <c r="X72" s="34">
        <f t="shared" si="150"/>
        <v>21.907017031495844</v>
      </c>
      <c r="Y72" s="198"/>
      <c r="Z72" s="47">
        <f t="shared" si="158"/>
        <v>21.907017031495844</v>
      </c>
      <c r="AA72" s="47">
        <f t="shared" si="159"/>
        <v>21.907017031495844</v>
      </c>
      <c r="AB72" s="47">
        <f t="shared" si="160"/>
        <v>21.907017031495844</v>
      </c>
      <c r="AC72" s="47">
        <f t="shared" si="161"/>
        <v>21.907017031495844</v>
      </c>
      <c r="AD72" s="34">
        <f t="shared" si="151"/>
        <v>21.907017031495844</v>
      </c>
      <c r="AE72" s="34">
        <f t="shared" si="152"/>
        <v>21.907017031495844</v>
      </c>
      <c r="AF72" s="34">
        <f t="shared" si="153"/>
        <v>21.907017031495844</v>
      </c>
      <c r="AG72" s="34">
        <f t="shared" si="154"/>
        <v>21.907017031495844</v>
      </c>
      <c r="AH72" s="34">
        <f t="shared" si="155"/>
        <v>21.907017031495844</v>
      </c>
      <c r="AI72" s="198"/>
      <c r="AJ72" s="198"/>
      <c r="AK72" s="198"/>
      <c r="AL72" s="198"/>
      <c r="AM72" s="198"/>
      <c r="AN72" s="198"/>
      <c r="AO72" s="198"/>
      <c r="AP72" s="198"/>
      <c r="AQ72" s="198"/>
      <c r="AR72" s="198"/>
      <c r="AS72" s="198"/>
      <c r="AT72" s="198"/>
      <c r="AU72" s="198"/>
      <c r="AV72" s="198"/>
      <c r="AW72" s="198"/>
    </row>
    <row r="73" spans="1:50">
      <c r="A73" t="s">
        <v>16</v>
      </c>
      <c r="P73" s="47">
        <f>SUM(P86:P88)/P89</f>
        <v>0.38076006063089379</v>
      </c>
      <c r="Q73" s="47"/>
      <c r="R73" s="47"/>
      <c r="S73" s="47"/>
    </row>
    <row r="74" spans="1:50">
      <c r="A74" t="s">
        <v>16</v>
      </c>
      <c r="P74" s="2" t="s">
        <v>32</v>
      </c>
      <c r="Z74" s="2" t="s">
        <v>185</v>
      </c>
      <c r="AM74" t="s">
        <v>460</v>
      </c>
    </row>
    <row r="75" spans="1:50" ht="15.75" thickBot="1">
      <c r="A75" t="s">
        <v>16</v>
      </c>
      <c r="B75" s="9" t="s">
        <v>196</v>
      </c>
      <c r="C75" s="9"/>
      <c r="D75" s="9"/>
      <c r="E75" s="219"/>
      <c r="F75">
        <f t="shared" ref="F75:I75" si="170">F$4</f>
        <v>2017</v>
      </c>
      <c r="G75">
        <f t="shared" si="170"/>
        <v>2019</v>
      </c>
      <c r="H75">
        <f t="shared" si="170"/>
        <v>2020</v>
      </c>
      <c r="I75">
        <f t="shared" si="170"/>
        <v>2021</v>
      </c>
      <c r="J75">
        <f>J$4</f>
        <v>2030</v>
      </c>
      <c r="K75">
        <f>K$4</f>
        <v>2040</v>
      </c>
      <c r="L75">
        <f>L$4</f>
        <v>2050</v>
      </c>
      <c r="M75">
        <f>M$4</f>
        <v>2060</v>
      </c>
      <c r="N75">
        <f>N$4</f>
        <v>2070</v>
      </c>
      <c r="P75" s="4">
        <f t="shared" ref="P75:T75" si="171">P$4</f>
        <v>2017</v>
      </c>
      <c r="Q75" s="4">
        <f t="shared" si="171"/>
        <v>2019</v>
      </c>
      <c r="R75" s="4">
        <f t="shared" si="171"/>
        <v>2020</v>
      </c>
      <c r="S75" s="4">
        <f t="shared" si="171"/>
        <v>2021</v>
      </c>
      <c r="T75" s="4">
        <f t="shared" si="171"/>
        <v>2030</v>
      </c>
      <c r="U75" s="4">
        <f>U$4</f>
        <v>2040</v>
      </c>
      <c r="V75" s="4">
        <f>V$4</f>
        <v>2050</v>
      </c>
      <c r="W75" s="4">
        <f>W$4</f>
        <v>2060</v>
      </c>
      <c r="X75" s="4">
        <f>X$4</f>
        <v>2070</v>
      </c>
      <c r="Y75">
        <f>Y$4</f>
        <v>0</v>
      </c>
      <c r="Z75" s="4">
        <f t="shared" ref="Z75:AH75" si="172">P75</f>
        <v>2017</v>
      </c>
      <c r="AA75" s="4">
        <f t="shared" si="172"/>
        <v>2019</v>
      </c>
      <c r="AB75" s="4">
        <f t="shared" si="172"/>
        <v>2020</v>
      </c>
      <c r="AC75" s="4">
        <f t="shared" si="172"/>
        <v>2021</v>
      </c>
      <c r="AD75" s="4">
        <f t="shared" si="172"/>
        <v>2030</v>
      </c>
      <c r="AE75" s="4">
        <f t="shared" si="172"/>
        <v>2040</v>
      </c>
      <c r="AF75" s="4">
        <f t="shared" si="172"/>
        <v>2050</v>
      </c>
      <c r="AG75" s="4">
        <f t="shared" si="172"/>
        <v>2060</v>
      </c>
      <c r="AH75" s="4">
        <f t="shared" si="172"/>
        <v>2070</v>
      </c>
      <c r="AN75" s="4" t="str">
        <f>P74</f>
        <v>Reference</v>
      </c>
      <c r="AT75" s="4" t="s">
        <v>608</v>
      </c>
    </row>
    <row r="76" spans="1:50">
      <c r="A76" t="s">
        <v>16</v>
      </c>
      <c r="B76" s="3" t="s">
        <v>139</v>
      </c>
      <c r="C76" s="3" t="s">
        <v>744</v>
      </c>
      <c r="D76" t="s">
        <v>137</v>
      </c>
      <c r="E76" s="220"/>
      <c r="F76" s="199">
        <f t="shared" ref="F76" si="173">F63*F92</f>
        <v>18.931145021834741</v>
      </c>
      <c r="G76" s="199">
        <f t="shared" ref="G76:N85" si="174">G63*G92</f>
        <v>19.16679090850425</v>
      </c>
      <c r="H76" s="199">
        <f t="shared" si="174"/>
        <v>18.454471209495399</v>
      </c>
      <c r="I76" s="199">
        <f>I63*I92</f>
        <v>18.640659659915396</v>
      </c>
      <c r="J76" s="199">
        <f t="shared" si="174"/>
        <v>20.949335350447488</v>
      </c>
      <c r="K76" s="199">
        <f t="shared" si="174"/>
        <v>28.083124176699723</v>
      </c>
      <c r="L76" s="199">
        <f t="shared" ref="L76:M76" si="175">L63*L92</f>
        <v>37.533574095253329</v>
      </c>
      <c r="M76" s="199">
        <f t="shared" si="175"/>
        <v>46.687918963279856</v>
      </c>
      <c r="N76" s="199">
        <f t="shared" si="174"/>
        <v>50.155089588725303</v>
      </c>
      <c r="O76" s="5"/>
      <c r="P76" s="199">
        <f>P43</f>
        <v>18.931145021834741</v>
      </c>
      <c r="Q76" s="199">
        <f t="shared" ref="Q76:X76" si="176">Q43</f>
        <v>19.16679090850425</v>
      </c>
      <c r="R76" s="199">
        <f t="shared" si="176"/>
        <v>18.454471209495399</v>
      </c>
      <c r="S76" s="199">
        <f t="shared" si="176"/>
        <v>18.640659659915396</v>
      </c>
      <c r="T76" s="199">
        <f t="shared" si="176"/>
        <v>20.949315343702175</v>
      </c>
      <c r="U76" s="199">
        <f t="shared" si="176"/>
        <v>28.083097357141792</v>
      </c>
      <c r="V76" s="199">
        <f t="shared" ref="V76:W76" si="177">V43</f>
        <v>37.52614974900834</v>
      </c>
      <c r="W76" s="199">
        <f t="shared" si="177"/>
        <v>46.685846643130326</v>
      </c>
      <c r="X76" s="199">
        <f t="shared" si="176"/>
        <v>50.139845950972003</v>
      </c>
      <c r="Y76" s="5"/>
      <c r="Z76" s="199">
        <f>Z43</f>
        <v>18.931145021834741</v>
      </c>
      <c r="AA76" s="199">
        <f>AA43</f>
        <v>19.16679090850425</v>
      </c>
      <c r="AB76" s="199">
        <f t="shared" ref="AB76:AH76" si="178">AB43</f>
        <v>18.454471209495399</v>
      </c>
      <c r="AC76" s="199">
        <f t="shared" si="178"/>
        <v>18.640659659915396</v>
      </c>
      <c r="AD76" s="199">
        <f t="shared" si="178"/>
        <v>20.949315343702175</v>
      </c>
      <c r="AE76" s="199">
        <f t="shared" si="178"/>
        <v>28.083097357141792</v>
      </c>
      <c r="AF76" s="199">
        <f t="shared" ref="AF76:AG76" si="179">AF43</f>
        <v>37.52614974900834</v>
      </c>
      <c r="AG76" s="199">
        <f t="shared" si="179"/>
        <v>46.685846643130326</v>
      </c>
      <c r="AH76" s="199">
        <f t="shared" si="178"/>
        <v>50.139845950972003</v>
      </c>
      <c r="AN76" s="4">
        <f>P75</f>
        <v>2017</v>
      </c>
      <c r="AO76" s="4">
        <f>R75</f>
        <v>2020</v>
      </c>
      <c r="AP76" s="4">
        <f>T75</f>
        <v>2030</v>
      </c>
      <c r="AQ76" s="4">
        <f>U75</f>
        <v>2040</v>
      </c>
      <c r="AR76" s="4">
        <f>X75</f>
        <v>2070</v>
      </c>
      <c r="AS76" s="4"/>
      <c r="AT76" s="4">
        <f>Z75</f>
        <v>2017</v>
      </c>
      <c r="AU76" s="4">
        <f>AB75</f>
        <v>2020</v>
      </c>
      <c r="AV76" s="4">
        <f>AD75</f>
        <v>2030</v>
      </c>
      <c r="AW76" s="4">
        <f>AE75</f>
        <v>2040</v>
      </c>
      <c r="AX76" s="4">
        <f>AH75</f>
        <v>2070</v>
      </c>
    </row>
    <row r="77" spans="1:50">
      <c r="A77" t="s">
        <v>16</v>
      </c>
      <c r="B77" s="3" t="s">
        <v>396</v>
      </c>
      <c r="C77" s="3" t="s">
        <v>745</v>
      </c>
      <c r="D77" t="s">
        <v>137</v>
      </c>
      <c r="E77" s="220"/>
      <c r="F77" s="199">
        <f t="shared" ref="F77" si="180">F64*F93</f>
        <v>5.4191590500230697</v>
      </c>
      <c r="G77" s="199">
        <f t="shared" si="174"/>
        <v>6.263725567965813</v>
      </c>
      <c r="H77" s="199">
        <f>H64*H93</f>
        <v>6.0309388102583563</v>
      </c>
      <c r="I77" s="199">
        <f t="shared" si="174"/>
        <v>6.0917853736148873</v>
      </c>
      <c r="J77" s="199">
        <f t="shared" si="174"/>
        <v>6.8462627934374574</v>
      </c>
      <c r="K77" s="199">
        <f t="shared" si="174"/>
        <v>8.2827765928960844</v>
      </c>
      <c r="L77" s="199">
        <f t="shared" ref="L77:M77" si="181">L64*L93</f>
        <v>10.516568479255572</v>
      </c>
      <c r="M77" s="199">
        <f t="shared" si="181"/>
        <v>12.4274565726394</v>
      </c>
      <c r="N77" s="199">
        <f t="shared" si="174"/>
        <v>12.682835324881403</v>
      </c>
      <c r="O77" s="5"/>
      <c r="P77" s="199">
        <f>P46</f>
        <v>5.4191590500230697</v>
      </c>
      <c r="Q77" s="199">
        <f t="shared" ref="Q77:X77" si="182">Q46</f>
        <v>6.263725567965813</v>
      </c>
      <c r="R77" s="199">
        <f t="shared" si="182"/>
        <v>6.0299454950865155</v>
      </c>
      <c r="S77" s="199">
        <f t="shared" si="182"/>
        <v>6.0908959928898438</v>
      </c>
      <c r="T77" s="199">
        <f t="shared" si="182"/>
        <v>6.845128654616043</v>
      </c>
      <c r="U77" s="199">
        <f t="shared" si="182"/>
        <v>9.1760714503508893</v>
      </c>
      <c r="V77" s="199">
        <f t="shared" ref="V77:W77" si="183">V46</f>
        <v>12.261791122463769</v>
      </c>
      <c r="W77" s="199">
        <f t="shared" si="183"/>
        <v>15.254466381306896</v>
      </c>
      <c r="X77" s="199">
        <f t="shared" si="182"/>
        <v>16.38305074061574</v>
      </c>
      <c r="Y77" s="5"/>
      <c r="Z77" s="199">
        <f>Z46</f>
        <v>5.4191590500230697</v>
      </c>
      <c r="AA77" s="199">
        <f>AA46</f>
        <v>6.263725567965813</v>
      </c>
      <c r="AB77" s="199">
        <f t="shared" ref="AB77:AH77" si="184">AB46</f>
        <v>6.0299454950865155</v>
      </c>
      <c r="AC77" s="199">
        <f t="shared" si="184"/>
        <v>6.0908959928898438</v>
      </c>
      <c r="AD77" s="199">
        <f t="shared" si="184"/>
        <v>6.5028722218852408</v>
      </c>
      <c r="AE77" s="199">
        <f t="shared" si="184"/>
        <v>8.2814044839416763</v>
      </c>
      <c r="AF77" s="199">
        <f t="shared" ref="AF77:AG77" si="185">AF46</f>
        <v>10.512953163622372</v>
      </c>
      <c r="AG77" s="199">
        <f t="shared" si="185"/>
        <v>12.424858207989349</v>
      </c>
      <c r="AH77" s="199">
        <f t="shared" si="184"/>
        <v>12.676892361183713</v>
      </c>
      <c r="AM77" t="s">
        <v>575</v>
      </c>
      <c r="AN77" s="3">
        <f>SUM(P78:P85)</f>
        <v>199.78217504183343</v>
      </c>
      <c r="AO77" s="3">
        <f>SUM(R78:R85)</f>
        <v>199.85599936873621</v>
      </c>
      <c r="AP77" s="3">
        <f>SUM(T78:T85)</f>
        <v>221.0803296454566</v>
      </c>
      <c r="AQ77" s="3">
        <f>SUM(U78:U85)</f>
        <v>296.36388203248873</v>
      </c>
      <c r="AR77" s="3">
        <f>SUM(X78:X85)</f>
        <v>529.29143355547785</v>
      </c>
      <c r="AS77" s="3"/>
      <c r="AT77" s="3" t="e">
        <f>SUM(#REF!)</f>
        <v>#REF!</v>
      </c>
      <c r="AU77" s="3">
        <f>SUM(H78:H85)</f>
        <v>198.99120798726022</v>
      </c>
      <c r="AV77" s="3">
        <f>SUM(J78:J85)</f>
        <v>217.22208405837273</v>
      </c>
      <c r="AW77" s="3">
        <f>SUM(K78:K85)</f>
        <v>267.46840353432106</v>
      </c>
      <c r="AX77" s="3">
        <f>SUM(N78:N85)</f>
        <v>409.5556216672764</v>
      </c>
    </row>
    <row r="78" spans="1:50">
      <c r="A78" t="s">
        <v>16</v>
      </c>
      <c r="B78" s="3" t="s">
        <v>397</v>
      </c>
      <c r="C78" s="3" t="s">
        <v>746</v>
      </c>
      <c r="D78" t="s">
        <v>137</v>
      </c>
      <c r="E78" s="220"/>
      <c r="F78" s="199">
        <f t="shared" ref="F78" si="186">F65*F94</f>
        <v>2.508551055458172</v>
      </c>
      <c r="G78" s="199">
        <f t="shared" si="174"/>
        <v>2.539776305544069</v>
      </c>
      <c r="H78" s="199">
        <f t="shared" si="174"/>
        <v>2.4453873855547426</v>
      </c>
      <c r="I78" s="199">
        <f t="shared" si="174"/>
        <v>2.4700590698758176</v>
      </c>
      <c r="J78" s="199">
        <f t="shared" si="174"/>
        <v>2.6371808668574701</v>
      </c>
      <c r="K78" s="199">
        <f t="shared" si="174"/>
        <v>3.3584484994581625</v>
      </c>
      <c r="L78" s="199">
        <f t="shared" ref="L78:M78" si="187">L65*L94</f>
        <v>4.2641924760951957</v>
      </c>
      <c r="M78" s="199">
        <f t="shared" si="187"/>
        <v>5.0390074403623242</v>
      </c>
      <c r="N78" s="199">
        <f t="shared" si="174"/>
        <v>5.1425568211335335</v>
      </c>
      <c r="O78" s="5"/>
      <c r="P78" s="199">
        <f>P51</f>
        <v>2.508551055458172</v>
      </c>
      <c r="Q78" s="199">
        <f t="shared" ref="Q78:X78" si="188">Q51</f>
        <v>2.539776305544069</v>
      </c>
      <c r="R78" s="199">
        <f t="shared" si="188"/>
        <v>2.4453873855547426</v>
      </c>
      <c r="S78" s="199">
        <f t="shared" si="188"/>
        <v>2.4700590698758176</v>
      </c>
      <c r="T78" s="199">
        <f t="shared" si="188"/>
        <v>2.7759798598499685</v>
      </c>
      <c r="U78" s="199">
        <f t="shared" si="188"/>
        <v>3.7212725755769114</v>
      </c>
      <c r="V78" s="199">
        <f t="shared" ref="V78:W78" si="189">V51</f>
        <v>4.9735442205513296</v>
      </c>
      <c r="W78" s="199">
        <f t="shared" si="189"/>
        <v>6.1865792194502198</v>
      </c>
      <c r="X78" s="199">
        <f t="shared" si="188"/>
        <v>6.6460112570730461</v>
      </c>
      <c r="Y78" s="5"/>
      <c r="Z78" s="199">
        <f>Z51</f>
        <v>2.508551055458172</v>
      </c>
      <c r="AA78" s="199">
        <f>AA51</f>
        <v>2.539776305544069</v>
      </c>
      <c r="AB78" s="199">
        <f t="shared" ref="AB78:AH78" si="190">AB51</f>
        <v>2.4453873855547426</v>
      </c>
      <c r="AC78" s="199">
        <f t="shared" si="190"/>
        <v>2.4700590698758176</v>
      </c>
      <c r="AD78" s="199">
        <f t="shared" si="190"/>
        <v>2.6371783483333711</v>
      </c>
      <c r="AE78" s="199">
        <f t="shared" si="190"/>
        <v>3.3584452921189967</v>
      </c>
      <c r="AF78" s="199">
        <f t="shared" ref="AF78:AG78" si="191">AF51</f>
        <v>4.2633489955005288</v>
      </c>
      <c r="AG78" s="199">
        <f t="shared" si="191"/>
        <v>5.0387837757209324</v>
      </c>
      <c r="AH78" s="199">
        <f t="shared" si="190"/>
        <v>5.1409938436979452</v>
      </c>
      <c r="AM78" t="s">
        <v>607</v>
      </c>
      <c r="AN78" s="3">
        <f>P86</f>
        <v>22</v>
      </c>
      <c r="AO78" s="3">
        <f>R86</f>
        <v>16.341846000266067</v>
      </c>
      <c r="AP78" s="3">
        <f>T86</f>
        <v>24.345351386737054</v>
      </c>
      <c r="AQ78" s="3">
        <f>U86</f>
        <v>32.635571233266909</v>
      </c>
      <c r="AR78" s="3">
        <f>X86</f>
        <v>58.285537915393242</v>
      </c>
      <c r="AS78" s="3"/>
      <c r="AT78" s="3">
        <f>F86</f>
        <v>22</v>
      </c>
      <c r="AU78" s="3">
        <f>H86</f>
        <v>17.206637381742077</v>
      </c>
      <c r="AV78" s="3">
        <f>J86</f>
        <v>28.203596973820897</v>
      </c>
      <c r="AW78" s="3">
        <f>K86</f>
        <v>61.531049731434578</v>
      </c>
      <c r="AX78" s="3">
        <f>N86</f>
        <v>178.02134980359452</v>
      </c>
    </row>
    <row r="79" spans="1:50">
      <c r="A79" t="s">
        <v>16</v>
      </c>
      <c r="B79" s="3" t="s">
        <v>398</v>
      </c>
      <c r="C79" s="3" t="s">
        <v>747</v>
      </c>
      <c r="D79" t="s">
        <v>137</v>
      </c>
      <c r="E79" s="220"/>
      <c r="F79" s="199">
        <f t="shared" ref="F79" si="192">F66*F95</f>
        <v>16.520182703280053</v>
      </c>
      <c r="G79" s="199">
        <f t="shared" si="174"/>
        <v>16.725818078032436</v>
      </c>
      <c r="H79" s="199">
        <f t="shared" si="174"/>
        <v>16.10421534046959</v>
      </c>
      <c r="I79" s="199">
        <f t="shared" si="174"/>
        <v>16.266691895090631</v>
      </c>
      <c r="J79" s="199">
        <f t="shared" si="174"/>
        <v>17.36728046546482</v>
      </c>
      <c r="K79" s="199">
        <f t="shared" si="174"/>
        <v>22.117222884455938</v>
      </c>
      <c r="L79" s="199">
        <f t="shared" ref="L79:M79" si="193">L66*L95</f>
        <v>28.082043071743808</v>
      </c>
      <c r="M79" s="199">
        <f t="shared" si="193"/>
        <v>33.184623999119239</v>
      </c>
      <c r="N79" s="199">
        <f t="shared" si="174"/>
        <v>33.866553388369589</v>
      </c>
      <c r="O79" s="5"/>
      <c r="P79" s="199">
        <f t="shared" ref="P79:P85" si="194">P52</f>
        <v>16.520182703280053</v>
      </c>
      <c r="Q79" s="199">
        <f t="shared" ref="Q79:X79" si="195">Q52</f>
        <v>16.725818078032439</v>
      </c>
      <c r="R79" s="199">
        <f t="shared" si="195"/>
        <v>16.104215340469594</v>
      </c>
      <c r="S79" s="199">
        <f t="shared" si="195"/>
        <v>16.266691895090634</v>
      </c>
      <c r="T79" s="199">
        <f t="shared" si="195"/>
        <v>18.281347858384027</v>
      </c>
      <c r="U79" s="199">
        <f t="shared" si="195"/>
        <v>24.506618154521821</v>
      </c>
      <c r="V79" s="199">
        <f t="shared" ref="V79:W79" si="196">V52</f>
        <v>32.75351284064012</v>
      </c>
      <c r="W79" s="199">
        <f t="shared" si="196"/>
        <v>40.742012721350214</v>
      </c>
      <c r="X79" s="199">
        <f t="shared" si="195"/>
        <v>43.767624332784237</v>
      </c>
      <c r="Y79" s="5"/>
      <c r="Z79" s="199">
        <f t="shared" ref="Z79:Z85" si="197">Z52</f>
        <v>16.520182703280053</v>
      </c>
      <c r="AA79" s="199">
        <f t="shared" ref="AA79:AH79" si="198">AA52</f>
        <v>16.725818078032439</v>
      </c>
      <c r="AB79" s="199">
        <f t="shared" si="198"/>
        <v>16.104215340469594</v>
      </c>
      <c r="AC79" s="199">
        <f t="shared" si="198"/>
        <v>16.266691895090634</v>
      </c>
      <c r="AD79" s="199">
        <f t="shared" si="198"/>
        <v>17.367263879604167</v>
      </c>
      <c r="AE79" s="199">
        <f t="shared" si="198"/>
        <v>22.117201762370787</v>
      </c>
      <c r="AF79" s="199">
        <f t="shared" ref="AF79:AG79" si="199">AF52</f>
        <v>28.076488290030191</v>
      </c>
      <c r="AG79" s="199">
        <f t="shared" si="199"/>
        <v>33.183151044948346</v>
      </c>
      <c r="AH79" s="199">
        <f t="shared" si="198"/>
        <v>33.856260325870089</v>
      </c>
      <c r="AM79" s="3"/>
    </row>
    <row r="80" spans="1:50">
      <c r="A80" t="s">
        <v>16</v>
      </c>
      <c r="B80" s="3" t="s">
        <v>399</v>
      </c>
      <c r="C80" s="3" t="s">
        <v>748</v>
      </c>
      <c r="D80" t="s">
        <v>137</v>
      </c>
      <c r="E80" s="220"/>
      <c r="F80" s="199">
        <f t="shared" ref="F80" si="200">F67*F96</f>
        <v>4.7389994637867545</v>
      </c>
      <c r="G80" s="199">
        <f t="shared" si="174"/>
        <v>4.7979882745154434</v>
      </c>
      <c r="H80" s="199">
        <f t="shared" si="174"/>
        <v>4.6196745661922405</v>
      </c>
      <c r="I80" s="199">
        <f t="shared" si="174"/>
        <v>4.6662827859109086</v>
      </c>
      <c r="J80" s="199">
        <f t="shared" si="174"/>
        <v>4.9819989458670291</v>
      </c>
      <c r="K80" s="199">
        <f t="shared" si="174"/>
        <v>6.3445731365354865</v>
      </c>
      <c r="L80" s="199">
        <f t="shared" ref="L80:M80" si="201">L67*L96</f>
        <v>8.0556486238259044</v>
      </c>
      <c r="M80" s="199">
        <f t="shared" si="201"/>
        <v>9.5193811208012313</v>
      </c>
      <c r="N80" s="199">
        <f t="shared" si="174"/>
        <v>9.7150002049265023</v>
      </c>
      <c r="O80" s="5"/>
      <c r="P80" s="199">
        <f t="shared" si="194"/>
        <v>4.7389994637867545</v>
      </c>
      <c r="Q80" s="199">
        <f t="shared" ref="Q80:X80" si="202">Q53</f>
        <v>4.7979882745154434</v>
      </c>
      <c r="R80" s="199">
        <f t="shared" si="202"/>
        <v>4.6196745661922405</v>
      </c>
      <c r="S80" s="199">
        <f t="shared" si="202"/>
        <v>4.6662827859109095</v>
      </c>
      <c r="T80" s="199">
        <f t="shared" si="202"/>
        <v>5.2442094167021382</v>
      </c>
      <c r="U80" s="199">
        <f t="shared" si="202"/>
        <v>7.0299979352193773</v>
      </c>
      <c r="V80" s="199">
        <f t="shared" ref="V80:W80" si="203">V53</f>
        <v>9.3957120557817841</v>
      </c>
      <c r="W80" s="199">
        <f t="shared" si="203"/>
        <v>11.687302731932668</v>
      </c>
      <c r="X80" s="199">
        <f t="shared" si="202"/>
        <v>12.555233314889596</v>
      </c>
      <c r="Y80" s="5"/>
      <c r="Z80" s="199">
        <f t="shared" si="197"/>
        <v>4.7389994637867545</v>
      </c>
      <c r="AA80" s="199">
        <f t="shared" ref="AA80:AH80" si="204">AA53</f>
        <v>4.7979882745154434</v>
      </c>
      <c r="AB80" s="199">
        <f t="shared" si="204"/>
        <v>4.6196745661922405</v>
      </c>
      <c r="AC80" s="199">
        <f t="shared" si="204"/>
        <v>4.6662827859109095</v>
      </c>
      <c r="AD80" s="199">
        <f t="shared" si="204"/>
        <v>4.9819941880271097</v>
      </c>
      <c r="AE80" s="199">
        <f t="shared" si="204"/>
        <v>6.3445670774287564</v>
      </c>
      <c r="AF80" s="199">
        <f t="shared" ref="AF80:AG80" si="205">AF53</f>
        <v>8.0540551724679439</v>
      </c>
      <c r="AG80" s="199">
        <f t="shared" si="205"/>
        <v>9.5189585873976093</v>
      </c>
      <c r="AH80" s="199">
        <f t="shared" si="204"/>
        <v>9.7120475246479643</v>
      </c>
      <c r="AM80" s="3" t="s">
        <v>459</v>
      </c>
      <c r="AN80" s="3">
        <f>SUM(AN77:AN78)</f>
        <v>221.78217504183343</v>
      </c>
      <c r="AO80" s="3">
        <f>SUM(AO77:AO78)</f>
        <v>216.19784536900227</v>
      </c>
      <c r="AP80" s="3">
        <f>SUM(AP77:AP78)</f>
        <v>245.42568103219367</v>
      </c>
      <c r="AQ80" s="3">
        <f>SUM(AQ77:AQ78)</f>
        <v>328.99945326575562</v>
      </c>
      <c r="AR80" s="3">
        <f>SUM(AR77:AR78)</f>
        <v>587.57697147087106</v>
      </c>
      <c r="AS80" s="3"/>
      <c r="AT80" s="3" t="e">
        <f>SUM(AT77:AT78)</f>
        <v>#REF!</v>
      </c>
      <c r="AU80" s="3">
        <f>SUM(AU77:AU78)</f>
        <v>216.19784536900229</v>
      </c>
      <c r="AV80" s="3">
        <f>SUM(AV77:AV78)</f>
        <v>245.42568103219364</v>
      </c>
      <c r="AW80" s="3">
        <f>SUM(AW77:AW78)</f>
        <v>328.99945326575562</v>
      </c>
      <c r="AX80" s="3">
        <f>SUM(AX77:AX78)</f>
        <v>587.57697147087094</v>
      </c>
    </row>
    <row r="81" spans="1:50">
      <c r="A81" t="s">
        <v>16</v>
      </c>
      <c r="B81" s="3" t="s">
        <v>400</v>
      </c>
      <c r="C81" s="3" t="s">
        <v>749</v>
      </c>
      <c r="D81" t="s">
        <v>137</v>
      </c>
      <c r="E81" s="220"/>
      <c r="F81" s="199">
        <f t="shared" ref="F81" si="206">F68*F97</f>
        <v>3.2441770761137643</v>
      </c>
      <c r="G81" s="199">
        <f t="shared" si="174"/>
        <v>3.2845590489279806</v>
      </c>
      <c r="H81" s="199">
        <f t="shared" si="174"/>
        <v>3.1624908255995221</v>
      </c>
      <c r="I81" s="199">
        <f t="shared" si="174"/>
        <v>3.1943974166690539</v>
      </c>
      <c r="J81" s="199">
        <f t="shared" si="174"/>
        <v>3.4105272424930653</v>
      </c>
      <c r="K81" s="199">
        <f t="shared" si="174"/>
        <v>4.3433047174959158</v>
      </c>
      <c r="L81" s="199">
        <f t="shared" ref="L81:M81" si="207">L68*L97</f>
        <v>5.5146557408049901</v>
      </c>
      <c r="M81" s="199">
        <f t="shared" si="207"/>
        <v>6.5166831621070553</v>
      </c>
      <c r="N81" s="199">
        <f t="shared" si="174"/>
        <v>6.6505981273268393</v>
      </c>
      <c r="O81" s="5"/>
      <c r="P81" s="199">
        <f t="shared" si="194"/>
        <v>3.2441770761137643</v>
      </c>
      <c r="Q81" s="199">
        <f t="shared" ref="Q81:X81" si="208">Q54</f>
        <v>3.284559048927981</v>
      </c>
      <c r="R81" s="199">
        <f t="shared" si="208"/>
        <v>3.1624908255995221</v>
      </c>
      <c r="S81" s="199">
        <f t="shared" si="208"/>
        <v>3.1943974166690543</v>
      </c>
      <c r="T81" s="199">
        <f t="shared" si="208"/>
        <v>3.5900286763084908</v>
      </c>
      <c r="U81" s="199">
        <f t="shared" si="208"/>
        <v>4.8125260027655594</v>
      </c>
      <c r="V81" s="199">
        <f t="shared" ref="V81:W81" si="209">V54</f>
        <v>6.432023024703299</v>
      </c>
      <c r="W81" s="199">
        <f t="shared" si="209"/>
        <v>8.000777356965715</v>
      </c>
      <c r="X81" s="199">
        <f t="shared" si="208"/>
        <v>8.5949366351853822</v>
      </c>
      <c r="Y81" s="5"/>
      <c r="Z81" s="199">
        <f t="shared" si="197"/>
        <v>3.2441770761137643</v>
      </c>
      <c r="AA81" s="199">
        <f t="shared" ref="AA81:AH81" si="210">AA54</f>
        <v>3.284559048927981</v>
      </c>
      <c r="AB81" s="199">
        <f t="shared" si="210"/>
        <v>3.1624908255995221</v>
      </c>
      <c r="AC81" s="199">
        <f t="shared" si="210"/>
        <v>3.1943974166690543</v>
      </c>
      <c r="AD81" s="199">
        <f t="shared" si="210"/>
        <v>3.4105239854183775</v>
      </c>
      <c r="AE81" s="199">
        <f t="shared" si="210"/>
        <v>4.3433005696129499</v>
      </c>
      <c r="AF81" s="199">
        <f t="shared" ref="AF81:AG81" si="211">AF54</f>
        <v>5.5135649117371868</v>
      </c>
      <c r="AG81" s="199">
        <f t="shared" si="211"/>
        <v>6.516393908395929</v>
      </c>
      <c r="AH81" s="199">
        <f t="shared" si="210"/>
        <v>6.6485768108557295</v>
      </c>
      <c r="AI81" s="3"/>
      <c r="AJ81" s="3"/>
      <c r="AK81" s="3"/>
      <c r="AL81" s="3"/>
      <c r="AM81" t="s">
        <v>458</v>
      </c>
      <c r="AN81" s="164">
        <f>AN78/AN80</f>
        <v>9.9196429991951662E-2</v>
      </c>
      <c r="AO81" s="164">
        <f>AO78/AO80</f>
        <v>7.5587460052500166E-2</v>
      </c>
      <c r="AP81" s="164">
        <f>AP78/AP80</f>
        <v>9.9196429991951648E-2</v>
      </c>
      <c r="AQ81" s="164">
        <f>AQ78/AQ80</f>
        <v>9.919642999195169E-2</v>
      </c>
      <c r="AR81" s="164">
        <f>AR78/AR80</f>
        <v>9.9196429991951662E-2</v>
      </c>
      <c r="AS81" s="164"/>
      <c r="AT81" s="164" t="e">
        <f>AT78/AT80</f>
        <v>#REF!</v>
      </c>
      <c r="AU81" s="164">
        <f>AU78/AU80</f>
        <v>7.9587460052500156E-2</v>
      </c>
      <c r="AV81" s="164">
        <f>AV78/AV80</f>
        <v>0.11491705698932664</v>
      </c>
      <c r="AW81" s="164">
        <f>AW78/AW80</f>
        <v>0.18702477806773646</v>
      </c>
      <c r="AX81" s="164">
        <f>AX78/AX80</f>
        <v>0.30297536909582562</v>
      </c>
    </row>
    <row r="82" spans="1:50">
      <c r="A82" t="s">
        <v>16</v>
      </c>
      <c r="B82" s="3" t="s">
        <v>401</v>
      </c>
      <c r="C82" s="3" t="s">
        <v>750</v>
      </c>
      <c r="D82" t="s">
        <v>137</v>
      </c>
      <c r="E82" s="220"/>
      <c r="F82" s="199">
        <f>F69*F98</f>
        <v>130.05107807184956</v>
      </c>
      <c r="G82" s="199">
        <f>G69*G98</f>
        <v>134.72568842583831</v>
      </c>
      <c r="H82" s="199">
        <f t="shared" si="174"/>
        <v>131.01589429361539</v>
      </c>
      <c r="I82" s="199">
        <f t="shared" si="174"/>
        <v>133.21123913432774</v>
      </c>
      <c r="J82" s="199">
        <f t="shared" si="174"/>
        <v>143.91541790377966</v>
      </c>
      <c r="K82" s="199">
        <f t="shared" si="174"/>
        <v>174.11240128160202</v>
      </c>
      <c r="L82" s="199">
        <f>L69*L98</f>
        <v>221.06898219807692</v>
      </c>
      <c r="M82" s="199">
        <f>M69*M98</f>
        <v>261.2377964583622</v>
      </c>
      <c r="N82" s="199">
        <f>N69*N98</f>
        <v>266.60611797355193</v>
      </c>
      <c r="O82" s="5"/>
      <c r="P82" s="199">
        <f>P55</f>
        <v>130.05107807184956</v>
      </c>
      <c r="Q82" s="199">
        <f t="shared" ref="Q82:X82" si="212">Q55</f>
        <v>131.66989201940638</v>
      </c>
      <c r="R82" s="199">
        <f t="shared" si="212"/>
        <v>131.88068567509137</v>
      </c>
      <c r="S82" s="199">
        <f t="shared" si="212"/>
        <v>128.0555339862631</v>
      </c>
      <c r="T82" s="199">
        <f t="shared" si="212"/>
        <v>143.91541790377966</v>
      </c>
      <c r="U82" s="199">
        <f t="shared" si="212"/>
        <v>192.92232828986374</v>
      </c>
      <c r="V82" s="199">
        <f t="shared" ref="V82:W82" si="213">V55</f>
        <v>257.8439798198886</v>
      </c>
      <c r="W82" s="199">
        <f t="shared" si="213"/>
        <v>320.73148175150561</v>
      </c>
      <c r="X82" s="199">
        <f t="shared" si="212"/>
        <v>344.54986554066159</v>
      </c>
      <c r="Y82" s="5"/>
      <c r="Z82" s="199">
        <f t="shared" si="197"/>
        <v>130.05107807184956</v>
      </c>
      <c r="AA82" s="199">
        <f t="shared" ref="AA82:AH82" si="214">AA55</f>
        <v>131.66989201940638</v>
      </c>
      <c r="AB82" s="199">
        <f t="shared" si="214"/>
        <v>131.88068567509137</v>
      </c>
      <c r="AC82" s="199">
        <f t="shared" si="214"/>
        <v>128.0555339862631</v>
      </c>
      <c r="AD82" s="199">
        <f t="shared" si="214"/>
        <v>136.71951644047903</v>
      </c>
      <c r="AE82" s="199">
        <f t="shared" si="214"/>
        <v>174.11223500317791</v>
      </c>
      <c r="AF82" s="199">
        <f t="shared" ref="AF82:AG82" si="215">AF55</f>
        <v>221.02525354426686</v>
      </c>
      <c r="AG82" s="199">
        <f t="shared" si="215"/>
        <v>261.2262009886681</v>
      </c>
      <c r="AH82" s="199">
        <f t="shared" si="214"/>
        <v>266.52508836880941</v>
      </c>
      <c r="AI82" s="3"/>
      <c r="AJ82" s="3"/>
      <c r="AK82" s="3"/>
      <c r="AL82" s="3"/>
      <c r="AM82" s="3"/>
      <c r="AN82" s="3"/>
      <c r="AO82" s="3"/>
      <c r="AP82" s="3"/>
      <c r="AQ82" s="3"/>
      <c r="AR82" s="3"/>
      <c r="AS82" s="3"/>
      <c r="AT82" s="3"/>
      <c r="AU82" s="3"/>
      <c r="AV82" s="3"/>
      <c r="AW82" s="3"/>
    </row>
    <row r="83" spans="1:50">
      <c r="A83" t="s">
        <v>16</v>
      </c>
      <c r="B83" s="3" t="s">
        <v>402</v>
      </c>
      <c r="C83" s="3" t="s">
        <v>751</v>
      </c>
      <c r="D83" t="s">
        <v>137</v>
      </c>
      <c r="E83" s="220"/>
      <c r="F83" s="199">
        <f t="shared" ref="F83" si="216">F70*F99</f>
        <v>39.825760684889083</v>
      </c>
      <c r="G83" s="199">
        <f t="shared" si="174"/>
        <v>40.321492806641579</v>
      </c>
      <c r="H83" s="199">
        <f t="shared" si="174"/>
        <v>38.822974157550945</v>
      </c>
      <c r="I83" s="199">
        <f t="shared" si="174"/>
        <v>39.21466185843564</v>
      </c>
      <c r="J83" s="199">
        <f t="shared" si="174"/>
        <v>41.867887782356199</v>
      </c>
      <c r="K83" s="199">
        <f t="shared" si="174"/>
        <v>53.318733904547322</v>
      </c>
      <c r="L83" s="199">
        <f t="shared" ref="L83:M83" si="217">L70*L99</f>
        <v>67.698326768260401</v>
      </c>
      <c r="M83" s="199">
        <f t="shared" si="217"/>
        <v>79.999290416113141</v>
      </c>
      <c r="N83" s="199">
        <f t="shared" si="174"/>
        <v>81.643240555652724</v>
      </c>
      <c r="O83" s="5"/>
      <c r="P83" s="199">
        <f>P56</f>
        <v>39.825760684889083</v>
      </c>
      <c r="Q83" s="199">
        <f t="shared" ref="Q83:X83" si="218">Q56</f>
        <v>40.321492806641579</v>
      </c>
      <c r="R83" s="199">
        <f t="shared" si="218"/>
        <v>38.822974157550945</v>
      </c>
      <c r="S83" s="199">
        <f t="shared" si="218"/>
        <v>39.21466185843564</v>
      </c>
      <c r="T83" s="199">
        <f t="shared" si="218"/>
        <v>44.071460823532846</v>
      </c>
      <c r="U83" s="199">
        <f t="shared" si="218"/>
        <v>59.07892953412447</v>
      </c>
      <c r="V83" s="199">
        <f t="shared" ref="V83:W83" si="219">V56</f>
        <v>78.959996230658021</v>
      </c>
      <c r="W83" s="199">
        <f t="shared" si="219"/>
        <v>98.218141869522995</v>
      </c>
      <c r="X83" s="199">
        <f t="shared" si="218"/>
        <v>105.51208565493091</v>
      </c>
      <c r="Y83" s="5"/>
      <c r="Z83" s="199">
        <f t="shared" si="197"/>
        <v>39.825760684889083</v>
      </c>
      <c r="AA83" s="199">
        <f t="shared" ref="AA83:AH83" si="220">AA56</f>
        <v>40.321492806641579</v>
      </c>
      <c r="AB83" s="199">
        <f t="shared" si="220"/>
        <v>38.822974157550945</v>
      </c>
      <c r="AC83" s="199">
        <f t="shared" si="220"/>
        <v>39.21466185843564</v>
      </c>
      <c r="AD83" s="199">
        <f t="shared" si="220"/>
        <v>41.867847798263455</v>
      </c>
      <c r="AE83" s="199">
        <f t="shared" si="220"/>
        <v>53.318682984825443</v>
      </c>
      <c r="AF83" s="199">
        <f t="shared" ref="AF83:AG83" si="221">AF56</f>
        <v>67.684935668951326</v>
      </c>
      <c r="AG83" s="199">
        <f t="shared" si="221"/>
        <v>79.995739515898293</v>
      </c>
      <c r="AH83" s="199">
        <f t="shared" si="220"/>
        <v>81.618426723313064</v>
      </c>
      <c r="AI83" s="3"/>
      <c r="AJ83" s="3"/>
      <c r="AK83" s="3"/>
      <c r="AL83" s="3"/>
      <c r="AM83" s="3"/>
      <c r="AN83" s="3"/>
      <c r="AO83" s="3"/>
      <c r="AP83" s="3"/>
      <c r="AQ83" s="3"/>
      <c r="AR83" s="3"/>
      <c r="AS83" s="3"/>
      <c r="AT83" s="3"/>
      <c r="AU83" s="3"/>
      <c r="AV83" s="3"/>
      <c r="AW83" s="3"/>
    </row>
    <row r="84" spans="1:50">
      <c r="A84" t="s">
        <v>16</v>
      </c>
      <c r="B84" s="3" t="s">
        <v>403</v>
      </c>
      <c r="C84" s="3" t="s">
        <v>752</v>
      </c>
      <c r="D84" t="s">
        <v>137</v>
      </c>
      <c r="E84" s="220"/>
      <c r="F84" s="199">
        <f t="shared" ref="F84" si="222">F71*F100</f>
        <v>2.2490953086010257</v>
      </c>
      <c r="G84" s="199">
        <f t="shared" si="174"/>
        <v>2.2770909769870769</v>
      </c>
      <c r="H84" s="199">
        <f t="shared" si="174"/>
        <v>2.1924645641939198</v>
      </c>
      <c r="I84" s="199">
        <f t="shared" si="174"/>
        <v>2.2145844924852267</v>
      </c>
      <c r="J84" s="199">
        <f t="shared" si="174"/>
        <v>2.3644211277566409</v>
      </c>
      <c r="K84" s="199">
        <f t="shared" si="174"/>
        <v>3.0110891097370596</v>
      </c>
      <c r="L84" s="199">
        <f t="shared" ref="L84:M84" si="223">L71*L100</f>
        <v>3.8231533187614692</v>
      </c>
      <c r="M84" s="199">
        <f t="shared" si="223"/>
        <v>4.5178303106350866</v>
      </c>
      <c r="N84" s="199">
        <f t="shared" si="174"/>
        <v>4.6106697312218561</v>
      </c>
      <c r="O84" s="5"/>
      <c r="P84" s="199">
        <f t="shared" si="194"/>
        <v>2.2490953086010257</v>
      </c>
      <c r="Q84" s="199">
        <f t="shared" ref="Q84:X84" si="224">Q57</f>
        <v>2.2770909769870764</v>
      </c>
      <c r="R84" s="199">
        <f t="shared" si="224"/>
        <v>2.1924645641939198</v>
      </c>
      <c r="S84" s="199">
        <f t="shared" si="224"/>
        <v>2.2145844924852267</v>
      </c>
      <c r="T84" s="199">
        <f t="shared" si="224"/>
        <v>2.4888643450069905</v>
      </c>
      <c r="U84" s="199">
        <f t="shared" si="224"/>
        <v>3.3363868251934181</v>
      </c>
      <c r="V84" s="199">
        <f t="shared" ref="V84:W84" si="225">V57</f>
        <v>4.4591378553858814</v>
      </c>
      <c r="W84" s="199">
        <f t="shared" si="225"/>
        <v>5.5467104281091615</v>
      </c>
      <c r="X84" s="199">
        <f t="shared" si="224"/>
        <v>5.9586240856726436</v>
      </c>
      <c r="Y84" s="5"/>
      <c r="Z84" s="199">
        <f t="shared" si="197"/>
        <v>2.2490953086010257</v>
      </c>
      <c r="AA84" s="199">
        <f t="shared" ref="AA84:AH84" si="226">AA57</f>
        <v>2.2770909769870764</v>
      </c>
      <c r="AB84" s="199">
        <f t="shared" si="226"/>
        <v>2.1924645641939198</v>
      </c>
      <c r="AC84" s="199">
        <f t="shared" si="226"/>
        <v>2.2145844924852267</v>
      </c>
      <c r="AD84" s="199">
        <f t="shared" si="226"/>
        <v>2.3644188697197861</v>
      </c>
      <c r="AE84" s="199">
        <f t="shared" si="226"/>
        <v>3.0110862341282676</v>
      </c>
      <c r="AF84" s="199">
        <f t="shared" ref="AF84:AG84" si="227">AF57</f>
        <v>3.8223970781243763</v>
      </c>
      <c r="AG84" s="199">
        <f t="shared" si="227"/>
        <v>4.5176297792986562</v>
      </c>
      <c r="AH84" s="199">
        <f t="shared" si="226"/>
        <v>4.6092684102440833</v>
      </c>
      <c r="AI84" s="3"/>
      <c r="AJ84" s="3"/>
      <c r="AK84" s="3"/>
      <c r="AL84" s="3"/>
      <c r="AM84" s="3"/>
      <c r="AN84" s="3"/>
      <c r="AO84" s="3"/>
      <c r="AP84" s="3"/>
      <c r="AQ84" s="3"/>
      <c r="AR84" s="3"/>
      <c r="AS84" s="3"/>
      <c r="AT84" s="3"/>
      <c r="AU84" s="3"/>
      <c r="AV84" s="3"/>
      <c r="AW84" s="3"/>
    </row>
    <row r="85" spans="1:50">
      <c r="A85" t="s">
        <v>16</v>
      </c>
      <c r="B85" s="3" t="s">
        <v>404</v>
      </c>
      <c r="C85" s="3" t="s">
        <v>753</v>
      </c>
      <c r="D85" t="s">
        <v>137</v>
      </c>
      <c r="E85" s="220"/>
      <c r="F85" s="199">
        <f t="shared" ref="F85" si="228">F72*F101</f>
        <v>0.64433067785501452</v>
      </c>
      <c r="G85" s="199">
        <f t="shared" si="174"/>
        <v>0.65235099959024956</v>
      </c>
      <c r="H85" s="199">
        <f t="shared" si="174"/>
        <v>0.6281068540838638</v>
      </c>
      <c r="I85" s="199">
        <f t="shared" si="174"/>
        <v>0.63444386805367514</v>
      </c>
      <c r="J85" s="199">
        <f t="shared" si="174"/>
        <v>0.67736972379786642</v>
      </c>
      <c r="K85" s="199">
        <f t="shared" si="174"/>
        <v>0.86263000048918725</v>
      </c>
      <c r="L85" s="199">
        <f t="shared" ref="L85:M85" si="229">L72*L101</f>
        <v>1.0952737129461556</v>
      </c>
      <c r="M85" s="199">
        <f t="shared" si="229"/>
        <v>1.2942878211311157</v>
      </c>
      <c r="N85" s="199">
        <f t="shared" si="174"/>
        <v>1.3208848650934495</v>
      </c>
      <c r="O85" s="5"/>
      <c r="P85" s="199">
        <f t="shared" si="194"/>
        <v>0.64433067785501452</v>
      </c>
      <c r="Q85" s="199">
        <f t="shared" ref="Q85:X85" si="230">Q58</f>
        <v>0.65235099959024967</v>
      </c>
      <c r="R85" s="199">
        <f t="shared" si="230"/>
        <v>0.62810685408386391</v>
      </c>
      <c r="S85" s="199">
        <f t="shared" si="230"/>
        <v>0.63444386805367525</v>
      </c>
      <c r="T85" s="199">
        <f t="shared" si="230"/>
        <v>0.71302076189249108</v>
      </c>
      <c r="U85" s="199">
        <f t="shared" si="230"/>
        <v>0.95582271522347628</v>
      </c>
      <c r="V85" s="199">
        <f t="shared" ref="V85:W85" si="231">V58</f>
        <v>1.2774733494050514</v>
      </c>
      <c r="W85" s="199">
        <f t="shared" si="231"/>
        <v>1.5890459049652672</v>
      </c>
      <c r="X85" s="199">
        <f t="shared" si="230"/>
        <v>1.7070527342804307</v>
      </c>
      <c r="Y85" s="5"/>
      <c r="Z85" s="199">
        <f t="shared" si="197"/>
        <v>0.64433067785501452</v>
      </c>
      <c r="AA85" s="199">
        <f t="shared" ref="AA85:AH85" si="232">AA58</f>
        <v>0.65235099959024967</v>
      </c>
      <c r="AB85" s="199">
        <f t="shared" si="232"/>
        <v>0.62810685408386391</v>
      </c>
      <c r="AC85" s="199">
        <f t="shared" si="232"/>
        <v>0.63444386805367525</v>
      </c>
      <c r="AD85" s="199">
        <f t="shared" si="232"/>
        <v>0.67736907690557524</v>
      </c>
      <c r="AE85" s="199">
        <f t="shared" si="232"/>
        <v>0.86262917667218164</v>
      </c>
      <c r="AF85" s="199">
        <f t="shared" ref="AF85:AG85" si="233">AF58</f>
        <v>1.0950570618151625</v>
      </c>
      <c r="AG85" s="199">
        <f t="shared" si="233"/>
        <v>1.2942303720352772</v>
      </c>
      <c r="AH85" s="199">
        <f t="shared" si="232"/>
        <v>1.3204834085202004</v>
      </c>
      <c r="AI85" s="3"/>
      <c r="AJ85" s="3"/>
      <c r="AK85" s="3"/>
      <c r="AL85" s="3"/>
      <c r="AM85" s="3"/>
      <c r="AN85" s="3"/>
      <c r="AO85" s="3"/>
      <c r="AP85" s="3"/>
      <c r="AQ85" s="3"/>
      <c r="AR85" s="3"/>
      <c r="AS85" s="3"/>
      <c r="AT85" s="3"/>
      <c r="AU85" s="3"/>
      <c r="AV85" s="3"/>
      <c r="AW85" s="3"/>
    </row>
    <row r="86" spans="1:50">
      <c r="A86" t="s">
        <v>16</v>
      </c>
      <c r="B86" s="3" t="s">
        <v>366</v>
      </c>
      <c r="C86" s="3" t="s">
        <v>754</v>
      </c>
      <c r="D86" t="s">
        <v>137</v>
      </c>
      <c r="E86" s="35"/>
      <c r="F86" s="199">
        <f t="shared" ref="F86" si="234">F59</f>
        <v>22</v>
      </c>
      <c r="G86" s="199">
        <f t="shared" ref="G86:N86" si="235">G59</f>
        <v>19.218049126986699</v>
      </c>
      <c r="H86" s="199">
        <f t="shared" si="235"/>
        <v>17.206637381742077</v>
      </c>
      <c r="I86" s="199">
        <f t="shared" si="235"/>
        <v>16.506720027229584</v>
      </c>
      <c r="J86" s="199">
        <f t="shared" si="235"/>
        <v>28.203596973820897</v>
      </c>
      <c r="K86" s="199">
        <f t="shared" si="235"/>
        <v>61.531049731434578</v>
      </c>
      <c r="L86" s="199">
        <f t="shared" ref="L86:M86" si="236">L59</f>
        <v>100.11110066222132</v>
      </c>
      <c r="M86" s="199">
        <f t="shared" si="236"/>
        <v>145.64946887396664</v>
      </c>
      <c r="N86" s="199">
        <f t="shared" si="235"/>
        <v>178.02134980359452</v>
      </c>
      <c r="O86" s="5"/>
      <c r="P86" s="199">
        <f>P59</f>
        <v>22</v>
      </c>
      <c r="Q86" s="199">
        <f t="shared" ref="Q86:X86" si="237">Q59</f>
        <v>22.273845533418598</v>
      </c>
      <c r="R86" s="199">
        <f t="shared" si="237"/>
        <v>16.341846000266067</v>
      </c>
      <c r="S86" s="199">
        <f t="shared" si="237"/>
        <v>21.662425175294217</v>
      </c>
      <c r="T86" s="199">
        <f t="shared" si="237"/>
        <v>24.345351386737054</v>
      </c>
      <c r="U86" s="199">
        <f t="shared" si="237"/>
        <v>32.635571233266909</v>
      </c>
      <c r="V86" s="199">
        <f t="shared" ref="V86:W86" si="238">V59</f>
        <v>43.617997175722103</v>
      </c>
      <c r="W86" s="199">
        <f t="shared" si="238"/>
        <v>54.256317618796132</v>
      </c>
      <c r="X86" s="199">
        <f t="shared" si="237"/>
        <v>58.285537915393242</v>
      </c>
      <c r="Y86" s="5"/>
      <c r="Z86" s="199">
        <f>Z59</f>
        <v>22</v>
      </c>
      <c r="AA86" s="199">
        <f>AA59</f>
        <v>22.273845533418598</v>
      </c>
      <c r="AB86" s="199">
        <f t="shared" ref="AB86:AH86" si="239">AB59</f>
        <v>16.341846000266067</v>
      </c>
      <c r="AC86" s="199">
        <f t="shared" si="239"/>
        <v>21.662425175294217</v>
      </c>
      <c r="AD86" s="199">
        <f t="shared" si="239"/>
        <v>35.39933406239382</v>
      </c>
      <c r="AE86" s="199">
        <f t="shared" si="239"/>
        <v>61.530990968900106</v>
      </c>
      <c r="AF86" s="199">
        <f t="shared" ref="AF86:AG86" si="240">AF59</f>
        <v>100.09129813895515</v>
      </c>
      <c r="AG86" s="199">
        <f t="shared" si="240"/>
        <v>145.6430039824954</v>
      </c>
      <c r="AH86" s="199">
        <f t="shared" si="239"/>
        <v>177.9672437698697</v>
      </c>
      <c r="AI86" s="3"/>
      <c r="AJ86" s="3"/>
      <c r="AK86" s="3"/>
      <c r="AL86" s="3"/>
      <c r="AM86" s="3"/>
      <c r="AN86" s="3"/>
      <c r="AO86" s="3"/>
      <c r="AP86" s="3"/>
      <c r="AQ86" s="3"/>
      <c r="AR86" s="3"/>
      <c r="AS86" s="3"/>
      <c r="AT86" s="3"/>
      <c r="AU86" s="3"/>
      <c r="AV86" s="3"/>
      <c r="AW86" s="3"/>
    </row>
    <row r="87" spans="1:50">
      <c r="A87" t="s">
        <v>16</v>
      </c>
      <c r="B87" s="3" t="s">
        <v>368</v>
      </c>
      <c r="C87" s="3" t="s">
        <v>755</v>
      </c>
      <c r="D87" t="s">
        <v>137</v>
      </c>
      <c r="E87" s="35"/>
      <c r="F87" s="199">
        <f t="shared" ref="F87" si="241">F47</f>
        <v>27.142505514316699</v>
      </c>
      <c r="G87" s="199">
        <f t="shared" ref="G87:N87" si="242">G47</f>
        <v>26.703251105538467</v>
      </c>
      <c r="H87" s="199">
        <f t="shared" si="242"/>
        <v>25.710844401627732</v>
      </c>
      <c r="I87" s="199">
        <f t="shared" si="242"/>
        <v>25.970242908568729</v>
      </c>
      <c r="J87" s="199">
        <f t="shared" si="242"/>
        <v>29.186699277286003</v>
      </c>
      <c r="K87" s="199">
        <f t="shared" si="242"/>
        <v>40.020338105433609</v>
      </c>
      <c r="L87" s="199">
        <f t="shared" ref="L87:M87" si="243">L47</f>
        <v>54.041367566389084</v>
      </c>
      <c r="M87" s="199">
        <f t="shared" si="243"/>
        <v>67.875998645520468</v>
      </c>
      <c r="N87" s="199">
        <f t="shared" si="242"/>
        <v>73.584170791170493</v>
      </c>
      <c r="O87" s="5"/>
      <c r="P87" s="199">
        <f>P47</f>
        <v>27.142505514316699</v>
      </c>
      <c r="Q87" s="199">
        <f t="shared" ref="Q87:X87" si="244">Q47</f>
        <v>26.703251105538467</v>
      </c>
      <c r="R87" s="199">
        <f t="shared" si="244"/>
        <v>25.706609742210937</v>
      </c>
      <c r="S87" s="199">
        <f t="shared" si="244"/>
        <v>25.966451338109337</v>
      </c>
      <c r="T87" s="199">
        <f t="shared" si="244"/>
        <v>29.181864264415765</v>
      </c>
      <c r="U87" s="199">
        <f t="shared" si="244"/>
        <v>39.119041446232735</v>
      </c>
      <c r="V87" s="199">
        <f t="shared" ref="V87:W87" si="245">V47</f>
        <v>52.273951627345546</v>
      </c>
      <c r="W87" s="199">
        <f t="shared" si="245"/>
        <v>65.032198783466242</v>
      </c>
      <c r="X87" s="199">
        <f t="shared" si="244"/>
        <v>69.843532104730272</v>
      </c>
      <c r="Y87" s="5"/>
      <c r="Z87" s="199">
        <f>Z47</f>
        <v>27.142505514316699</v>
      </c>
      <c r="AA87" s="199">
        <f>AA47</f>
        <v>26.703251105538467</v>
      </c>
      <c r="AB87" s="199">
        <f t="shared" ref="AB87:AH87" si="246">AB47</f>
        <v>25.706609742210937</v>
      </c>
      <c r="AC87" s="199">
        <f t="shared" si="246"/>
        <v>25.966451338109337</v>
      </c>
      <c r="AD87" s="199">
        <f t="shared" si="246"/>
        <v>29.524120697146564</v>
      </c>
      <c r="AE87" s="199">
        <f t="shared" si="246"/>
        <v>40.013708412641947</v>
      </c>
      <c r="AF87" s="199">
        <f t="shared" ref="AF87:AG87" si="247">AF47</f>
        <v>54.022789586186938</v>
      </c>
      <c r="AG87" s="199">
        <f t="shared" si="247"/>
        <v>67.861806956783795</v>
      </c>
      <c r="AH87" s="199">
        <f t="shared" si="246"/>
        <v>73.549690484162284</v>
      </c>
      <c r="AI87" s="3"/>
      <c r="AJ87" s="3"/>
      <c r="AK87" s="3"/>
      <c r="AL87" s="3"/>
      <c r="AM87" s="3"/>
      <c r="AN87" s="3"/>
      <c r="AO87" s="3"/>
      <c r="AP87" s="3"/>
      <c r="AQ87" s="3"/>
      <c r="AR87" s="3"/>
      <c r="AS87" s="3"/>
      <c r="AT87" s="3"/>
      <c r="AU87" s="3"/>
      <c r="AV87" s="3"/>
      <c r="AW87" s="3"/>
    </row>
    <row r="88" spans="1:50">
      <c r="A88" t="s">
        <v>16</v>
      </c>
      <c r="B88" s="3" t="s">
        <v>367</v>
      </c>
      <c r="C88" s="3" t="s">
        <v>756</v>
      </c>
      <c r="D88" t="s">
        <v>137</v>
      </c>
      <c r="E88" s="35"/>
      <c r="F88" s="199">
        <f t="shared" ref="F88" si="248">F104</f>
        <v>88.672727178245694</v>
      </c>
      <c r="G88" s="199">
        <f t="shared" ref="G88:N88" si="249">G104</f>
        <v>87.357882681535756</v>
      </c>
      <c r="H88" s="199">
        <f t="shared" si="249"/>
        <v>84.559607459462228</v>
      </c>
      <c r="I88" s="199">
        <f t="shared" si="249"/>
        <v>86.9457419513449</v>
      </c>
      <c r="J88" s="199">
        <f t="shared" si="249"/>
        <v>91.870107239718436</v>
      </c>
      <c r="K88" s="199">
        <f t="shared" si="249"/>
        <v>112.58429272743091</v>
      </c>
      <c r="L88" s="199">
        <f t="shared" ref="L88:M88" si="250">L104</f>
        <v>148.41084013675146</v>
      </c>
      <c r="M88" s="199">
        <f t="shared" si="250"/>
        <v>183.24497714602427</v>
      </c>
      <c r="N88" s="199">
        <f t="shared" si="249"/>
        <v>196.27767980712804</v>
      </c>
      <c r="O88" s="5"/>
      <c r="P88" s="199">
        <f>F88</f>
        <v>88.672727178245694</v>
      </c>
      <c r="Q88" s="199">
        <f t="shared" ref="Q88:X88" si="251">G88</f>
        <v>87.357882681535756</v>
      </c>
      <c r="R88" s="199">
        <f t="shared" si="251"/>
        <v>84.559607459462228</v>
      </c>
      <c r="S88" s="199">
        <f t="shared" si="251"/>
        <v>86.9457419513449</v>
      </c>
      <c r="T88" s="199">
        <f t="shared" si="251"/>
        <v>91.870107239718436</v>
      </c>
      <c r="U88" s="199">
        <f t="shared" si="251"/>
        <v>112.58429272743091</v>
      </c>
      <c r="V88" s="199">
        <f t="shared" si="251"/>
        <v>148.41084013675146</v>
      </c>
      <c r="W88" s="199">
        <f t="shared" si="251"/>
        <v>183.24497714602427</v>
      </c>
      <c r="X88" s="199">
        <f t="shared" si="251"/>
        <v>196.27767980712804</v>
      </c>
      <c r="Y88" s="5"/>
      <c r="Z88" s="199">
        <f t="shared" ref="Z88:AH88" si="252">P88</f>
        <v>88.672727178245694</v>
      </c>
      <c r="AA88" s="199">
        <f t="shared" si="252"/>
        <v>87.357882681535756</v>
      </c>
      <c r="AB88" s="199">
        <f t="shared" si="252"/>
        <v>84.559607459462228</v>
      </c>
      <c r="AC88" s="199">
        <f t="shared" si="252"/>
        <v>86.9457419513449</v>
      </c>
      <c r="AD88" s="199">
        <f t="shared" si="252"/>
        <v>91.870107239718436</v>
      </c>
      <c r="AE88" s="199">
        <f t="shared" si="252"/>
        <v>112.58429272743091</v>
      </c>
      <c r="AF88" s="199">
        <f t="shared" si="252"/>
        <v>148.41084013675146</v>
      </c>
      <c r="AG88" s="199">
        <f t="shared" si="252"/>
        <v>183.24497714602427</v>
      </c>
      <c r="AH88" s="199">
        <f t="shared" si="252"/>
        <v>196.27767980712804</v>
      </c>
      <c r="AI88" s="3"/>
      <c r="AJ88" s="3"/>
      <c r="AK88" s="3"/>
      <c r="AL88" s="3"/>
      <c r="AM88" s="3"/>
      <c r="AN88" s="3"/>
      <c r="AO88" s="3"/>
      <c r="AP88" s="3"/>
      <c r="AQ88" s="3"/>
      <c r="AR88" s="3"/>
      <c r="AS88" s="3"/>
      <c r="AT88" s="3"/>
      <c r="AU88" s="3"/>
      <c r="AV88" s="3"/>
      <c r="AW88" s="3"/>
    </row>
    <row r="89" spans="1:50">
      <c r="A89" t="s">
        <v>16</v>
      </c>
      <c r="C89" s="2" t="s">
        <v>197</v>
      </c>
      <c r="E89" s="221"/>
      <c r="F89" s="62">
        <f>SUM(F76:F88)</f>
        <v>361.94771180625361</v>
      </c>
      <c r="G89" s="62">
        <f t="shared" ref="G89:I89" si="253">SUM(G76:G88)</f>
        <v>364.03446430660813</v>
      </c>
      <c r="H89" s="62">
        <f t="shared" si="253"/>
        <v>350.95370724984593</v>
      </c>
      <c r="I89" s="62">
        <f t="shared" si="253"/>
        <v>356.02751044152217</v>
      </c>
      <c r="J89" s="62">
        <f t="shared" ref="J89:N89" si="254">SUM(J76:J88)</f>
        <v>394.27808569308297</v>
      </c>
      <c r="K89" s="62">
        <f t="shared" si="254"/>
        <v>517.96998486821599</v>
      </c>
      <c r="L89" s="62">
        <f t="shared" ref="L89:M89" si="255">SUM(L76:L88)</f>
        <v>690.21572685038564</v>
      </c>
      <c r="M89" s="62">
        <f t="shared" si="255"/>
        <v>857.19472093006198</v>
      </c>
      <c r="N89" s="62">
        <f t="shared" si="254"/>
        <v>920.27674698277622</v>
      </c>
      <c r="O89" s="5"/>
      <c r="P89" s="62">
        <f t="shared" ref="P89:X89" si="256">SUM(P76:P88)</f>
        <v>361.94771180625361</v>
      </c>
      <c r="Q89" s="62">
        <f>SUM(Q76:Q88)</f>
        <v>364.03446430660813</v>
      </c>
      <c r="R89" s="62">
        <f t="shared" si="256"/>
        <v>350.94847927525734</v>
      </c>
      <c r="S89" s="62">
        <f t="shared" si="256"/>
        <v>356.0228294903377</v>
      </c>
      <c r="T89" s="62">
        <f t="shared" si="256"/>
        <v>394.2720965346461</v>
      </c>
      <c r="U89" s="62">
        <f t="shared" si="256"/>
        <v>517.961956246912</v>
      </c>
      <c r="V89" s="62">
        <f t="shared" ref="V89:W89" si="257">SUM(V76:V88)</f>
        <v>690.18610920830542</v>
      </c>
      <c r="W89" s="62">
        <f t="shared" si="257"/>
        <v>857.17585855652578</v>
      </c>
      <c r="X89" s="62">
        <f t="shared" si="256"/>
        <v>920.22108007431711</v>
      </c>
      <c r="Y89" s="288"/>
      <c r="Z89" s="62">
        <f t="shared" ref="Z89:AH89" si="258">SUM(Z76:Z88)</f>
        <v>361.94771180625361</v>
      </c>
      <c r="AA89" s="62">
        <f t="shared" si="258"/>
        <v>364.03446430660813</v>
      </c>
      <c r="AB89" s="62">
        <f t="shared" si="258"/>
        <v>350.94847927525734</v>
      </c>
      <c r="AC89" s="62">
        <f t="shared" si="258"/>
        <v>356.0228294903377</v>
      </c>
      <c r="AD89" s="62">
        <f t="shared" si="258"/>
        <v>394.27186215159708</v>
      </c>
      <c r="AE89" s="62">
        <f t="shared" si="258"/>
        <v>517.96164205039167</v>
      </c>
      <c r="AF89" s="62">
        <f t="shared" ref="AF89:AG89" si="259">SUM(AF76:AF88)</f>
        <v>690.09913149741783</v>
      </c>
      <c r="AG89" s="62">
        <f t="shared" si="259"/>
        <v>857.15158090878617</v>
      </c>
      <c r="AH89" s="62">
        <f t="shared" si="258"/>
        <v>920.04249778927419</v>
      </c>
    </row>
    <row r="90" spans="1:50">
      <c r="A90" t="s">
        <v>16</v>
      </c>
      <c r="O90" s="5"/>
      <c r="P90" s="2" t="s">
        <v>32</v>
      </c>
      <c r="Z90" s="2" t="s">
        <v>185</v>
      </c>
    </row>
    <row r="91" spans="1:50" ht="15.75" thickBot="1">
      <c r="A91" t="s">
        <v>16</v>
      </c>
      <c r="B91" s="9" t="s">
        <v>195</v>
      </c>
      <c r="C91" s="9"/>
      <c r="D91" s="9"/>
      <c r="F91">
        <f t="shared" ref="F91:I91" si="260">F$4</f>
        <v>2017</v>
      </c>
      <c r="G91">
        <f t="shared" si="260"/>
        <v>2019</v>
      </c>
      <c r="H91">
        <f t="shared" si="260"/>
        <v>2020</v>
      </c>
      <c r="I91">
        <f t="shared" si="260"/>
        <v>2021</v>
      </c>
      <c r="J91">
        <f>J$4</f>
        <v>2030</v>
      </c>
      <c r="K91">
        <f>K$4</f>
        <v>2040</v>
      </c>
      <c r="L91">
        <f>L$4</f>
        <v>2050</v>
      </c>
      <c r="M91">
        <f>M$4</f>
        <v>2060</v>
      </c>
      <c r="N91">
        <f>N$4</f>
        <v>2070</v>
      </c>
      <c r="O91" s="5"/>
      <c r="P91" s="4">
        <f>P75</f>
        <v>2017</v>
      </c>
      <c r="Q91" s="4">
        <f t="shared" ref="Q91:T91" si="261">Q75</f>
        <v>2019</v>
      </c>
      <c r="R91" s="4">
        <f t="shared" si="261"/>
        <v>2020</v>
      </c>
      <c r="S91" s="4">
        <f t="shared" si="261"/>
        <v>2021</v>
      </c>
      <c r="T91" s="4">
        <f t="shared" si="261"/>
        <v>2030</v>
      </c>
      <c r="U91" s="4">
        <f>U75</f>
        <v>2040</v>
      </c>
      <c r="V91" s="4">
        <f>V75</f>
        <v>2050</v>
      </c>
      <c r="W91" s="4">
        <f>W75</f>
        <v>2060</v>
      </c>
      <c r="X91" s="4">
        <f>X75</f>
        <v>2070</v>
      </c>
      <c r="Z91" s="4">
        <f>Z75</f>
        <v>2017</v>
      </c>
      <c r="AA91" s="4">
        <f t="shared" ref="AA91:AC91" si="262">AA75</f>
        <v>2019</v>
      </c>
      <c r="AB91" s="4">
        <f t="shared" si="262"/>
        <v>2020</v>
      </c>
      <c r="AC91" s="4">
        <f t="shared" si="262"/>
        <v>2021</v>
      </c>
      <c r="AD91" s="4">
        <f>AD75</f>
        <v>2030</v>
      </c>
      <c r="AE91" s="4">
        <f>AE75</f>
        <v>2040</v>
      </c>
      <c r="AF91" s="4">
        <f>AF75</f>
        <v>2050</v>
      </c>
      <c r="AG91" s="4">
        <f>AG75</f>
        <v>2060</v>
      </c>
      <c r="AH91" s="4">
        <f>AH75</f>
        <v>2070</v>
      </c>
    </row>
    <row r="92" spans="1:50">
      <c r="A92" t="s">
        <v>16</v>
      </c>
      <c r="B92" s="3" t="s">
        <v>139</v>
      </c>
      <c r="C92" s="3" t="s">
        <v>744</v>
      </c>
      <c r="D92" t="s">
        <v>138</v>
      </c>
      <c r="E92" t="s">
        <v>139</v>
      </c>
      <c r="F92" s="264">
        <f>'BY-DMD'!I87</f>
        <v>47.584820585749902</v>
      </c>
      <c r="G92" s="17">
        <f t="shared" ref="G92:N92" si="263">G43/G63</f>
        <v>48.177133793746854</v>
      </c>
      <c r="H92" s="3">
        <f t="shared" si="263"/>
        <v>46.38666602024783</v>
      </c>
      <c r="I92" s="6">
        <f t="shared" si="263"/>
        <v>46.854664337209421</v>
      </c>
      <c r="J92" s="6">
        <f t="shared" si="263"/>
        <v>52.65768990158729</v>
      </c>
      <c r="K92" s="6">
        <f t="shared" si="263"/>
        <v>70.588990993112105</v>
      </c>
      <c r="L92" s="6">
        <f t="shared" ref="L92:M92" si="264">L43/L63</f>
        <v>94.343389541658269</v>
      </c>
      <c r="M92" s="6">
        <f t="shared" si="264"/>
        <v>117.35350634244885</v>
      </c>
      <c r="N92" s="6">
        <f t="shared" si="263"/>
        <v>126.06849383854137</v>
      </c>
      <c r="O92" s="5"/>
      <c r="P92" s="6">
        <f>P76/P63</f>
        <v>47.584820585749895</v>
      </c>
      <c r="Q92" s="6">
        <f t="shared" ref="Q92:X92" si="265">Q76/Q63</f>
        <v>48.177133793746854</v>
      </c>
      <c r="R92" s="6">
        <f t="shared" si="265"/>
        <v>46.38666602024783</v>
      </c>
      <c r="S92" s="6">
        <f t="shared" si="265"/>
        <v>46.854664337209421</v>
      </c>
      <c r="T92" s="6">
        <f t="shared" si="265"/>
        <v>52.657639613166531</v>
      </c>
      <c r="U92" s="6">
        <f t="shared" si="265"/>
        <v>70.588923580187483</v>
      </c>
      <c r="V92" s="6">
        <f t="shared" ref="V92:W92" si="266">V76/V63</f>
        <v>94.324727903198109</v>
      </c>
      <c r="W92" s="6">
        <f t="shared" si="266"/>
        <v>117.34829741386065</v>
      </c>
      <c r="X92" s="6">
        <f t="shared" si="265"/>
        <v>126.03017783775387</v>
      </c>
      <c r="Z92" s="6">
        <f>P92</f>
        <v>47.584820585749895</v>
      </c>
      <c r="AA92" s="6">
        <f>Q92</f>
        <v>48.177133793746854</v>
      </c>
      <c r="AB92" s="6">
        <f>R92</f>
        <v>46.38666602024783</v>
      </c>
      <c r="AC92" s="6">
        <f>S92</f>
        <v>46.854664337209421</v>
      </c>
      <c r="AD92" s="6">
        <f t="shared" ref="AD92:AH92" si="267">AD76/AD63</f>
        <v>52.657639613166531</v>
      </c>
      <c r="AE92" s="6">
        <f t="shared" si="267"/>
        <v>70.588923580187483</v>
      </c>
      <c r="AF92" s="6">
        <f t="shared" ref="AF92:AG92" si="268">AF76/AF63</f>
        <v>94.324727903198109</v>
      </c>
      <c r="AG92" s="6">
        <f t="shared" si="268"/>
        <v>117.34829741386065</v>
      </c>
      <c r="AH92" s="6">
        <f t="shared" si="267"/>
        <v>126.03017783775387</v>
      </c>
    </row>
    <row r="93" spans="1:50">
      <c r="A93" t="s">
        <v>16</v>
      </c>
      <c r="B93" s="3" t="s">
        <v>396</v>
      </c>
      <c r="C93" s="3" t="s">
        <v>745</v>
      </c>
      <c r="D93" t="s">
        <v>138</v>
      </c>
      <c r="E93" t="s">
        <v>396</v>
      </c>
      <c r="F93" s="264">
        <f>'BY-DMD'!I88</f>
        <v>3.6514783707452798</v>
      </c>
      <c r="G93" s="17">
        <f>G46/F46*F93</f>
        <v>4.2205549275424925</v>
      </c>
      <c r="H93" s="17">
        <f t="shared" ref="H93:K93" si="269">H46/G46*G93</f>
        <v>4.0637011052209129</v>
      </c>
      <c r="I93" s="17">
        <f t="shared" si="269"/>
        <v>4.1047000698166478</v>
      </c>
      <c r="J93" s="17">
        <f t="shared" si="269"/>
        <v>4.6130737776682551</v>
      </c>
      <c r="K93" s="17">
        <f t="shared" si="269"/>
        <v>5.5810097654444339</v>
      </c>
      <c r="L93" s="17">
        <f>L46/I46*I93</f>
        <v>7.0861589375753464</v>
      </c>
      <c r="M93" s="17">
        <f>M46/J46*J93</f>
        <v>8.3737326141361095</v>
      </c>
      <c r="N93" s="17">
        <f>N46/K46*K93</f>
        <v>8.5458091266635687</v>
      </c>
      <c r="P93" s="6">
        <f t="shared" ref="P93:X100" si="270">P77/P64</f>
        <v>3.6514783707452798</v>
      </c>
      <c r="Q93" s="6">
        <f t="shared" si="270"/>
        <v>4.2205549275424925</v>
      </c>
      <c r="R93" s="6">
        <f t="shared" si="270"/>
        <v>4.0630318004760566</v>
      </c>
      <c r="S93" s="6">
        <f t="shared" si="270"/>
        <v>4.1041007970418732</v>
      </c>
      <c r="T93" s="6">
        <f t="shared" si="270"/>
        <v>4.6123095846749163</v>
      </c>
      <c r="U93" s="6">
        <f t="shared" si="270"/>
        <v>6.1829199180317289</v>
      </c>
      <c r="V93" s="6">
        <f t="shared" ref="V93:W93" si="271">V77/V64</f>
        <v>8.2621057357750622</v>
      </c>
      <c r="W93" s="6">
        <f t="shared" si="271"/>
        <v>10.278597386501513</v>
      </c>
      <c r="X93" s="6">
        <f t="shared" si="270"/>
        <v>11.039047733047463</v>
      </c>
      <c r="Z93" s="6">
        <f t="shared" ref="Z93:Z101" si="272">P93</f>
        <v>3.6514783707452798</v>
      </c>
      <c r="AA93" s="6">
        <f t="shared" ref="AA93:AA101" si="273">Q93</f>
        <v>4.2205549275424925</v>
      </c>
      <c r="AB93" s="6">
        <f t="shared" ref="AB93:AB101" si="274">R93</f>
        <v>4.0630318004760566</v>
      </c>
      <c r="AC93" s="6">
        <f t="shared" ref="AC93:AC101" si="275">S93</f>
        <v>4.1041007970418732</v>
      </c>
      <c r="AD93" s="6">
        <f t="shared" ref="AD93:AH93" si="276">AD77/AD64</f>
        <v>4.38169410544117</v>
      </c>
      <c r="AE93" s="6">
        <f t="shared" si="276"/>
        <v>5.5800852260236349</v>
      </c>
      <c r="AF93" s="6">
        <f t="shared" ref="AF93:AG93" si="277">AF77/AF64</f>
        <v>7.0837229052101423</v>
      </c>
      <c r="AG93" s="6">
        <f t="shared" si="277"/>
        <v>8.371981812539147</v>
      </c>
      <c r="AH93" s="6">
        <f t="shared" si="276"/>
        <v>8.5418047039847131</v>
      </c>
    </row>
    <row r="94" spans="1:50">
      <c r="A94" t="s">
        <v>16</v>
      </c>
      <c r="B94" s="3" t="s">
        <v>397</v>
      </c>
      <c r="C94" s="3" t="s">
        <v>746</v>
      </c>
      <c r="D94" t="s">
        <v>138</v>
      </c>
      <c r="E94" t="s">
        <v>397</v>
      </c>
      <c r="F94" s="264">
        <f>'BY-DMD'!I89</f>
        <v>1.0030192144974699</v>
      </c>
      <c r="G94" s="17">
        <f>G51/F51*F94</f>
        <v>1.0155043204894318</v>
      </c>
      <c r="H94" s="17">
        <f t="shared" ref="H94:K94" si="278">H51/G51*G94</f>
        <v>0.97776384868242405</v>
      </c>
      <c r="I94" s="17">
        <f t="shared" si="278"/>
        <v>0.98762857651971914</v>
      </c>
      <c r="J94" s="17">
        <f t="shared" si="278"/>
        <v>1.0544505665163815</v>
      </c>
      <c r="K94" s="17">
        <f t="shared" si="278"/>
        <v>1.3428422628781138</v>
      </c>
      <c r="L94" s="17">
        <f t="shared" ref="L94:N101" si="279">L51/I51*I94</f>
        <v>1.7049949924411019</v>
      </c>
      <c r="M94" s="17">
        <f t="shared" si="279"/>
        <v>2.0147970573220011</v>
      </c>
      <c r="N94" s="17">
        <f t="shared" si="279"/>
        <v>2.056200248354072</v>
      </c>
      <c r="P94" s="6">
        <f t="shared" si="270"/>
        <v>1.0030192144974699</v>
      </c>
      <c r="Q94" s="6">
        <f t="shared" si="270"/>
        <v>1.0155043204894318</v>
      </c>
      <c r="R94" s="6">
        <f t="shared" si="270"/>
        <v>0.97776384868242405</v>
      </c>
      <c r="S94" s="6">
        <f t="shared" si="270"/>
        <v>0.98762857651971914</v>
      </c>
      <c r="T94" s="6">
        <f t="shared" si="270"/>
        <v>1.1099479647540857</v>
      </c>
      <c r="U94" s="6">
        <f t="shared" si="270"/>
        <v>1.4879138646848906</v>
      </c>
      <c r="V94" s="6">
        <f t="shared" ref="V94:W94" si="280">V78/V65</f>
        <v>1.9886222393248021</v>
      </c>
      <c r="W94" s="6">
        <f t="shared" si="280"/>
        <v>2.4736422308877328</v>
      </c>
      <c r="X94" s="6">
        <f t="shared" si="270"/>
        <v>2.6573415662027373</v>
      </c>
      <c r="Z94" s="6">
        <f t="shared" si="272"/>
        <v>1.0030192144974699</v>
      </c>
      <c r="AA94" s="6">
        <f t="shared" si="273"/>
        <v>1.0155043204894318</v>
      </c>
      <c r="AB94" s="6">
        <f t="shared" si="274"/>
        <v>0.97776384868242405</v>
      </c>
      <c r="AC94" s="6">
        <f t="shared" si="275"/>
        <v>0.98762857651971914</v>
      </c>
      <c r="AD94" s="6">
        <f t="shared" ref="AD94:AH94" si="281">AD78/AD65</f>
        <v>1.0544495595095447</v>
      </c>
      <c r="AE94" s="6">
        <f t="shared" si="281"/>
        <v>1.3428409804554167</v>
      </c>
      <c r="AF94" s="6">
        <f t="shared" ref="AF94:AG94" si="282">AF78/AF65</f>
        <v>1.7046577351061691</v>
      </c>
      <c r="AG94" s="6">
        <f t="shared" si="282"/>
        <v>2.014707627237478</v>
      </c>
      <c r="AH94" s="6">
        <f t="shared" si="281"/>
        <v>2.0555753073562357</v>
      </c>
    </row>
    <row r="95" spans="1:50">
      <c r="A95" t="s">
        <v>16</v>
      </c>
      <c r="B95" s="3" t="s">
        <v>398</v>
      </c>
      <c r="C95" s="3" t="s">
        <v>747</v>
      </c>
      <c r="D95" t="s">
        <v>138</v>
      </c>
      <c r="E95" t="s">
        <v>398</v>
      </c>
      <c r="F95" s="264">
        <f>'BY-DMD'!I90</f>
        <v>3.29935437842208</v>
      </c>
      <c r="G95" s="17">
        <f t="shared" ref="G95:K101" si="283">G52/F52*F95</f>
        <v>3.3404231720446251</v>
      </c>
      <c r="H95" s="17">
        <f t="shared" si="283"/>
        <v>3.2162787996334212</v>
      </c>
      <c r="I95" s="17">
        <f t="shared" si="283"/>
        <v>3.2487280613339848</v>
      </c>
      <c r="J95" s="17">
        <f t="shared" si="283"/>
        <v>3.4685338457932815</v>
      </c>
      <c r="K95" s="17">
        <f t="shared" si="283"/>
        <v>4.4171760974458323</v>
      </c>
      <c r="L95" s="17">
        <f t="shared" si="279"/>
        <v>5.6084495812143391</v>
      </c>
      <c r="M95" s="17">
        <f t="shared" si="279"/>
        <v>6.6275195894804417</v>
      </c>
      <c r="N95" s="17">
        <f t="shared" si="279"/>
        <v>6.7637121944055139</v>
      </c>
      <c r="P95" s="6">
        <f t="shared" si="270"/>
        <v>3.2993543784220805</v>
      </c>
      <c r="Q95" s="6">
        <f t="shared" si="270"/>
        <v>3.3404231720446256</v>
      </c>
      <c r="R95" s="6">
        <f t="shared" si="270"/>
        <v>3.2162787996334217</v>
      </c>
      <c r="S95" s="6">
        <f t="shared" si="270"/>
        <v>3.2487280613339857</v>
      </c>
      <c r="T95" s="6">
        <f t="shared" si="270"/>
        <v>3.6510882587297715</v>
      </c>
      <c r="U95" s="6">
        <f t="shared" si="270"/>
        <v>4.8943779473084028</v>
      </c>
      <c r="V95" s="6">
        <f t="shared" ref="V95:W95" si="284">V79/V66</f>
        <v>6.5414195436236673</v>
      </c>
      <c r="W95" s="6">
        <f t="shared" si="284"/>
        <v>8.13685541330155</v>
      </c>
      <c r="X95" s="6">
        <f t="shared" si="270"/>
        <v>8.7411202145381299</v>
      </c>
      <c r="Z95" s="6">
        <f t="shared" si="272"/>
        <v>3.2993543784220805</v>
      </c>
      <c r="AA95" s="6">
        <f t="shared" si="273"/>
        <v>3.3404231720446256</v>
      </c>
      <c r="AB95" s="6">
        <f t="shared" si="274"/>
        <v>3.2162787996334217</v>
      </c>
      <c r="AC95" s="6">
        <f t="shared" si="275"/>
        <v>3.2487280613339857</v>
      </c>
      <c r="AD95" s="6">
        <f t="shared" ref="AD95:AH95" si="285">AD79/AD66</f>
        <v>3.4685305333219278</v>
      </c>
      <c r="AE95" s="6">
        <f t="shared" si="285"/>
        <v>4.417171879015239</v>
      </c>
      <c r="AF95" s="6">
        <f t="shared" ref="AF95:AG95" si="286">AF79/AF66</f>
        <v>5.607340199211901</v>
      </c>
      <c r="AG95" s="6">
        <f t="shared" si="286"/>
        <v>6.6272254161120081</v>
      </c>
      <c r="AH95" s="6">
        <f t="shared" si="285"/>
        <v>6.7616564991728962</v>
      </c>
    </row>
    <row r="96" spans="1:50">
      <c r="A96" t="s">
        <v>16</v>
      </c>
      <c r="B96" s="3" t="s">
        <v>399</v>
      </c>
      <c r="C96" s="3" t="s">
        <v>748</v>
      </c>
      <c r="D96" t="s">
        <v>138</v>
      </c>
      <c r="E96" t="s">
        <v>399</v>
      </c>
      <c r="F96" s="264">
        <f>'BY-DMD'!I91</f>
        <v>0.59840698910616097</v>
      </c>
      <c r="G96" s="17">
        <f t="shared" si="283"/>
        <v>0.60585567461221534</v>
      </c>
      <c r="H96" s="17">
        <f t="shared" si="283"/>
        <v>0.58333949369060389</v>
      </c>
      <c r="I96" s="17">
        <f t="shared" si="283"/>
        <v>0.5892248466311506</v>
      </c>
      <c r="J96" s="17">
        <f t="shared" si="283"/>
        <v>0.62909122731660805</v>
      </c>
      <c r="K96" s="17">
        <f t="shared" si="283"/>
        <v>0.8011473596505293</v>
      </c>
      <c r="L96" s="17">
        <f t="shared" si="279"/>
        <v>1.017209745457309</v>
      </c>
      <c r="M96" s="17">
        <f t="shared" si="279"/>
        <v>1.2020394258708922</v>
      </c>
      <c r="N96" s="17">
        <f t="shared" si="279"/>
        <v>1.2267408059908154</v>
      </c>
      <c r="P96" s="6">
        <f t="shared" si="270"/>
        <v>0.59840698910616097</v>
      </c>
      <c r="Q96" s="6">
        <f t="shared" si="270"/>
        <v>0.60585567461221534</v>
      </c>
      <c r="R96" s="6">
        <f t="shared" si="270"/>
        <v>0.58333949369060389</v>
      </c>
      <c r="S96" s="6">
        <f t="shared" si="270"/>
        <v>0.58922484663115071</v>
      </c>
      <c r="T96" s="6">
        <f t="shared" si="270"/>
        <v>0.66220129191221921</v>
      </c>
      <c r="U96" s="6">
        <f t="shared" si="270"/>
        <v>0.88769790542994953</v>
      </c>
      <c r="V96" s="6">
        <f t="shared" ref="V96:W96" si="287">V80/V67</f>
        <v>1.1864233800347681</v>
      </c>
      <c r="W96" s="6">
        <f t="shared" si="287"/>
        <v>1.4757890757386976</v>
      </c>
      <c r="X96" s="6">
        <f t="shared" si="270"/>
        <v>1.5853851478356116</v>
      </c>
      <c r="Z96" s="6">
        <f t="shared" si="272"/>
        <v>0.59840698910616097</v>
      </c>
      <c r="AA96" s="6">
        <f t="shared" si="273"/>
        <v>0.60585567461221534</v>
      </c>
      <c r="AB96" s="6">
        <f t="shared" si="274"/>
        <v>0.58333949369060389</v>
      </c>
      <c r="AC96" s="6">
        <f t="shared" si="275"/>
        <v>0.58922484663115071</v>
      </c>
      <c r="AD96" s="6">
        <f t="shared" ref="AD96:AH96" si="288">AD80/AD67</f>
        <v>0.62909062653058079</v>
      </c>
      <c r="AE96" s="6">
        <f t="shared" si="288"/>
        <v>0.80114659454982762</v>
      </c>
      <c r="AF96" s="6">
        <f t="shared" ref="AF96:AG96" si="289">AF80/AF67</f>
        <v>1.0170085358060543</v>
      </c>
      <c r="AG96" s="6">
        <f t="shared" si="289"/>
        <v>1.2019860713719541</v>
      </c>
      <c r="AH96" s="6">
        <f t="shared" si="288"/>
        <v>1.2263679626240298</v>
      </c>
    </row>
    <row r="97" spans="1:77">
      <c r="A97" t="s">
        <v>16</v>
      </c>
      <c r="B97" s="3" t="s">
        <v>400</v>
      </c>
      <c r="C97" s="3" t="s">
        <v>749</v>
      </c>
      <c r="D97" t="s">
        <v>138</v>
      </c>
      <c r="E97" t="s">
        <v>400</v>
      </c>
      <c r="F97" s="264">
        <f>'BY-DMD'!I92</f>
        <v>0.29798809605332599</v>
      </c>
      <c r="G97" s="17">
        <f t="shared" si="283"/>
        <v>0.30169731010405854</v>
      </c>
      <c r="H97" s="17">
        <f t="shared" si="283"/>
        <v>0.29048495128243912</v>
      </c>
      <c r="I97" s="17">
        <f t="shared" si="283"/>
        <v>0.29341567426743453</v>
      </c>
      <c r="J97" s="17">
        <f t="shared" si="283"/>
        <v>0.3132678937322193</v>
      </c>
      <c r="K97" s="17">
        <f t="shared" si="283"/>
        <v>0.39894650414595656</v>
      </c>
      <c r="L97" s="17">
        <f t="shared" si="279"/>
        <v>0.50653886210198873</v>
      </c>
      <c r="M97" s="17">
        <f t="shared" si="279"/>
        <v>0.59857830275567625</v>
      </c>
      <c r="N97" s="17">
        <f t="shared" si="279"/>
        <v>0.61087882291306961</v>
      </c>
      <c r="P97" s="6">
        <f t="shared" si="270"/>
        <v>0.29798809605332599</v>
      </c>
      <c r="Q97" s="6">
        <f t="shared" si="270"/>
        <v>0.30169731010405854</v>
      </c>
      <c r="R97" s="6">
        <f t="shared" si="270"/>
        <v>0.29048495128243912</v>
      </c>
      <c r="S97" s="6">
        <f t="shared" si="270"/>
        <v>0.29341567426743459</v>
      </c>
      <c r="T97" s="6">
        <f t="shared" si="270"/>
        <v>0.32975567761286251</v>
      </c>
      <c r="U97" s="6">
        <f t="shared" si="270"/>
        <v>0.4420459879733592</v>
      </c>
      <c r="V97" s="6">
        <f t="shared" ref="V97:W97" si="290">V81/V68</f>
        <v>0.59080199691149016</v>
      </c>
      <c r="W97" s="6">
        <f t="shared" si="290"/>
        <v>0.73489712664043561</v>
      </c>
      <c r="X97" s="6">
        <f t="shared" si="270"/>
        <v>0.78947256685690803</v>
      </c>
      <c r="Z97" s="6">
        <f t="shared" si="272"/>
        <v>0.29798809605332599</v>
      </c>
      <c r="AA97" s="6">
        <f t="shared" si="273"/>
        <v>0.30169731010405854</v>
      </c>
      <c r="AB97" s="6">
        <f t="shared" si="274"/>
        <v>0.29048495128243912</v>
      </c>
      <c r="AC97" s="6">
        <f t="shared" si="275"/>
        <v>0.29341567426743459</v>
      </c>
      <c r="AD97" s="6">
        <f t="shared" ref="AD97:AH97" si="291">AD81/AD68</f>
        <v>0.31326759455943615</v>
      </c>
      <c r="AE97" s="6">
        <f t="shared" si="291"/>
        <v>0.39894612314956862</v>
      </c>
      <c r="AF97" s="6">
        <f t="shared" ref="AF97:AG97" si="292">AF81/AF68</f>
        <v>0.50643866594456333</v>
      </c>
      <c r="AG97" s="6">
        <f t="shared" si="292"/>
        <v>0.5985517338722175</v>
      </c>
      <c r="AH97" s="6">
        <f t="shared" si="291"/>
        <v>0.61069315849567951</v>
      </c>
    </row>
    <row r="98" spans="1:77">
      <c r="A98" t="s">
        <v>16</v>
      </c>
      <c r="B98" s="3" t="s">
        <v>401</v>
      </c>
      <c r="C98" s="3" t="s">
        <v>750</v>
      </c>
      <c r="D98" t="s">
        <v>138</v>
      </c>
      <c r="E98" t="s">
        <v>401</v>
      </c>
      <c r="F98" s="264">
        <f>'BY-DMD'!I93</f>
        <v>6.6621877646371201</v>
      </c>
      <c r="G98" s="17">
        <f>G55/F55*F98</f>
        <v>6.9016562286169734</v>
      </c>
      <c r="H98" s="17">
        <f t="shared" si="283"/>
        <v>6.7116128591697501</v>
      </c>
      <c r="I98" s="17">
        <f>I55/H55*H98</f>
        <v>6.8240748222214735</v>
      </c>
      <c r="J98" s="17">
        <f t="shared" si="283"/>
        <v>7.3724228242959535</v>
      </c>
      <c r="K98" s="17">
        <f t="shared" si="283"/>
        <v>8.9193378992908219</v>
      </c>
      <c r="L98" s="17">
        <f t="shared" si="279"/>
        <v>11.324804762688142</v>
      </c>
      <c r="M98" s="17">
        <f t="shared" si="279"/>
        <v>13.382551509985426</v>
      </c>
      <c r="N98" s="17">
        <f t="shared" si="279"/>
        <v>13.657557042007054</v>
      </c>
      <c r="P98" s="6">
        <f t="shared" si="270"/>
        <v>6.6621877646371193</v>
      </c>
      <c r="Q98" s="6">
        <f t="shared" si="270"/>
        <v>6.7451155083708443</v>
      </c>
      <c r="R98" s="6">
        <f t="shared" si="270"/>
        <v>6.7559139341477668</v>
      </c>
      <c r="S98" s="6">
        <f t="shared" si="270"/>
        <v>6.5599610888732851</v>
      </c>
      <c r="T98" s="6">
        <f t="shared" si="270"/>
        <v>7.3724228242959535</v>
      </c>
      <c r="U98" s="6">
        <f t="shared" si="270"/>
        <v>9.882922880100633</v>
      </c>
      <c r="V98" s="6">
        <f t="shared" ref="V98:W98" si="293">V82/V69</f>
        <v>13.208694868276011</v>
      </c>
      <c r="W98" s="6">
        <f t="shared" si="293"/>
        <v>16.430262517918592</v>
      </c>
      <c r="X98" s="6">
        <f t="shared" si="270"/>
        <v>17.650418070692083</v>
      </c>
      <c r="Z98" s="6">
        <f t="shared" si="272"/>
        <v>6.6621877646371193</v>
      </c>
      <c r="AA98" s="6">
        <f t="shared" si="273"/>
        <v>6.7451155083708443</v>
      </c>
      <c r="AB98" s="6">
        <f t="shared" si="274"/>
        <v>6.7559139341477668</v>
      </c>
      <c r="AC98" s="6">
        <f t="shared" si="275"/>
        <v>6.5599610888732851</v>
      </c>
      <c r="AD98" s="6">
        <f t="shared" ref="AD98:AH98" si="294">AD82/AD69</f>
        <v>7.0037949944070688</v>
      </c>
      <c r="AE98" s="6">
        <f t="shared" si="294"/>
        <v>8.9193293812677563</v>
      </c>
      <c r="AF98" s="6">
        <f t="shared" ref="AF98:AG98" si="295">AF82/AF69</f>
        <v>11.322564654365346</v>
      </c>
      <c r="AG98" s="6">
        <f t="shared" si="295"/>
        <v>13.381957503403807</v>
      </c>
      <c r="AH98" s="6">
        <f t="shared" si="294"/>
        <v>13.653406100320966</v>
      </c>
    </row>
    <row r="99" spans="1:77">
      <c r="A99" t="s">
        <v>16</v>
      </c>
      <c r="B99" s="3" t="s">
        <v>402</v>
      </c>
      <c r="C99" s="3" t="s">
        <v>751</v>
      </c>
      <c r="D99" t="s">
        <v>138</v>
      </c>
      <c r="E99" t="s">
        <v>402</v>
      </c>
      <c r="F99" s="264">
        <f>'BY-DMD'!I94</f>
        <v>2.2261566306639899</v>
      </c>
      <c r="G99" s="17">
        <f t="shared" si="283"/>
        <v>2.2538667693002417</v>
      </c>
      <c r="H99" s="17">
        <f t="shared" si="283"/>
        <v>2.1701034671189854</v>
      </c>
      <c r="I99" s="17">
        <f t="shared" si="283"/>
        <v>2.1919977927383534</v>
      </c>
      <c r="J99" s="17">
        <f t="shared" si="283"/>
        <v>2.3403062338480902</v>
      </c>
      <c r="K99" s="17">
        <f t="shared" si="283"/>
        <v>2.9803788045473083</v>
      </c>
      <c r="L99" s="17">
        <f t="shared" si="279"/>
        <v>3.7841607147808358</v>
      </c>
      <c r="M99" s="17">
        <f t="shared" si="279"/>
        <v>4.4717526481751984</v>
      </c>
      <c r="N99" s="17">
        <f t="shared" si="279"/>
        <v>4.5636451931179902</v>
      </c>
      <c r="P99" s="6">
        <f t="shared" si="270"/>
        <v>2.2261566306639899</v>
      </c>
      <c r="Q99" s="6">
        <f t="shared" si="270"/>
        <v>2.2538667693002417</v>
      </c>
      <c r="R99" s="6">
        <f t="shared" si="270"/>
        <v>2.1701034671189854</v>
      </c>
      <c r="S99" s="6">
        <f t="shared" si="270"/>
        <v>2.1919977927383534</v>
      </c>
      <c r="T99" s="6">
        <f t="shared" si="270"/>
        <v>2.4634802461558847</v>
      </c>
      <c r="U99" s="6">
        <f t="shared" si="270"/>
        <v>3.3023587862020047</v>
      </c>
      <c r="V99" s="6">
        <f t="shared" ref="V99:W99" si="296">V83/V70</f>
        <v>4.4136588013189524</v>
      </c>
      <c r="W99" s="6">
        <f t="shared" si="296"/>
        <v>5.4901391464770217</v>
      </c>
      <c r="X99" s="6">
        <f t="shared" si="270"/>
        <v>5.8978516682804569</v>
      </c>
      <c r="Z99" s="6">
        <f t="shared" si="272"/>
        <v>2.2261566306639899</v>
      </c>
      <c r="AA99" s="6">
        <f t="shared" si="273"/>
        <v>2.2538667693002417</v>
      </c>
      <c r="AB99" s="6">
        <f t="shared" si="274"/>
        <v>2.1701034671189854</v>
      </c>
      <c r="AC99" s="6">
        <f t="shared" si="275"/>
        <v>2.1919977927383534</v>
      </c>
      <c r="AD99" s="6">
        <f t="shared" ref="AD99:AH99" si="297">AD83/AD70</f>
        <v>2.3403039988411085</v>
      </c>
      <c r="AE99" s="6">
        <f t="shared" si="297"/>
        <v>2.9803759582670479</v>
      </c>
      <c r="AF99" s="6">
        <f t="shared" ref="AF99:AG99" si="298">AF83/AF70</f>
        <v>3.7834121870940796</v>
      </c>
      <c r="AG99" s="6">
        <f t="shared" si="298"/>
        <v>4.4715541620716772</v>
      </c>
      <c r="AH99" s="6">
        <f t="shared" si="297"/>
        <v>4.5622581643093705</v>
      </c>
    </row>
    <row r="100" spans="1:77">
      <c r="A100" t="s">
        <v>16</v>
      </c>
      <c r="B100" s="3" t="s">
        <v>403</v>
      </c>
      <c r="C100" s="3" t="s">
        <v>752</v>
      </c>
      <c r="D100" t="s">
        <v>138</v>
      </c>
      <c r="E100" t="s">
        <v>403</v>
      </c>
      <c r="F100" s="264">
        <f>'BY-DMD'!I95</f>
        <v>0.122213678849837</v>
      </c>
      <c r="G100" s="17">
        <f t="shared" si="283"/>
        <v>0.12373493658054988</v>
      </c>
      <c r="H100" s="17">
        <f t="shared" si="283"/>
        <v>0.11913641859166579</v>
      </c>
      <c r="I100" s="17">
        <f t="shared" si="283"/>
        <v>0.12033839424918329</v>
      </c>
      <c r="J100" s="17">
        <f t="shared" si="283"/>
        <v>0.12848037309417548</v>
      </c>
      <c r="K100" s="17">
        <f t="shared" si="283"/>
        <v>0.1636196901208897</v>
      </c>
      <c r="L100" s="17">
        <f t="shared" si="279"/>
        <v>0.20774647926478257</v>
      </c>
      <c r="M100" s="17">
        <f t="shared" si="279"/>
        <v>0.24549455977721832</v>
      </c>
      <c r="N100" s="17">
        <f t="shared" si="279"/>
        <v>0.25053936472114663</v>
      </c>
      <c r="P100" s="6">
        <f t="shared" si="270"/>
        <v>0.122213678849837</v>
      </c>
      <c r="Q100" s="6">
        <f t="shared" si="270"/>
        <v>0.12373493658054986</v>
      </c>
      <c r="R100" s="6">
        <f t="shared" si="270"/>
        <v>0.11913641859166579</v>
      </c>
      <c r="S100" s="6">
        <f t="shared" si="270"/>
        <v>0.12033839424918327</v>
      </c>
      <c r="T100" s="6">
        <f t="shared" si="270"/>
        <v>0.13524249799386895</v>
      </c>
      <c r="U100" s="6">
        <f t="shared" si="270"/>
        <v>0.18129605553561187</v>
      </c>
      <c r="V100" s="6">
        <f t="shared" ref="V100:W100" si="299">V84/V71</f>
        <v>0.24230526813212724</v>
      </c>
      <c r="W100" s="6">
        <f t="shared" si="299"/>
        <v>0.30140291713810469</v>
      </c>
      <c r="X100" s="6">
        <f t="shared" si="270"/>
        <v>0.32378590965372128</v>
      </c>
      <c r="Z100" s="6">
        <f t="shared" si="272"/>
        <v>0.122213678849837</v>
      </c>
      <c r="AA100" s="6">
        <f t="shared" si="273"/>
        <v>0.12373493658054986</v>
      </c>
      <c r="AB100" s="6">
        <f t="shared" si="274"/>
        <v>0.11913641859166579</v>
      </c>
      <c r="AC100" s="6">
        <f t="shared" si="275"/>
        <v>0.12033839424918327</v>
      </c>
      <c r="AD100" s="6">
        <f t="shared" ref="AD100:AH100" si="300">AD84/AD71</f>
        <v>0.1284802503946216</v>
      </c>
      <c r="AE100" s="6">
        <f t="shared" si="300"/>
        <v>0.1636195338630699</v>
      </c>
      <c r="AF100" s="6">
        <f t="shared" ref="AF100:AG100" si="301">AF84/AF71</f>
        <v>0.2077053858749198</v>
      </c>
      <c r="AG100" s="6">
        <f t="shared" si="301"/>
        <v>0.24548366309700378</v>
      </c>
      <c r="AH100" s="6">
        <f t="shared" si="300"/>
        <v>0.25046321828516049</v>
      </c>
    </row>
    <row r="101" spans="1:77">
      <c r="A101" t="s">
        <v>16</v>
      </c>
      <c r="B101" s="3" t="s">
        <v>404</v>
      </c>
      <c r="C101" s="3" t="s">
        <v>753</v>
      </c>
      <c r="D101" t="s">
        <v>138</v>
      </c>
      <c r="E101" t="s">
        <v>404</v>
      </c>
      <c r="F101" s="264">
        <f>'BY-DMD'!I96</f>
        <v>2.9412068148240201E-2</v>
      </c>
      <c r="G101" s="17">
        <f t="shared" si="283"/>
        <v>2.9778175579649242E-2</v>
      </c>
      <c r="H101" s="17">
        <f t="shared" si="283"/>
        <v>2.8671491567328906E-2</v>
      </c>
      <c r="I101" s="17">
        <f t="shared" si="283"/>
        <v>2.8960760250541256E-2</v>
      </c>
      <c r="J101" s="17">
        <f t="shared" si="283"/>
        <v>3.0920217153435729E-2</v>
      </c>
      <c r="K101" s="17">
        <f t="shared" si="283"/>
        <v>3.9376880898434469E-2</v>
      </c>
      <c r="L101" s="17">
        <f t="shared" si="279"/>
        <v>4.9996478816420976E-2</v>
      </c>
      <c r="M101" s="17">
        <f t="shared" si="279"/>
        <v>5.9080970232976524E-2</v>
      </c>
      <c r="N101" s="17">
        <f t="shared" si="279"/>
        <v>6.0295058117424465E-2</v>
      </c>
      <c r="P101" s="6">
        <f>P85/P72</f>
        <v>2.9412068148240201E-2</v>
      </c>
      <c r="Q101" s="6">
        <f t="shared" ref="Q101:X101" si="302">Q85/Q72</f>
        <v>2.9778175579649246E-2</v>
      </c>
      <c r="R101" s="6">
        <f t="shared" si="302"/>
        <v>2.867149156732891E-2</v>
      </c>
      <c r="S101" s="6">
        <f t="shared" si="302"/>
        <v>2.896076025054126E-2</v>
      </c>
      <c r="T101" s="6">
        <f t="shared" si="302"/>
        <v>3.2547597003616563E-2</v>
      </c>
      <c r="U101" s="6">
        <f t="shared" si="302"/>
        <v>4.363089296225426E-2</v>
      </c>
      <c r="V101" s="6">
        <f t="shared" ref="V101:W101" si="303">V85/V72</f>
        <v>5.8313432064640326E-2</v>
      </c>
      <c r="W101" s="6">
        <f t="shared" si="303"/>
        <v>7.2535932330754421E-2</v>
      </c>
      <c r="X101" s="6">
        <f t="shared" si="302"/>
        <v>7.7922646055653827E-2</v>
      </c>
      <c r="Z101" s="6">
        <f t="shared" si="272"/>
        <v>2.9412068148240201E-2</v>
      </c>
      <c r="AA101" s="6">
        <f t="shared" si="273"/>
        <v>2.9778175579649246E-2</v>
      </c>
      <c r="AB101" s="6">
        <f t="shared" si="274"/>
        <v>2.867149156732891E-2</v>
      </c>
      <c r="AC101" s="6">
        <f t="shared" si="275"/>
        <v>2.896076025054126E-2</v>
      </c>
      <c r="AD101" s="6">
        <f t="shared" ref="AD101:AH101" si="304">AD85/AD72</f>
        <v>3.09201876244364E-2</v>
      </c>
      <c r="AE101" s="6">
        <f t="shared" si="304"/>
        <v>3.9376843293268758E-2</v>
      </c>
      <c r="AF101" s="6">
        <f t="shared" ref="AF101:AG101" si="305">AF85/AF72</f>
        <v>4.9986589239456591E-2</v>
      </c>
      <c r="AG101" s="6">
        <f t="shared" si="305"/>
        <v>5.9078347826842639E-2</v>
      </c>
      <c r="AH101" s="6">
        <f t="shared" si="304"/>
        <v>6.0276732638758344E-2</v>
      </c>
    </row>
    <row r="102" spans="1:77">
      <c r="A102" t="s">
        <v>16</v>
      </c>
      <c r="B102" s="3" t="s">
        <v>366</v>
      </c>
      <c r="C102" s="3" t="s">
        <v>754</v>
      </c>
      <c r="D102" t="s">
        <v>137</v>
      </c>
      <c r="E102" t="s">
        <v>366</v>
      </c>
      <c r="F102" s="264">
        <f>'BY-DMD'!I97</f>
        <v>22</v>
      </c>
      <c r="G102" s="17">
        <f t="shared" ref="G102:N102" si="306">G59</f>
        <v>19.218049126986699</v>
      </c>
      <c r="H102" s="6">
        <f t="shared" si="306"/>
        <v>17.206637381742077</v>
      </c>
      <c r="I102" s="6">
        <f t="shared" si="306"/>
        <v>16.506720027229584</v>
      </c>
      <c r="J102" s="6">
        <f t="shared" si="306"/>
        <v>28.203596973820897</v>
      </c>
      <c r="K102" s="6">
        <f t="shared" si="306"/>
        <v>61.531049731434578</v>
      </c>
      <c r="L102" s="6">
        <f t="shared" ref="L102:M102" si="307">L59</f>
        <v>100.11110066222132</v>
      </c>
      <c r="M102" s="6">
        <f t="shared" si="307"/>
        <v>145.64946887396664</v>
      </c>
      <c r="N102" s="6">
        <f t="shared" si="306"/>
        <v>178.02134980359452</v>
      </c>
      <c r="P102" s="6"/>
    </row>
    <row r="103" spans="1:77">
      <c r="A103" t="s">
        <v>16</v>
      </c>
      <c r="B103" s="3" t="s">
        <v>368</v>
      </c>
      <c r="C103" s="3" t="s">
        <v>755</v>
      </c>
      <c r="D103" t="s">
        <v>137</v>
      </c>
      <c r="E103" t="s">
        <v>368</v>
      </c>
      <c r="F103" s="264">
        <f>'BY-DMD'!I98</f>
        <v>27.142505514316699</v>
      </c>
      <c r="G103" s="17">
        <f t="shared" ref="G103:N103" si="308">G47</f>
        <v>26.703251105538467</v>
      </c>
      <c r="H103" s="6">
        <f t="shared" si="308"/>
        <v>25.710844401627732</v>
      </c>
      <c r="I103" s="6">
        <f t="shared" si="308"/>
        <v>25.970242908568729</v>
      </c>
      <c r="J103" s="6">
        <f t="shared" si="308"/>
        <v>29.186699277286003</v>
      </c>
      <c r="K103" s="6">
        <f t="shared" si="308"/>
        <v>40.020338105433609</v>
      </c>
      <c r="L103" s="6">
        <f t="shared" ref="L103:M103" si="309">L47</f>
        <v>54.041367566389084</v>
      </c>
      <c r="M103" s="6">
        <f t="shared" si="309"/>
        <v>67.875998645520468</v>
      </c>
      <c r="N103" s="6">
        <f t="shared" si="308"/>
        <v>73.584170791170493</v>
      </c>
      <c r="P103" s="6"/>
    </row>
    <row r="104" spans="1:77">
      <c r="A104" t="s">
        <v>16</v>
      </c>
      <c r="B104" s="3" t="s">
        <v>367</v>
      </c>
      <c r="C104" s="3" t="s">
        <v>756</v>
      </c>
      <c r="D104" t="s">
        <v>137</v>
      </c>
      <c r="E104" t="s">
        <v>367</v>
      </c>
      <c r="F104" s="264">
        <f>'BY-DMD'!I99</f>
        <v>88.672727178245694</v>
      </c>
      <c r="G104" s="17">
        <f>F104*(1+(F25+G25)/2*((G8/F8)^(1/(G$4-F$4))-1))^(G$4-F$4)</f>
        <v>87.357882681535756</v>
      </c>
      <c r="H104" s="17">
        <f t="shared" ref="H104:N104" si="310">G104*(1+(G25+H25)/2*((H8/G8)^(1/(H$4-G$4))-1))^(H$4-G$4)</f>
        <v>84.559607459462228</v>
      </c>
      <c r="I104" s="17">
        <f t="shared" si="310"/>
        <v>86.9457419513449</v>
      </c>
      <c r="J104" s="17">
        <f t="shared" si="310"/>
        <v>91.870107239718436</v>
      </c>
      <c r="K104" s="17">
        <f t="shared" si="310"/>
        <v>112.58429272743091</v>
      </c>
      <c r="L104" s="17">
        <f t="shared" si="310"/>
        <v>148.41084013675146</v>
      </c>
      <c r="M104" s="17">
        <f t="shared" si="310"/>
        <v>183.24497714602427</v>
      </c>
      <c r="N104" s="17">
        <f t="shared" si="310"/>
        <v>196.27767980712804</v>
      </c>
      <c r="P104" s="6"/>
    </row>
    <row r="105" spans="1:77">
      <c r="B105" s="3"/>
      <c r="C105" s="3"/>
      <c r="F105" s="6"/>
      <c r="H105" s="6"/>
      <c r="J105" s="6"/>
      <c r="K105" s="6"/>
      <c r="L105" s="6"/>
      <c r="M105" s="6"/>
      <c r="N105" s="6"/>
      <c r="P105" s="6"/>
    </row>
    <row r="106" spans="1:77" ht="23.25">
      <c r="A106" s="97" t="s">
        <v>16</v>
      </c>
      <c r="B106" s="101" t="s">
        <v>18</v>
      </c>
      <c r="C106" s="101" t="s">
        <v>19</v>
      </c>
      <c r="D106" s="101" t="s">
        <v>20</v>
      </c>
      <c r="E106" s="101" t="s">
        <v>21</v>
      </c>
      <c r="F106" s="101" t="s">
        <v>22</v>
      </c>
      <c r="G106" s="101" t="s">
        <v>23</v>
      </c>
      <c r="H106" s="101" t="s">
        <v>24</v>
      </c>
      <c r="I106" s="101" t="s">
        <v>594</v>
      </c>
      <c r="J106" s="101" t="s">
        <v>623</v>
      </c>
      <c r="K106" s="101" t="s">
        <v>624</v>
      </c>
      <c r="L106" s="102" t="s">
        <v>25</v>
      </c>
      <c r="M106">
        <v>2017</v>
      </c>
      <c r="N106">
        <f t="shared" ref="N106:AX106" si="311">1+M106</f>
        <v>2018</v>
      </c>
      <c r="O106">
        <f t="shared" si="311"/>
        <v>2019</v>
      </c>
      <c r="P106">
        <f t="shared" si="311"/>
        <v>2020</v>
      </c>
      <c r="Q106">
        <f>1+N106</f>
        <v>2019</v>
      </c>
      <c r="R106">
        <f>1+O106</f>
        <v>2020</v>
      </c>
      <c r="S106">
        <f>1+P106</f>
        <v>2021</v>
      </c>
      <c r="T106">
        <f t="shared" si="311"/>
        <v>2022</v>
      </c>
      <c r="U106">
        <f t="shared" si="311"/>
        <v>2023</v>
      </c>
      <c r="V106">
        <f t="shared" si="311"/>
        <v>2024</v>
      </c>
      <c r="W106">
        <f t="shared" si="311"/>
        <v>2025</v>
      </c>
      <c r="X106">
        <f t="shared" si="311"/>
        <v>2026</v>
      </c>
      <c r="Y106">
        <f t="shared" si="311"/>
        <v>2027</v>
      </c>
      <c r="Z106">
        <f t="shared" si="311"/>
        <v>2028</v>
      </c>
      <c r="AA106">
        <f>1+X106</f>
        <v>2027</v>
      </c>
      <c r="AB106">
        <f>1+Y106</f>
        <v>2028</v>
      </c>
      <c r="AC106">
        <f>1+Z106</f>
        <v>2029</v>
      </c>
      <c r="AD106">
        <f t="shared" si="311"/>
        <v>2030</v>
      </c>
      <c r="AE106">
        <f t="shared" si="311"/>
        <v>2031</v>
      </c>
      <c r="AF106">
        <f t="shared" si="311"/>
        <v>2032</v>
      </c>
      <c r="AG106">
        <f t="shared" si="311"/>
        <v>2033</v>
      </c>
      <c r="AH106">
        <f t="shared" si="311"/>
        <v>2034</v>
      </c>
      <c r="AI106">
        <f t="shared" si="311"/>
        <v>2035</v>
      </c>
      <c r="AJ106">
        <f t="shared" si="311"/>
        <v>2036</v>
      </c>
      <c r="AK106">
        <f t="shared" si="311"/>
        <v>2037</v>
      </c>
      <c r="AL106">
        <f t="shared" si="311"/>
        <v>2038</v>
      </c>
      <c r="AM106">
        <f t="shared" si="311"/>
        <v>2039</v>
      </c>
      <c r="AN106">
        <f t="shared" si="311"/>
        <v>2040</v>
      </c>
      <c r="AO106">
        <f t="shared" si="311"/>
        <v>2041</v>
      </c>
      <c r="AP106">
        <f t="shared" si="311"/>
        <v>2042</v>
      </c>
      <c r="AQ106">
        <f t="shared" si="311"/>
        <v>2043</v>
      </c>
      <c r="AR106">
        <f t="shared" si="311"/>
        <v>2044</v>
      </c>
      <c r="AS106">
        <f t="shared" si="311"/>
        <v>2045</v>
      </c>
      <c r="AT106">
        <f t="shared" si="311"/>
        <v>2046</v>
      </c>
      <c r="AU106">
        <f t="shared" si="311"/>
        <v>2047</v>
      </c>
      <c r="AV106">
        <f t="shared" si="311"/>
        <v>2048</v>
      </c>
      <c r="AW106">
        <f t="shared" si="311"/>
        <v>2049</v>
      </c>
      <c r="AX106">
        <f t="shared" si="311"/>
        <v>2050</v>
      </c>
      <c r="AY106">
        <v>2060</v>
      </c>
      <c r="AZ106">
        <v>2070</v>
      </c>
    </row>
    <row r="107" spans="1:77" s="98" customFormat="1">
      <c r="A107" s="97" t="s">
        <v>16</v>
      </c>
      <c r="B107" s="98" t="s">
        <v>376</v>
      </c>
      <c r="C107" s="98">
        <v>1</v>
      </c>
      <c r="D107" s="98">
        <v>2017</v>
      </c>
      <c r="E107" s="98">
        <v>2019</v>
      </c>
      <c r="F107" s="98">
        <v>2020</v>
      </c>
      <c r="G107" s="98">
        <v>2021</v>
      </c>
      <c r="H107" s="98">
        <v>2030</v>
      </c>
      <c r="I107" s="98">
        <v>2040</v>
      </c>
      <c r="J107" s="103">
        <v>2050</v>
      </c>
      <c r="K107" s="98">
        <v>2060</v>
      </c>
      <c r="L107" s="103">
        <v>2070</v>
      </c>
      <c r="M107" s="98">
        <f t="shared" ref="M107:V108" si="312">MATCH(M$106,$D$107:$L$107,$C107)</f>
        <v>1</v>
      </c>
      <c r="N107" s="98">
        <f t="shared" si="312"/>
        <v>1</v>
      </c>
      <c r="O107" s="98">
        <f t="shared" si="312"/>
        <v>2</v>
      </c>
      <c r="P107" s="98">
        <f t="shared" si="312"/>
        <v>3</v>
      </c>
      <c r="Q107" s="98">
        <f t="shared" si="312"/>
        <v>2</v>
      </c>
      <c r="R107" s="98">
        <f t="shared" si="312"/>
        <v>3</v>
      </c>
      <c r="S107" s="98">
        <f t="shared" si="312"/>
        <v>4</v>
      </c>
      <c r="T107" s="98">
        <f t="shared" si="312"/>
        <v>4</v>
      </c>
      <c r="U107" s="98">
        <f t="shared" si="312"/>
        <v>4</v>
      </c>
      <c r="V107" s="98">
        <f t="shared" si="312"/>
        <v>4</v>
      </c>
      <c r="W107" s="98">
        <f t="shared" ref="W107:AF108" si="313">MATCH(W$106,$D$107:$L$107,$C107)</f>
        <v>4</v>
      </c>
      <c r="X107" s="98">
        <f t="shared" si="313"/>
        <v>4</v>
      </c>
      <c r="Y107" s="98">
        <f t="shared" si="313"/>
        <v>4</v>
      </c>
      <c r="Z107" s="98">
        <f t="shared" si="313"/>
        <v>4</v>
      </c>
      <c r="AA107" s="98">
        <f t="shared" si="313"/>
        <v>4</v>
      </c>
      <c r="AB107" s="98">
        <f t="shared" si="313"/>
        <v>4</v>
      </c>
      <c r="AC107" s="98">
        <f t="shared" si="313"/>
        <v>4</v>
      </c>
      <c r="AD107" s="98">
        <f t="shared" si="313"/>
        <v>5</v>
      </c>
      <c r="AE107" s="98">
        <f t="shared" si="313"/>
        <v>5</v>
      </c>
      <c r="AF107" s="98">
        <f t="shared" si="313"/>
        <v>5</v>
      </c>
      <c r="AG107" s="98">
        <f t="shared" ref="AG107:AP108" si="314">MATCH(AG$106,$D$107:$L$107,$C107)</f>
        <v>5</v>
      </c>
      <c r="AH107" s="98">
        <f t="shared" si="314"/>
        <v>5</v>
      </c>
      <c r="AI107" s="98">
        <f t="shared" si="314"/>
        <v>5</v>
      </c>
      <c r="AJ107" s="98">
        <f t="shared" si="314"/>
        <v>5</v>
      </c>
      <c r="AK107" s="98">
        <f t="shared" si="314"/>
        <v>5</v>
      </c>
      <c r="AL107" s="98">
        <f t="shared" si="314"/>
        <v>5</v>
      </c>
      <c r="AM107" s="98">
        <f t="shared" si="314"/>
        <v>5</v>
      </c>
      <c r="AN107" s="98">
        <f t="shared" si="314"/>
        <v>6</v>
      </c>
      <c r="AO107" s="98">
        <f t="shared" si="314"/>
        <v>6</v>
      </c>
      <c r="AP107" s="98">
        <f t="shared" si="314"/>
        <v>6</v>
      </c>
      <c r="AQ107" s="98">
        <f t="shared" ref="AQ107:AZ108" si="315">MATCH(AQ$106,$D$107:$L$107,$C107)</f>
        <v>6</v>
      </c>
      <c r="AR107" s="98">
        <f t="shared" si="315"/>
        <v>6</v>
      </c>
      <c r="AS107" s="98">
        <f t="shared" si="315"/>
        <v>6</v>
      </c>
      <c r="AT107" s="98">
        <f t="shared" si="315"/>
        <v>6</v>
      </c>
      <c r="AU107" s="98">
        <f t="shared" si="315"/>
        <v>6</v>
      </c>
      <c r="AV107" s="98">
        <f t="shared" si="315"/>
        <v>6</v>
      </c>
      <c r="AW107" s="98">
        <f t="shared" si="315"/>
        <v>6</v>
      </c>
      <c r="AX107" s="98">
        <f t="shared" si="315"/>
        <v>7</v>
      </c>
      <c r="AY107" s="98">
        <f t="shared" si="315"/>
        <v>8</v>
      </c>
      <c r="AZ107" s="98">
        <f t="shared" si="315"/>
        <v>9</v>
      </c>
      <c r="BA107"/>
      <c r="BB107"/>
      <c r="BC107"/>
      <c r="BD107"/>
      <c r="BE107"/>
      <c r="BF107"/>
      <c r="BG107"/>
      <c r="BH107"/>
      <c r="BI107"/>
      <c r="BJ107"/>
      <c r="BK107"/>
      <c r="BL107"/>
      <c r="BM107"/>
      <c r="BN107"/>
      <c r="BO107"/>
      <c r="BP107"/>
      <c r="BQ107"/>
      <c r="BR107"/>
      <c r="BS107"/>
      <c r="BT107"/>
      <c r="BU107"/>
      <c r="BV107"/>
      <c r="BW107"/>
      <c r="BX107"/>
      <c r="BY107"/>
    </row>
    <row r="108" spans="1:77">
      <c r="A108" s="31" t="s">
        <v>16</v>
      </c>
      <c r="B108" t="s">
        <v>377</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1">
        <f t="shared" si="312"/>
        <v>1</v>
      </c>
      <c r="N108" s="31" t="e">
        <f t="shared" si="312"/>
        <v>#N/A</v>
      </c>
      <c r="O108" s="31">
        <f t="shared" si="312"/>
        <v>2</v>
      </c>
      <c r="P108" s="31">
        <f t="shared" si="312"/>
        <v>3</v>
      </c>
      <c r="Q108" s="31">
        <f t="shared" si="312"/>
        <v>2</v>
      </c>
      <c r="R108" s="31">
        <f t="shared" si="312"/>
        <v>3</v>
      </c>
      <c r="S108" s="31">
        <f t="shared" si="312"/>
        <v>4</v>
      </c>
      <c r="T108" s="31" t="e">
        <f t="shared" si="312"/>
        <v>#N/A</v>
      </c>
      <c r="U108" s="31" t="e">
        <f t="shared" si="312"/>
        <v>#N/A</v>
      </c>
      <c r="V108" s="31" t="e">
        <f t="shared" si="312"/>
        <v>#N/A</v>
      </c>
      <c r="W108" s="31" t="e">
        <f t="shared" si="313"/>
        <v>#N/A</v>
      </c>
      <c r="X108" s="31" t="e">
        <f t="shared" si="313"/>
        <v>#N/A</v>
      </c>
      <c r="Y108" s="31" t="e">
        <f t="shared" si="313"/>
        <v>#N/A</v>
      </c>
      <c r="Z108" s="31" t="e">
        <f t="shared" si="313"/>
        <v>#N/A</v>
      </c>
      <c r="AA108" s="31" t="e">
        <f t="shared" si="313"/>
        <v>#N/A</v>
      </c>
      <c r="AB108" s="31" t="e">
        <f t="shared" si="313"/>
        <v>#N/A</v>
      </c>
      <c r="AC108" s="31" t="e">
        <f t="shared" si="313"/>
        <v>#N/A</v>
      </c>
      <c r="AD108" s="31">
        <f t="shared" si="313"/>
        <v>5</v>
      </c>
      <c r="AE108" s="31" t="e">
        <f t="shared" si="313"/>
        <v>#N/A</v>
      </c>
      <c r="AF108" s="31" t="e">
        <f t="shared" si="313"/>
        <v>#N/A</v>
      </c>
      <c r="AG108" s="31" t="e">
        <f t="shared" si="314"/>
        <v>#N/A</v>
      </c>
      <c r="AH108" s="31" t="e">
        <f t="shared" si="314"/>
        <v>#N/A</v>
      </c>
      <c r="AI108" s="31" t="e">
        <f t="shared" si="314"/>
        <v>#N/A</v>
      </c>
      <c r="AJ108" s="31" t="e">
        <f t="shared" si="314"/>
        <v>#N/A</v>
      </c>
      <c r="AK108" s="31" t="e">
        <f t="shared" si="314"/>
        <v>#N/A</v>
      </c>
      <c r="AL108" s="31" t="e">
        <f t="shared" si="314"/>
        <v>#N/A</v>
      </c>
      <c r="AM108" s="31" t="e">
        <f t="shared" si="314"/>
        <v>#N/A</v>
      </c>
      <c r="AN108" s="31">
        <f t="shared" si="314"/>
        <v>6</v>
      </c>
      <c r="AO108" s="31" t="e">
        <f t="shared" si="314"/>
        <v>#N/A</v>
      </c>
      <c r="AP108" s="31" t="e">
        <f t="shared" si="314"/>
        <v>#N/A</v>
      </c>
      <c r="AQ108" s="31" t="e">
        <f t="shared" si="315"/>
        <v>#N/A</v>
      </c>
      <c r="AR108" s="31" t="e">
        <f t="shared" si="315"/>
        <v>#N/A</v>
      </c>
      <c r="AS108" s="31" t="e">
        <f t="shared" si="315"/>
        <v>#N/A</v>
      </c>
      <c r="AT108" s="31" t="e">
        <f t="shared" si="315"/>
        <v>#N/A</v>
      </c>
      <c r="AU108" s="31" t="e">
        <f t="shared" si="315"/>
        <v>#N/A</v>
      </c>
      <c r="AV108" s="31" t="e">
        <f t="shared" si="315"/>
        <v>#N/A</v>
      </c>
      <c r="AW108" s="31" t="e">
        <f t="shared" si="315"/>
        <v>#N/A</v>
      </c>
      <c r="AX108" s="31">
        <f t="shared" si="315"/>
        <v>7</v>
      </c>
      <c r="AY108" s="31">
        <f t="shared" si="315"/>
        <v>8</v>
      </c>
      <c r="AZ108" s="31">
        <f t="shared" si="315"/>
        <v>9</v>
      </c>
    </row>
    <row r="109" spans="1:77">
      <c r="A109" s="31" t="s">
        <v>16</v>
      </c>
      <c r="B109" t="s">
        <v>375</v>
      </c>
      <c r="C109">
        <v>-1</v>
      </c>
      <c r="D109">
        <v>0</v>
      </c>
      <c r="E109">
        <v>1</v>
      </c>
      <c r="F109">
        <v>2</v>
      </c>
      <c r="G109">
        <v>3</v>
      </c>
      <c r="H109">
        <v>4</v>
      </c>
      <c r="I109">
        <v>5</v>
      </c>
      <c r="J109">
        <v>6</v>
      </c>
      <c r="K109">
        <v>7</v>
      </c>
      <c r="L109">
        <v>8</v>
      </c>
      <c r="M109" s="31">
        <f t="shared" ref="M109:AZ109" si="316">MATCH(M$106,$D$108:$L$108,$C109)</f>
        <v>9</v>
      </c>
      <c r="N109" s="31">
        <f t="shared" si="316"/>
        <v>8</v>
      </c>
      <c r="O109" s="31">
        <f t="shared" si="316"/>
        <v>8</v>
      </c>
      <c r="P109" s="31">
        <f t="shared" si="316"/>
        <v>7</v>
      </c>
      <c r="Q109" s="31">
        <f t="shared" si="316"/>
        <v>8</v>
      </c>
      <c r="R109" s="31">
        <f t="shared" si="316"/>
        <v>7</v>
      </c>
      <c r="S109" s="31">
        <f t="shared" si="316"/>
        <v>6</v>
      </c>
      <c r="T109" s="31">
        <f t="shared" si="316"/>
        <v>5</v>
      </c>
      <c r="U109" s="31">
        <f t="shared" si="316"/>
        <v>5</v>
      </c>
      <c r="V109" s="31">
        <f t="shared" si="316"/>
        <v>5</v>
      </c>
      <c r="W109" s="31">
        <f t="shared" si="316"/>
        <v>5</v>
      </c>
      <c r="X109" s="31">
        <f t="shared" si="316"/>
        <v>5</v>
      </c>
      <c r="Y109" s="31">
        <f t="shared" si="316"/>
        <v>5</v>
      </c>
      <c r="Z109" s="31">
        <f t="shared" si="316"/>
        <v>5</v>
      </c>
      <c r="AA109" s="31">
        <f t="shared" si="316"/>
        <v>5</v>
      </c>
      <c r="AB109" s="31">
        <f t="shared" si="316"/>
        <v>5</v>
      </c>
      <c r="AC109" s="31">
        <f t="shared" si="316"/>
        <v>5</v>
      </c>
      <c r="AD109" s="31">
        <f t="shared" si="316"/>
        <v>5</v>
      </c>
      <c r="AE109" s="31">
        <f t="shared" si="316"/>
        <v>4</v>
      </c>
      <c r="AF109" s="31">
        <f t="shared" si="316"/>
        <v>4</v>
      </c>
      <c r="AG109" s="31">
        <f t="shared" si="316"/>
        <v>4</v>
      </c>
      <c r="AH109" s="31">
        <f t="shared" si="316"/>
        <v>4</v>
      </c>
      <c r="AI109" s="31">
        <f t="shared" si="316"/>
        <v>4</v>
      </c>
      <c r="AJ109" s="31">
        <f t="shared" si="316"/>
        <v>4</v>
      </c>
      <c r="AK109" s="31">
        <f t="shared" si="316"/>
        <v>4</v>
      </c>
      <c r="AL109" s="31">
        <f t="shared" si="316"/>
        <v>4</v>
      </c>
      <c r="AM109" s="31">
        <f t="shared" si="316"/>
        <v>4</v>
      </c>
      <c r="AN109" s="31">
        <f t="shared" si="316"/>
        <v>4</v>
      </c>
      <c r="AO109" s="31">
        <f t="shared" si="316"/>
        <v>3</v>
      </c>
      <c r="AP109" s="31">
        <f t="shared" si="316"/>
        <v>3</v>
      </c>
      <c r="AQ109" s="31">
        <f t="shared" si="316"/>
        <v>3</v>
      </c>
      <c r="AR109" s="31">
        <f t="shared" si="316"/>
        <v>3</v>
      </c>
      <c r="AS109" s="31">
        <f t="shared" si="316"/>
        <v>3</v>
      </c>
      <c r="AT109" s="31">
        <f t="shared" si="316"/>
        <v>3</v>
      </c>
      <c r="AU109" s="31">
        <f t="shared" si="316"/>
        <v>3</v>
      </c>
      <c r="AV109" s="31">
        <f t="shared" si="316"/>
        <v>3</v>
      </c>
      <c r="AW109" s="31">
        <f t="shared" si="316"/>
        <v>3</v>
      </c>
      <c r="AX109" s="31">
        <f t="shared" si="316"/>
        <v>3</v>
      </c>
      <c r="AY109" s="31">
        <f t="shared" si="316"/>
        <v>2</v>
      </c>
      <c r="AZ109" s="31">
        <f t="shared" si="316"/>
        <v>1</v>
      </c>
    </row>
    <row r="110" spans="1:77" s="100" customFormat="1">
      <c r="A110" s="99" t="s">
        <v>16</v>
      </c>
      <c r="B110" s="100" t="s">
        <v>378</v>
      </c>
      <c r="L110" s="105"/>
      <c r="M110" s="66">
        <f t="shared" ref="M110:AZ110" si="317">IF(ISNA(M107),-1,IF(ISNA(M109),99,IF(ISNA(M108),M107,0)))</f>
        <v>0</v>
      </c>
      <c r="N110" s="66">
        <f t="shared" si="317"/>
        <v>1</v>
      </c>
      <c r="O110" s="66">
        <f t="shared" si="317"/>
        <v>0</v>
      </c>
      <c r="P110" s="66">
        <f t="shared" si="317"/>
        <v>0</v>
      </c>
      <c r="Q110" s="66">
        <f t="shared" ref="Q110:R110" si="318">IF(ISNA(Q107),-1,IF(ISNA(Q109),99,IF(ISNA(Q108),Q107,0)))</f>
        <v>0</v>
      </c>
      <c r="R110" s="66">
        <f t="shared" si="318"/>
        <v>0</v>
      </c>
      <c r="S110" s="66">
        <f t="shared" si="317"/>
        <v>0</v>
      </c>
      <c r="T110" s="66">
        <f t="shared" si="317"/>
        <v>4</v>
      </c>
      <c r="U110" s="66">
        <f t="shared" si="317"/>
        <v>4</v>
      </c>
      <c r="V110" s="66">
        <f t="shared" si="317"/>
        <v>4</v>
      </c>
      <c r="W110" s="66">
        <f t="shared" si="317"/>
        <v>4</v>
      </c>
      <c r="X110" s="66">
        <f t="shared" si="317"/>
        <v>4</v>
      </c>
      <c r="Y110" s="66">
        <f t="shared" si="317"/>
        <v>4</v>
      </c>
      <c r="Z110" s="66">
        <f t="shared" si="317"/>
        <v>4</v>
      </c>
      <c r="AA110" s="66">
        <f t="shared" ref="AA110:AB110" si="319">IF(ISNA(AA107),-1,IF(ISNA(AA109),99,IF(ISNA(AA108),AA107,0)))</f>
        <v>4</v>
      </c>
      <c r="AB110" s="66">
        <f t="shared" si="319"/>
        <v>4</v>
      </c>
      <c r="AC110" s="66">
        <f t="shared" si="317"/>
        <v>4</v>
      </c>
      <c r="AD110" s="66">
        <f t="shared" si="317"/>
        <v>0</v>
      </c>
      <c r="AE110" s="66">
        <f t="shared" si="317"/>
        <v>5</v>
      </c>
      <c r="AF110" s="66">
        <f t="shared" si="317"/>
        <v>5</v>
      </c>
      <c r="AG110" s="66">
        <f t="shared" si="317"/>
        <v>5</v>
      </c>
      <c r="AH110" s="66">
        <f t="shared" si="317"/>
        <v>5</v>
      </c>
      <c r="AI110" s="66">
        <f t="shared" si="317"/>
        <v>5</v>
      </c>
      <c r="AJ110" s="66">
        <f t="shared" si="317"/>
        <v>5</v>
      </c>
      <c r="AK110" s="66">
        <f t="shared" si="317"/>
        <v>5</v>
      </c>
      <c r="AL110" s="66">
        <f t="shared" si="317"/>
        <v>5</v>
      </c>
      <c r="AM110" s="66">
        <f t="shared" si="317"/>
        <v>5</v>
      </c>
      <c r="AN110" s="66">
        <f t="shared" si="317"/>
        <v>0</v>
      </c>
      <c r="AO110" s="66">
        <f t="shared" si="317"/>
        <v>6</v>
      </c>
      <c r="AP110" s="66">
        <f t="shared" si="317"/>
        <v>6</v>
      </c>
      <c r="AQ110" s="66">
        <f t="shared" si="317"/>
        <v>6</v>
      </c>
      <c r="AR110" s="66">
        <f t="shared" si="317"/>
        <v>6</v>
      </c>
      <c r="AS110" s="66">
        <f t="shared" si="317"/>
        <v>6</v>
      </c>
      <c r="AT110" s="66">
        <f t="shared" si="317"/>
        <v>6</v>
      </c>
      <c r="AU110" s="66">
        <f t="shared" si="317"/>
        <v>6</v>
      </c>
      <c r="AV110" s="66">
        <f t="shared" si="317"/>
        <v>6</v>
      </c>
      <c r="AW110" s="66">
        <f t="shared" si="317"/>
        <v>6</v>
      </c>
      <c r="AX110" s="66">
        <f t="shared" si="317"/>
        <v>0</v>
      </c>
      <c r="AY110" s="66">
        <f t="shared" si="317"/>
        <v>0</v>
      </c>
      <c r="AZ110" s="66">
        <f t="shared" si="317"/>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5" t="str">
        <f t="shared" ref="B111:B123" si="320">IF(A111="*","","COM_PROJ")</f>
        <v/>
      </c>
      <c r="C111" s="16" t="str">
        <f t="shared" ref="C111:C123" si="321">IF($A111="*","","-")</f>
        <v/>
      </c>
      <c r="D111" s="43" t="s">
        <v>139</v>
      </c>
      <c r="E111" s="16" t="str">
        <f t="shared" ref="E111:K123" si="322">IF($A111="*","","-")</f>
        <v/>
      </c>
      <c r="H111" s="16" t="str">
        <f t="shared" si="322"/>
        <v/>
      </c>
      <c r="J111" s="16" t="str">
        <f t="shared" si="322"/>
        <v/>
      </c>
      <c r="K111" s="16" t="str">
        <f t="shared" si="322"/>
        <v/>
      </c>
      <c r="L111" s="106" t="str">
        <f t="shared" ref="L111:L123" si="323">IF(A111="*","",0)</f>
        <v/>
      </c>
      <c r="M111" s="3" cm="1">
        <f t="array" ref="M111">IF(M$110=-1,N111,IF(M$110=99,#REF!,IF(M$110=0,INDEX($F92:$N92,0,M$108),(INDEX($F92:$N92,0,M$110+1)-INDEX($F92:$N92,0,M$110))/(INDEX($F$4:$N$4,0,M$110+1)-INDEX($F$4:$N$4,0,M$110))+#REF!)))</f>
        <v>47.584820585749902</v>
      </c>
      <c r="N111" s="3" cm="1">
        <f t="array" ref="N111">IF(N$110=-1,O111,IF(N$110=99,M111,IF(N$110=0,INDEX($F92:$N92,0,N$108),(INDEX($F92:$N92,0,N$110+1)-INDEX($F92:$N92,0,N$110))/(INDEX($F$4:$N$4,0,N$110+1)-INDEX($F$4:$N$4,0,N$110))+M111)))</f>
        <v>47.880977189748378</v>
      </c>
      <c r="O111" s="3" cm="1">
        <f t="array" ref="O111">IF(O$110=-1,P111,IF(O$110=99,N111,IF(O$110=0,INDEX($F92:$N92,0,O$108),(INDEX($F92:$N92,0,O$110+1)-INDEX($F92:$N92,0,O$110))/(INDEX($F$4:$N$4,0,O$110+1)-INDEX($F$4:$N$4,0,O$110))+N111)))</f>
        <v>48.177133793746854</v>
      </c>
      <c r="P111" s="3" cm="1">
        <f t="array" ref="P111">IF(P$110=-1,S111,IF(P$110=99,O111,IF(P$110=0,INDEX($F92:$N92,0,P$108),(INDEX($F92:$N92,0,P$110+1)-INDEX($F92:$N92,0,P$110))/(INDEX($F$4:$N$4,0,P$110+1)-INDEX($F$4:$N$4,0,P$110))+O111)))</f>
        <v>46.38666602024783</v>
      </c>
      <c r="Q111" s="3" cm="1">
        <f t="array" ref="Q111">IF(Q$110=-1,R111,IF(Q$110=99,N111,IF(Q$110=0,INDEX($F92:$N92,0,Q$108),(INDEX($F92:$N92,0,Q$110+1)-INDEX($F92:$N92,0,Q$110))/(INDEX($F$4:$N$4,0,Q$110+1)-INDEX($F$4:$N$4,0,Q$110))+N111)))</f>
        <v>48.177133793746854</v>
      </c>
      <c r="R111" s="3" cm="1">
        <f t="array" ref="R111">IF(R$110=-1,S111,IF(R$110=99,O111,IF(R$110=0,INDEX($F92:$N92,0,R$108),(INDEX($F92:$N92,0,R$110+1)-INDEX($F92:$N92,0,R$110))/(INDEX($F$4:$N$4,0,R$110+1)-INDEX($F$4:$N$4,0,R$110))+O111)))</f>
        <v>46.38666602024783</v>
      </c>
      <c r="S111" s="3" cm="1">
        <f t="array" ref="S111">IF(S$110=-1,T111,IF(S$110=99,P111,IF(S$110=0,INDEX($F92:$N92,0,S$108),(INDEX($F92:$N92,0,S$110+1)-INDEX($F92:$N92,0,S$110))/(INDEX($F$4:$N$4,0,S$110+1)-INDEX($F$4:$N$4,0,S$110))+P111)))</f>
        <v>46.854664337209421</v>
      </c>
      <c r="T111" s="3" cm="1">
        <f t="array" ref="T111">IF(T$110=-1,U111,IF(T$110=99,S111,IF(T$110=0,INDEX($F92:$N92,0,T$108),(INDEX($F92:$N92,0,T$110+1)-INDEX($F92:$N92,0,T$110))/(INDEX($F$4:$N$4,0,T$110+1)-INDEX($F$4:$N$4,0,T$110))+S111)))</f>
        <v>47.499444955473628</v>
      </c>
      <c r="U111" s="3" cm="1">
        <f t="array" ref="U111">IF(U$110=-1,V111,IF(U$110=99,T111,IF(U$110=0,INDEX($F92:$N92,0,U$108),(INDEX($F92:$N92,0,U$110+1)-INDEX($F92:$N92,0,U$110))/(INDEX($F$4:$N$4,0,U$110+1)-INDEX($F$4:$N$4,0,U$110))+T111)))</f>
        <v>48.144225573737835</v>
      </c>
      <c r="V111" s="3" cm="1">
        <f t="array" ref="V111">IF(V$110=-1,W111,IF(V$110=99,U111,IF(V$110=0,INDEX($F92:$N92,0,V$108),(INDEX($F92:$N92,0,V$110+1)-INDEX($F92:$N92,0,V$110))/(INDEX($F$4:$N$4,0,V$110+1)-INDEX($F$4:$N$4,0,V$110))+U111)))</f>
        <v>48.789006192002041</v>
      </c>
      <c r="W111" s="3" cm="1">
        <f t="array" ref="W111">IF(W$110=-1,X111,IF(W$110=99,V111,IF(W$110=0,INDEX($F92:$N92,0,W$108),(INDEX($F92:$N92,0,W$110+1)-INDEX($F92:$N92,0,W$110))/(INDEX($F$4:$N$4,0,W$110+1)-INDEX($F$4:$N$4,0,W$110))+V111)))</f>
        <v>49.433786810266248</v>
      </c>
      <c r="X111" s="3" cm="1">
        <f t="array" ref="X111">IF(X$110=-1,Y111,IF(X$110=99,W111,IF(X$110=0,INDEX($F92:$N92,0,X$108),(INDEX($F92:$N92,0,X$110+1)-INDEX($F92:$N92,0,X$110))/(INDEX($F$4:$N$4,0,X$110+1)-INDEX($F$4:$N$4,0,X$110))+W111)))</f>
        <v>50.078567428530455</v>
      </c>
      <c r="Y111" s="3" cm="1">
        <f t="array" ref="Y111">IF(Y$110=-1,Z111,IF(Y$110=99,X111,IF(Y$110=0,INDEX($F92:$N92,0,Y$108),(INDEX($F92:$N92,0,Y$110+1)-INDEX($F92:$N92,0,Y$110))/(INDEX($F$4:$N$4,0,Y$110+1)-INDEX($F$4:$N$4,0,Y$110))+X111)))</f>
        <v>50.723348046794662</v>
      </c>
      <c r="Z111" s="3" cm="1">
        <f t="array" ref="Z111">IF(Z$110=-1,AC111,IF(Z$110=99,Y111,IF(Z$110=0,INDEX($F92:$N92,0,Z$108),(INDEX($F92:$N92,0,Z$110+1)-INDEX($F92:$N92,0,Z$110))/(INDEX($F$4:$N$4,0,Z$110+1)-INDEX($F$4:$N$4,0,Z$110))+Y111)))</f>
        <v>51.368128665058869</v>
      </c>
      <c r="AA111" s="3" cm="1">
        <f t="array" ref="AA111">IF(AA$110=-1,AB111,IF(AA$110=99,X111,IF(AA$110=0,INDEX($F92:$N92,0,AA$108),(INDEX($F92:$N92,0,AA$110+1)-INDEX($F92:$N92,0,AA$110))/(INDEX($F$4:$N$4,0,AA$110+1)-INDEX($F$4:$N$4,0,AA$110))+X111)))</f>
        <v>50.723348046794662</v>
      </c>
      <c r="AB111" s="3" cm="1">
        <f t="array" ref="AB111">IF(AB$110=-1,AC111,IF(AB$110=99,Y111,IF(AB$110=0,INDEX($F92:$N92,0,AB$108),(INDEX($F92:$N92,0,AB$110+1)-INDEX($F92:$N92,0,AB$110))/(INDEX($F$4:$N$4,0,AB$110+1)-INDEX($F$4:$N$4,0,AB$110))+Y111)))</f>
        <v>51.368128665058869</v>
      </c>
      <c r="AC111" s="3" cm="1">
        <f t="array" ref="AC111">IF(AC$110=-1,AD111,IF(AC$110=99,Z111,IF(AC$110=0,INDEX($F92:$N92,0,AC$108),(INDEX($F92:$N92,0,AC$110+1)-INDEX($F92:$N92,0,AC$110))/(INDEX($F$4:$N$4,0,AC$110+1)-INDEX($F$4:$N$4,0,AC$110))+Z111)))</f>
        <v>52.012909283323076</v>
      </c>
      <c r="AD111" s="3" cm="1">
        <f t="array" ref="AD111">IF(AD$110=-1,AE111,IF(AD$110=99,AC111,IF(AD$110=0,INDEX($F92:$N92,0,AD$108),(INDEX($F92:$N92,0,AD$110+1)-INDEX($F92:$N92,0,AD$110))/(INDEX($F$4:$N$4,0,AD$110+1)-INDEX($F$4:$N$4,0,AD$110))+AC111)))</f>
        <v>52.65768990158729</v>
      </c>
      <c r="AE111" s="3" cm="1">
        <f t="array" ref="AE111">IF(AE$110=-1,AF111,IF(AE$110=99,AD111,IF(AE$110=0,INDEX($F92:$N92,0,AE$108),(INDEX($F92:$N92,0,AE$110+1)-INDEX($F92:$N92,0,AE$110))/(INDEX($F$4:$N$4,0,AE$110+1)-INDEX($F$4:$N$4,0,AE$110))+AD111)))</f>
        <v>54.450820010739768</v>
      </c>
      <c r="AF111" s="3" cm="1">
        <f t="array" ref="AF111">IF(AF$110=-1,AG111,IF(AF$110=99,AE111,IF(AF$110=0,INDEX($F92:$N92,0,AF$108),(INDEX($F92:$N92,0,AF$110+1)-INDEX($F92:$N92,0,AF$110))/(INDEX($F$4:$N$4,0,AF$110+1)-INDEX($F$4:$N$4,0,AF$110))+AE111)))</f>
        <v>56.243950119892247</v>
      </c>
      <c r="AG111" s="3" cm="1">
        <f t="array" ref="AG111">IF(AG$110=-1,AH111,IF(AG$110=99,AF111,IF(AG$110=0,INDEX($F92:$N92,0,AG$108),(INDEX($F92:$N92,0,AG$110+1)-INDEX($F92:$N92,0,AG$110))/(INDEX($F$4:$N$4,0,AG$110+1)-INDEX($F$4:$N$4,0,AG$110))+AF111)))</f>
        <v>58.037080229044726</v>
      </c>
      <c r="AH111" s="3" cm="1">
        <f t="array" ref="AH111">IF(AH$110=-1,AI111,IF(AH$110=99,AG111,IF(AH$110=0,INDEX($F92:$N92,0,AH$108),(INDEX($F92:$N92,0,AH$110+1)-INDEX($F92:$N92,0,AH$110))/(INDEX($F$4:$N$4,0,AH$110+1)-INDEX($F$4:$N$4,0,AH$110))+AG111)))</f>
        <v>59.830210338197205</v>
      </c>
      <c r="AI111" s="3" cm="1">
        <f t="array" ref="AI111">IF(AI$110=-1,AJ111,IF(AI$110=99,AH111,IF(AI$110=0,INDEX($F92:$N92,0,AI$108),(INDEX($F92:$N92,0,AI$110+1)-INDEX($F92:$N92,0,AI$110))/(INDEX($F$4:$N$4,0,AI$110+1)-INDEX($F$4:$N$4,0,AI$110))+AH111)))</f>
        <v>61.623340447349683</v>
      </c>
      <c r="AJ111" s="3" cm="1">
        <f t="array" ref="AJ111">IF(AJ$110=-1,AK111,IF(AJ$110=99,AI111,IF(AJ$110=0,INDEX($F92:$N92,0,AJ$108),(INDEX($F92:$N92,0,AJ$110+1)-INDEX($F92:$N92,0,AJ$110))/(INDEX($F$4:$N$4,0,AJ$110+1)-INDEX($F$4:$N$4,0,AJ$110))+AI111)))</f>
        <v>63.416470556502162</v>
      </c>
      <c r="AK111" s="3" cm="1">
        <f t="array" ref="AK111">IF(AK$110=-1,AL111,IF(AK$110=99,AJ111,IF(AK$110=0,INDEX($F92:$N92,0,AK$108),(INDEX($F92:$N92,0,AK$110+1)-INDEX($F92:$N92,0,AK$110))/(INDEX($F$4:$N$4,0,AK$110+1)-INDEX($F$4:$N$4,0,AK$110))+AJ111)))</f>
        <v>65.209600665654648</v>
      </c>
      <c r="AL111" s="3" cm="1">
        <f t="array" ref="AL111">IF(AL$110=-1,AM111,IF(AL$110=99,AK111,IF(AL$110=0,INDEX($F92:$N92,0,AL$108),(INDEX($F92:$N92,0,AL$110+1)-INDEX($F92:$N92,0,AL$110))/(INDEX($F$4:$N$4,0,AL$110+1)-INDEX($F$4:$N$4,0,AL$110))+AK111)))</f>
        <v>67.002730774807134</v>
      </c>
      <c r="AM111" s="3" cm="1">
        <f t="array" ref="AM111">IF(AM$110=-1,AN111,IF(AM$110=99,AL111,IF(AM$110=0,INDEX($F92:$N92,0,AM$108),(INDEX($F92:$N92,0,AM$110+1)-INDEX($F92:$N92,0,AM$110))/(INDEX($F$4:$N$4,0,AM$110+1)-INDEX($F$4:$N$4,0,AM$110))+AL111)))</f>
        <v>68.79586088395962</v>
      </c>
      <c r="AN111" s="3" cm="1">
        <f t="array" ref="AN111">IF(AN$110=-1,AO111,IF(AN$110=99,AM111,IF(AN$110=0,INDEX($F92:$N92,0,AN$108),(INDEX($F92:$N92,0,AN$110+1)-INDEX($F92:$N92,0,AN$110))/(INDEX($F$4:$N$4,0,AN$110+1)-INDEX($F$4:$N$4,0,AN$110))+AM111)))</f>
        <v>70.588990993112105</v>
      </c>
      <c r="AO111" s="3" cm="1">
        <f t="array" ref="AO111">IF(AO$110=-1,AP111,IF(AO$110=99,AN111,IF(AO$110=0,INDEX($F92:$N92,0,AO$108),(INDEX($F92:$N92,0,AO$110+1)-INDEX($F92:$N92,0,AO$110))/(INDEX($F$4:$N$4,0,AO$110+1)-INDEX($F$4:$N$4,0,AO$110))+AN111)))</f>
        <v>72.964430847966725</v>
      </c>
      <c r="AP111" s="3" cm="1">
        <f t="array" ref="AP111">IF(AP$110=-1,AQ111,IF(AP$110=99,AO111,IF(AP$110=0,INDEX($F92:$N92,0,AP$108),(INDEX($F92:$N92,0,AP$110+1)-INDEX($F92:$N92,0,AP$110))/(INDEX($F$4:$N$4,0,AP$110+1)-INDEX($F$4:$N$4,0,AP$110))+AO111)))</f>
        <v>75.339870702821344</v>
      </c>
      <c r="AQ111" s="3" cm="1">
        <f t="array" ref="AQ111">IF(AQ$110=-1,AR111,IF(AQ$110=99,AP111,IF(AQ$110=0,INDEX($F92:$N92,0,AQ$108),(INDEX($F92:$N92,0,AQ$110+1)-INDEX($F92:$N92,0,AQ$110))/(INDEX($F$4:$N$4,0,AQ$110+1)-INDEX($F$4:$N$4,0,AQ$110))+AP111)))</f>
        <v>77.715310557675963</v>
      </c>
      <c r="AR111" s="3" cm="1">
        <f t="array" ref="AR111">IF(AR$110=-1,AS111,IF(AR$110=99,AQ111,IF(AR$110=0,INDEX($F92:$N92,0,AR$108),(INDEX($F92:$N92,0,AR$110+1)-INDEX($F92:$N92,0,AR$110))/(INDEX($F$4:$N$4,0,AR$110+1)-INDEX($F$4:$N$4,0,AR$110))+AQ111)))</f>
        <v>80.090750412530582</v>
      </c>
      <c r="AS111" s="3" cm="1">
        <f t="array" ref="AS111">IF(AS$110=-1,AT111,IF(AS$110=99,AR111,IF(AS$110=0,INDEX($F92:$N92,0,AS$108),(INDEX($F92:$N92,0,AS$110+1)-INDEX($F92:$N92,0,AS$110))/(INDEX($F$4:$N$4,0,AS$110+1)-INDEX($F$4:$N$4,0,AS$110))+AR111)))</f>
        <v>82.466190267385201</v>
      </c>
      <c r="AT111" s="3" cm="1">
        <f t="array" ref="AT111">IF(AT$110=-1,AU111,IF(AT$110=99,AS111,IF(AT$110=0,INDEX($F92:$N92,0,AT$108),(INDEX($F92:$N92,0,AT$110+1)-INDEX($F92:$N92,0,AT$110))/(INDEX($F$4:$N$4,0,AT$110+1)-INDEX($F$4:$N$4,0,AT$110))+AS111)))</f>
        <v>84.84163012223982</v>
      </c>
      <c r="AU111" s="3" cm="1">
        <f t="array" ref="AU111">IF(AU$110=-1,AV111,IF(AU$110=99,AT111,IF(AU$110=0,INDEX($F92:$N92,0,AU$108),(INDEX($F92:$N92,0,AU$110+1)-INDEX($F92:$N92,0,AU$110))/(INDEX($F$4:$N$4,0,AU$110+1)-INDEX($F$4:$N$4,0,AU$110))+AT111)))</f>
        <v>87.21706997709444</v>
      </c>
      <c r="AV111" s="3" cm="1">
        <f t="array" ref="AV111">IF(AV$110=-1,AW111,IF(AV$110=99,AU111,IF(AV$110=0,INDEX($F92:$N92,0,AV$108),(INDEX($F92:$N92,0,AV$110+1)-INDEX($F92:$N92,0,AV$110))/(INDEX($F$4:$N$4,0,AV$110+1)-INDEX($F$4:$N$4,0,AV$110))+AU111)))</f>
        <v>89.592509831949059</v>
      </c>
      <c r="AW111" s="3" cm="1">
        <f t="array" ref="AW111">IF(AW$110=-1,AX111,IF(AW$110=99,AV111,IF(AW$110=0,INDEX($F92:$N92,0,AW$108),(INDEX($F92:$N92,0,AW$110+1)-INDEX($F92:$N92,0,AW$110))/(INDEX($F$4:$N$4,0,AW$110+1)-INDEX($F$4:$N$4,0,AW$110))+AV111)))</f>
        <v>91.967949686803678</v>
      </c>
      <c r="AX111" s="3" cm="1">
        <f t="array" ref="AX111">IF(AX$110=-1,AY111,IF(AX$110=99,AW111,IF(AX$110=0,INDEX($F92:$N92,0,AX$108),(INDEX($F92:$N92,0,AX$110+1)-INDEX($F92:$N92,0,AX$110))/(INDEX($F$4:$N$4,0,AX$110+1)-INDEX($F$4:$N$4,0,AX$110))+AW111)))</f>
        <v>94.343389541658269</v>
      </c>
      <c r="AY111" s="3" cm="1">
        <f t="array" ref="AY111">IF(AY$110=-1,AZ111,IF(AY$110=99,AX111,IF(AY$110=0,INDEX($F92:$N92,0,AY$108),(INDEX($F92:$N92,0,AY$110+1)-INDEX($F92:$N92,0,AY$110))/(INDEX($F$4:$N$4,0,AY$110+1)-INDEX($F$4:$N$4,0,AY$110))+AX111)))</f>
        <v>117.35350634244885</v>
      </c>
      <c r="AZ111" s="3" cm="1">
        <f t="array" ref="AZ111">IF(AZ$110=-1,BA111,IF(AZ$110=99,AY111,IF(AZ$110=0,INDEX($F92:$N92,0,AZ$108),(INDEX($F92:$N92,0,AZ$110+1)-INDEX($F92:$N92,0,AZ$110))/(INDEX($F$4:$N$4,0,AZ$110+1)-INDEX($F$4:$N$4,0,AZ$110))+AY111)))</f>
        <v>126.06849383854137</v>
      </c>
    </row>
    <row r="112" spans="1:77">
      <c r="A112" s="99" t="s">
        <v>16</v>
      </c>
      <c r="B112" s="15" t="str">
        <f t="shared" si="320"/>
        <v/>
      </c>
      <c r="C112" s="16" t="str">
        <f t="shared" si="321"/>
        <v/>
      </c>
      <c r="D112" s="43" t="s">
        <v>396</v>
      </c>
      <c r="E112" s="16" t="str">
        <f t="shared" si="322"/>
        <v/>
      </c>
      <c r="H112" s="16" t="str">
        <f t="shared" si="322"/>
        <v/>
      </c>
      <c r="J112" s="16" t="str">
        <f t="shared" si="322"/>
        <v/>
      </c>
      <c r="K112" s="16" t="str">
        <f t="shared" si="322"/>
        <v/>
      </c>
      <c r="L112" s="106" t="str">
        <f t="shared" si="323"/>
        <v/>
      </c>
      <c r="M112" s="3" cm="1">
        <f t="array" ref="M112">IF(M$110=-1,N112,IF(M$110=99,#REF!,IF(M$110=0,INDEX($F93:$N93,0,M$108),(INDEX($F93:$N93,0,M$110+1)-INDEX($F93:$N93,0,M$110))/(INDEX($F$4:$N$4,0,M$110+1)-INDEX($F$4:$N$4,0,M$110))+#REF!)))</f>
        <v>3.6514783707452798</v>
      </c>
      <c r="N112" s="3" cm="1">
        <f t="array" ref="N112">IF(N$110=-1,O112,IF(N$110=99,M112,IF(N$110=0,INDEX($F93:$N93,0,N$108),(INDEX($F93:$N93,0,N$110+1)-INDEX($F93:$N93,0,N$110))/(INDEX($F$4:$N$4,0,N$110+1)-INDEX($F$4:$N$4,0,N$110))+M112)))</f>
        <v>3.9360166491438862</v>
      </c>
      <c r="O112" s="3" cm="1">
        <f t="array" ref="O112">IF(O$110=-1,P112,IF(O$110=99,N112,IF(O$110=0,INDEX($F93:$N93,0,O$108),(INDEX($F93:$N93,0,O$110+1)-INDEX($F93:$N93,0,O$110))/(INDEX($F$4:$N$4,0,O$110+1)-INDEX($F$4:$N$4,0,O$110))+N112)))</f>
        <v>4.2205549275424925</v>
      </c>
      <c r="P112" s="3" cm="1">
        <f t="array" ref="P112">IF(P$110=-1,S112,IF(P$110=99,O112,IF(P$110=0,INDEX($F93:$N93,0,P$108),(INDEX($F93:$N93,0,P$110+1)-INDEX($F93:$N93,0,P$110))/(INDEX($F$4:$N$4,0,P$110+1)-INDEX($F$4:$N$4,0,P$110))+O112)))</f>
        <v>4.0637011052209129</v>
      </c>
      <c r="Q112" s="3" cm="1">
        <f t="array" ref="Q112">IF(Q$110=-1,R112,IF(Q$110=99,N112,IF(Q$110=0,INDEX($F93:$N93,0,Q$108),(INDEX($F93:$N93,0,Q$110+1)-INDEX($F93:$N93,0,Q$110))/(INDEX($F$4:$N$4,0,Q$110+1)-INDEX($F$4:$N$4,0,Q$110))+N112)))</f>
        <v>4.2205549275424925</v>
      </c>
      <c r="R112" s="3" cm="1">
        <f t="array" ref="R112">IF(R$110=-1,S112,IF(R$110=99,O112,IF(R$110=0,INDEX($F93:$N93,0,R$108),(INDEX($F93:$N93,0,R$110+1)-INDEX($F93:$N93,0,R$110))/(INDEX($F$4:$N$4,0,R$110+1)-INDEX($F$4:$N$4,0,R$110))+O112)))</f>
        <v>4.0637011052209129</v>
      </c>
      <c r="S112" s="3" cm="1">
        <f t="array" ref="S112">IF(S$110=-1,T112,IF(S$110=99,P112,IF(S$110=0,INDEX($F93:$N93,0,S$108),(INDEX($F93:$N93,0,S$110+1)-INDEX($F93:$N93,0,S$110))/(INDEX($F$4:$N$4,0,S$110+1)-INDEX($F$4:$N$4,0,S$110))+P112)))</f>
        <v>4.1047000698166478</v>
      </c>
      <c r="T112" s="3" cm="1">
        <f t="array" ref="T112">IF(T$110=-1,U112,IF(T$110=99,S112,IF(T$110=0,INDEX($F93:$N93,0,T$108),(INDEX($F93:$N93,0,T$110+1)-INDEX($F93:$N93,0,T$110))/(INDEX($F$4:$N$4,0,T$110+1)-INDEX($F$4:$N$4,0,T$110))+S112)))</f>
        <v>4.1611860373557157</v>
      </c>
      <c r="U112" s="3" cm="1">
        <f t="array" ref="U112">IF(U$110=-1,V112,IF(U$110=99,T112,IF(U$110=0,INDEX($F93:$N93,0,U$108),(INDEX($F93:$N93,0,U$110+1)-INDEX($F93:$N93,0,U$110))/(INDEX($F$4:$N$4,0,U$110+1)-INDEX($F$4:$N$4,0,U$110))+T112)))</f>
        <v>4.2176720048947836</v>
      </c>
      <c r="V112" s="3" cm="1">
        <f t="array" ref="V112">IF(V$110=-1,W112,IF(V$110=99,U112,IF(V$110=0,INDEX($F93:$N93,0,V$108),(INDEX($F93:$N93,0,V$110+1)-INDEX($F93:$N93,0,V$110))/(INDEX($F$4:$N$4,0,V$110+1)-INDEX($F$4:$N$4,0,V$110))+U112)))</f>
        <v>4.2741579724338514</v>
      </c>
      <c r="W112" s="3" cm="1">
        <f t="array" ref="W112">IF(W$110=-1,X112,IF(W$110=99,V112,IF(W$110=0,INDEX($F93:$N93,0,W$108),(INDEX($F93:$N93,0,W$110+1)-INDEX($F93:$N93,0,W$110))/(INDEX($F$4:$N$4,0,W$110+1)-INDEX($F$4:$N$4,0,W$110))+V112)))</f>
        <v>4.3306439399729193</v>
      </c>
      <c r="X112" s="3" cm="1">
        <f t="array" ref="X112">IF(X$110=-1,Y112,IF(X$110=99,W112,IF(X$110=0,INDEX($F93:$N93,0,X$108),(INDEX($F93:$N93,0,X$110+1)-INDEX($F93:$N93,0,X$110))/(INDEX($F$4:$N$4,0,X$110+1)-INDEX($F$4:$N$4,0,X$110))+W112)))</f>
        <v>4.3871299075119872</v>
      </c>
      <c r="Y112" s="3" cm="1">
        <f t="array" ref="Y112">IF(Y$110=-1,Z112,IF(Y$110=99,X112,IF(Y$110=0,INDEX($F93:$N93,0,Y$108),(INDEX($F93:$N93,0,Y$110+1)-INDEX($F93:$N93,0,Y$110))/(INDEX($F$4:$N$4,0,Y$110+1)-INDEX($F$4:$N$4,0,Y$110))+X112)))</f>
        <v>4.443615875051055</v>
      </c>
      <c r="Z112" s="3" cm="1">
        <f t="array" ref="Z112">IF(Z$110=-1,AC112,IF(Z$110=99,Y112,IF(Z$110=0,INDEX($F93:$N93,0,Z$108),(INDEX($F93:$N93,0,Z$110+1)-INDEX($F93:$N93,0,Z$110))/(INDEX($F$4:$N$4,0,Z$110+1)-INDEX($F$4:$N$4,0,Z$110))+Y112)))</f>
        <v>4.5001018425901229</v>
      </c>
      <c r="AA112" s="3" cm="1">
        <f t="array" ref="AA112">IF(AA$110=-1,AB112,IF(AA$110=99,X112,IF(AA$110=0,INDEX($F93:$N93,0,AA$108),(INDEX($F93:$N93,0,AA$110+1)-INDEX($F93:$N93,0,AA$110))/(INDEX($F$4:$N$4,0,AA$110+1)-INDEX($F$4:$N$4,0,AA$110))+X112)))</f>
        <v>4.443615875051055</v>
      </c>
      <c r="AB112" s="3" cm="1">
        <f t="array" ref="AB112">IF(AB$110=-1,AC112,IF(AB$110=99,Y112,IF(AB$110=0,INDEX($F93:$N93,0,AB$108),(INDEX($F93:$N93,0,AB$110+1)-INDEX($F93:$N93,0,AB$110))/(INDEX($F$4:$N$4,0,AB$110+1)-INDEX($F$4:$N$4,0,AB$110))+Y112)))</f>
        <v>4.5001018425901229</v>
      </c>
      <c r="AC112" s="3" cm="1">
        <f t="array" ref="AC112">IF(AC$110=-1,AD112,IF(AC$110=99,Z112,IF(AC$110=0,INDEX($F93:$N93,0,AC$108),(INDEX($F93:$N93,0,AC$110+1)-INDEX($F93:$N93,0,AC$110))/(INDEX($F$4:$N$4,0,AC$110+1)-INDEX($F$4:$N$4,0,AC$110))+Z112)))</f>
        <v>4.5565878101291908</v>
      </c>
      <c r="AD112" s="3" cm="1">
        <f t="array" ref="AD112">IF(AD$110=-1,AE112,IF(AD$110=99,AC112,IF(AD$110=0,INDEX($F93:$N93,0,AD$108),(INDEX($F93:$N93,0,AD$110+1)-INDEX($F93:$N93,0,AD$110))/(INDEX($F$4:$N$4,0,AD$110+1)-INDEX($F$4:$N$4,0,AD$110))+AC112)))</f>
        <v>4.6130737776682551</v>
      </c>
      <c r="AE112" s="3" cm="1">
        <f t="array" ref="AE112">IF(AE$110=-1,AF112,IF(AE$110=99,AD112,IF(AE$110=0,INDEX($F93:$N93,0,AE$108),(INDEX($F93:$N93,0,AE$110+1)-INDEX($F93:$N93,0,AE$110))/(INDEX($F$4:$N$4,0,AE$110+1)-INDEX($F$4:$N$4,0,AE$110))+AD112)))</f>
        <v>4.7098673764458727</v>
      </c>
      <c r="AF112" s="3" cm="1">
        <f t="array" ref="AF112">IF(AF$110=-1,AG112,IF(AF$110=99,AE112,IF(AF$110=0,INDEX($F93:$N93,0,AF$108),(INDEX($F93:$N93,0,AF$110+1)-INDEX($F93:$N93,0,AF$110))/(INDEX($F$4:$N$4,0,AF$110+1)-INDEX($F$4:$N$4,0,AF$110))+AE112)))</f>
        <v>4.8066609752234903</v>
      </c>
      <c r="AG112" s="3" cm="1">
        <f t="array" ref="AG112">IF(AG$110=-1,AH112,IF(AG$110=99,AF112,IF(AG$110=0,INDEX($F93:$N93,0,AG$108),(INDEX($F93:$N93,0,AG$110+1)-INDEX($F93:$N93,0,AG$110))/(INDEX($F$4:$N$4,0,AG$110+1)-INDEX($F$4:$N$4,0,AG$110))+AF112)))</f>
        <v>4.903454574001108</v>
      </c>
      <c r="AH112" s="3" cm="1">
        <f t="array" ref="AH112">IF(AH$110=-1,AI112,IF(AH$110=99,AG112,IF(AH$110=0,INDEX($F93:$N93,0,AH$108),(INDEX($F93:$N93,0,AH$110+1)-INDEX($F93:$N93,0,AH$110))/(INDEX($F$4:$N$4,0,AH$110+1)-INDEX($F$4:$N$4,0,AH$110))+AG112)))</f>
        <v>5.0002481727787256</v>
      </c>
      <c r="AI112" s="3" cm="1">
        <f t="array" ref="AI112">IF(AI$110=-1,AJ112,IF(AI$110=99,AH112,IF(AI$110=0,INDEX($F93:$N93,0,AI$108),(INDEX($F93:$N93,0,AI$110+1)-INDEX($F93:$N93,0,AI$110))/(INDEX($F$4:$N$4,0,AI$110+1)-INDEX($F$4:$N$4,0,AI$110))+AH112)))</f>
        <v>5.0970417715563432</v>
      </c>
      <c r="AJ112" s="3" cm="1">
        <f t="array" ref="AJ112">IF(AJ$110=-1,AK112,IF(AJ$110=99,AI112,IF(AJ$110=0,INDEX($F93:$N93,0,AJ$108),(INDEX($F93:$N93,0,AJ$110+1)-INDEX($F93:$N93,0,AJ$110))/(INDEX($F$4:$N$4,0,AJ$110+1)-INDEX($F$4:$N$4,0,AJ$110))+AI112)))</f>
        <v>5.1938353703339608</v>
      </c>
      <c r="AK112" s="3" cm="1">
        <f t="array" ref="AK112">IF(AK$110=-1,AL112,IF(AK$110=99,AJ112,IF(AK$110=0,INDEX($F93:$N93,0,AK$108),(INDEX($F93:$N93,0,AK$110+1)-INDEX($F93:$N93,0,AK$110))/(INDEX($F$4:$N$4,0,AK$110+1)-INDEX($F$4:$N$4,0,AK$110))+AJ112)))</f>
        <v>5.2906289691115784</v>
      </c>
      <c r="AL112" s="3" cm="1">
        <f t="array" ref="AL112">IF(AL$110=-1,AM112,IF(AL$110=99,AK112,IF(AL$110=0,INDEX($F93:$N93,0,AL$108),(INDEX($F93:$N93,0,AL$110+1)-INDEX($F93:$N93,0,AL$110))/(INDEX($F$4:$N$4,0,AL$110+1)-INDEX($F$4:$N$4,0,AL$110))+AK112)))</f>
        <v>5.387422567889196</v>
      </c>
      <c r="AM112" s="3" cm="1">
        <f t="array" ref="AM112">IF(AM$110=-1,AN112,IF(AM$110=99,AL112,IF(AM$110=0,INDEX($F93:$N93,0,AM$108),(INDEX($F93:$N93,0,AM$110+1)-INDEX($F93:$N93,0,AM$110))/(INDEX($F$4:$N$4,0,AM$110+1)-INDEX($F$4:$N$4,0,AM$110))+AL112)))</f>
        <v>5.4842161666668137</v>
      </c>
      <c r="AN112" s="3" cm="1">
        <f t="array" ref="AN112">IF(AN$110=-1,AO112,IF(AN$110=99,AM112,IF(AN$110=0,INDEX($F93:$N93,0,AN$108),(INDEX($F93:$N93,0,AN$110+1)-INDEX($F93:$N93,0,AN$110))/(INDEX($F$4:$N$4,0,AN$110+1)-INDEX($F$4:$N$4,0,AN$110))+AM112)))</f>
        <v>5.5810097654444339</v>
      </c>
      <c r="AO112" s="3" cm="1">
        <f t="array" ref="AO112">IF(AO$110=-1,AP112,IF(AO$110=99,AN112,IF(AO$110=0,INDEX($F93:$N93,0,AO$108),(INDEX($F93:$N93,0,AO$110+1)-INDEX($F93:$N93,0,AO$110))/(INDEX($F$4:$N$4,0,AO$110+1)-INDEX($F$4:$N$4,0,AO$110))+AN112)))</f>
        <v>5.7315246826575255</v>
      </c>
      <c r="AP112" s="3" cm="1">
        <f t="array" ref="AP112">IF(AP$110=-1,AQ112,IF(AP$110=99,AO112,IF(AP$110=0,INDEX($F93:$N93,0,AP$108),(INDEX($F93:$N93,0,AP$110+1)-INDEX($F93:$N93,0,AP$110))/(INDEX($F$4:$N$4,0,AP$110+1)-INDEX($F$4:$N$4,0,AP$110))+AO112)))</f>
        <v>5.882039599870617</v>
      </c>
      <c r="AQ112" s="3" cm="1">
        <f t="array" ref="AQ112">IF(AQ$110=-1,AR112,IF(AQ$110=99,AP112,IF(AQ$110=0,INDEX($F93:$N93,0,AQ$108),(INDEX($F93:$N93,0,AQ$110+1)-INDEX($F93:$N93,0,AQ$110))/(INDEX($F$4:$N$4,0,AQ$110+1)-INDEX($F$4:$N$4,0,AQ$110))+AP112)))</f>
        <v>6.0325545170837085</v>
      </c>
      <c r="AR112" s="3" cm="1">
        <f t="array" ref="AR112">IF(AR$110=-1,AS112,IF(AR$110=99,AQ112,IF(AR$110=0,INDEX($F93:$N93,0,AR$108),(INDEX($F93:$N93,0,AR$110+1)-INDEX($F93:$N93,0,AR$110))/(INDEX($F$4:$N$4,0,AR$110+1)-INDEX($F$4:$N$4,0,AR$110))+AQ112)))</f>
        <v>6.1830694342968</v>
      </c>
      <c r="AS112" s="3" cm="1">
        <f t="array" ref="AS112">IF(AS$110=-1,AT112,IF(AS$110=99,AR112,IF(AS$110=0,INDEX($F93:$N93,0,AS$108),(INDEX($F93:$N93,0,AS$110+1)-INDEX($F93:$N93,0,AS$110))/(INDEX($F$4:$N$4,0,AS$110+1)-INDEX($F$4:$N$4,0,AS$110))+AR112)))</f>
        <v>6.3335843515098915</v>
      </c>
      <c r="AT112" s="3" cm="1">
        <f t="array" ref="AT112">IF(AT$110=-1,AU112,IF(AT$110=99,AS112,IF(AT$110=0,INDEX($F93:$N93,0,AT$108),(INDEX($F93:$N93,0,AT$110+1)-INDEX($F93:$N93,0,AT$110))/(INDEX($F$4:$N$4,0,AT$110+1)-INDEX($F$4:$N$4,0,AT$110))+AS112)))</f>
        <v>6.484099268722983</v>
      </c>
      <c r="AU112" s="3" cm="1">
        <f t="array" ref="AU112">IF(AU$110=-1,AV112,IF(AU$110=99,AT112,IF(AU$110=0,INDEX($F93:$N93,0,AU$108),(INDEX($F93:$N93,0,AU$110+1)-INDEX($F93:$N93,0,AU$110))/(INDEX($F$4:$N$4,0,AU$110+1)-INDEX($F$4:$N$4,0,AU$110))+AT112)))</f>
        <v>6.6346141859360745</v>
      </c>
      <c r="AV112" s="3" cm="1">
        <f t="array" ref="AV112">IF(AV$110=-1,AW112,IF(AV$110=99,AU112,IF(AV$110=0,INDEX($F93:$N93,0,AV$108),(INDEX($F93:$N93,0,AV$110+1)-INDEX($F93:$N93,0,AV$110))/(INDEX($F$4:$N$4,0,AV$110+1)-INDEX($F$4:$N$4,0,AV$110))+AU112)))</f>
        <v>6.7851291031491661</v>
      </c>
      <c r="AW112" s="3" cm="1">
        <f t="array" ref="AW112">IF(AW$110=-1,AX112,IF(AW$110=99,AV112,IF(AW$110=0,INDEX($F93:$N93,0,AW$108),(INDEX($F93:$N93,0,AW$110+1)-INDEX($F93:$N93,0,AW$110))/(INDEX($F$4:$N$4,0,AW$110+1)-INDEX($F$4:$N$4,0,AW$110))+AV112)))</f>
        <v>6.9356440203622576</v>
      </c>
      <c r="AX112" s="3" cm="1">
        <f t="array" ref="AX112">IF(AX$110=-1,AY112,IF(AX$110=99,AW112,IF(AX$110=0,INDEX($F93:$N93,0,AX$108),(INDEX($F93:$N93,0,AX$110+1)-INDEX($F93:$N93,0,AX$110))/(INDEX($F$4:$N$4,0,AX$110+1)-INDEX($F$4:$N$4,0,AX$110))+AW112)))</f>
        <v>7.0861589375753464</v>
      </c>
      <c r="AY112" s="3" cm="1">
        <f t="array" ref="AY112">IF(AY$110=-1,AZ112,IF(AY$110=99,AX112,IF(AY$110=0,INDEX($F93:$N93,0,AY$108),(INDEX($F93:$N93,0,AY$110+1)-INDEX($F93:$N93,0,AY$110))/(INDEX($F$4:$N$4,0,AY$110+1)-INDEX($F$4:$N$4,0,AY$110))+AX112)))</f>
        <v>8.3737326141361095</v>
      </c>
      <c r="AZ112" s="3" cm="1">
        <f t="array" ref="AZ112">IF(AZ$110=-1,BA112,IF(AZ$110=99,AY112,IF(AZ$110=0,INDEX($F93:$N93,0,AZ$108),(INDEX($F93:$N93,0,AZ$110+1)-INDEX($F93:$N93,0,AZ$110))/(INDEX($F$4:$N$4,0,AZ$110+1)-INDEX($F$4:$N$4,0,AZ$110))+AY112)))</f>
        <v>8.5458091266635687</v>
      </c>
    </row>
    <row r="113" spans="1:52">
      <c r="A113" s="99" t="s">
        <v>16</v>
      </c>
      <c r="B113" s="15" t="str">
        <f t="shared" si="320"/>
        <v/>
      </c>
      <c r="C113" s="16" t="str">
        <f t="shared" si="321"/>
        <v/>
      </c>
      <c r="D113" s="43" t="s">
        <v>397</v>
      </c>
      <c r="E113" s="16" t="str">
        <f t="shared" si="322"/>
        <v/>
      </c>
      <c r="H113" s="16" t="str">
        <f t="shared" si="322"/>
        <v/>
      </c>
      <c r="J113" s="16" t="str">
        <f t="shared" si="322"/>
        <v/>
      </c>
      <c r="K113" s="16" t="str">
        <f t="shared" si="322"/>
        <v/>
      </c>
      <c r="L113" s="106" t="str">
        <f t="shared" si="323"/>
        <v/>
      </c>
      <c r="M113" s="3" cm="1">
        <f t="array" ref="M113">IF(M$110=-1,N113,IF(M$110=99,#REF!,IF(M$110=0,INDEX($F94:$N94,0,M$108),(INDEX($F94:$N94,0,M$110+1)-INDEX($F94:$N94,0,M$110))/(INDEX($F$4:$N$4,0,M$110+1)-INDEX($F$4:$N$4,0,M$110))+#REF!)))</f>
        <v>1.0030192144974699</v>
      </c>
      <c r="N113" s="3" cm="1">
        <f t="array" ref="N113">IF(N$110=-1,O113,IF(N$110=99,M113,IF(N$110=0,INDEX($F94:$N94,0,N$108),(INDEX($F94:$N94,0,N$110+1)-INDEX($F94:$N94,0,N$110))/(INDEX($F$4:$N$4,0,N$110+1)-INDEX($F$4:$N$4,0,N$110))+M113)))</f>
        <v>1.009261767493451</v>
      </c>
      <c r="O113" s="3" cm="1">
        <f t="array" ref="O113">IF(O$110=-1,P113,IF(O$110=99,N113,IF(O$110=0,INDEX($F94:$N94,0,O$108),(INDEX($F94:$N94,0,O$110+1)-INDEX($F94:$N94,0,O$110))/(INDEX($F$4:$N$4,0,O$110+1)-INDEX($F$4:$N$4,0,O$110))+N113)))</f>
        <v>1.0155043204894318</v>
      </c>
      <c r="P113" s="3" cm="1">
        <f t="array" ref="P113">IF(P$110=-1,S113,IF(P$110=99,O113,IF(P$110=0,INDEX($F94:$N94,0,P$108),(INDEX($F94:$N94,0,P$110+1)-INDEX($F94:$N94,0,P$110))/(INDEX($F$4:$N$4,0,P$110+1)-INDEX($F$4:$N$4,0,P$110))+O113)))</f>
        <v>0.97776384868242405</v>
      </c>
      <c r="Q113" s="3" cm="1">
        <f t="array" ref="Q113">IF(Q$110=-1,R113,IF(Q$110=99,N113,IF(Q$110=0,INDEX($F94:$N94,0,Q$108),(INDEX($F94:$N94,0,Q$110+1)-INDEX($F94:$N94,0,Q$110))/(INDEX($F$4:$N$4,0,Q$110+1)-INDEX($F$4:$N$4,0,Q$110))+N113)))</f>
        <v>1.0155043204894318</v>
      </c>
      <c r="R113" s="3" cm="1">
        <f t="array" ref="R113">IF(R$110=-1,S113,IF(R$110=99,O113,IF(R$110=0,INDEX($F94:$N94,0,R$108),(INDEX($F94:$N94,0,R$110+1)-INDEX($F94:$N94,0,R$110))/(INDEX($F$4:$N$4,0,R$110+1)-INDEX($F$4:$N$4,0,R$110))+O113)))</f>
        <v>0.97776384868242405</v>
      </c>
      <c r="S113" s="3" cm="1">
        <f t="array" ref="S113">IF(S$110=-1,T113,IF(S$110=99,P113,IF(S$110=0,INDEX($F94:$N94,0,S$108),(INDEX($F94:$N94,0,S$110+1)-INDEX($F94:$N94,0,S$110))/(INDEX($F$4:$N$4,0,S$110+1)-INDEX($F$4:$N$4,0,S$110))+P113)))</f>
        <v>0.98762857651971914</v>
      </c>
      <c r="T113" s="3" cm="1">
        <f t="array" ref="T113">IF(T$110=-1,U113,IF(T$110=99,S113,IF(T$110=0,INDEX($F94:$N94,0,T$108),(INDEX($F94:$N94,0,T$110+1)-INDEX($F94:$N94,0,T$110))/(INDEX($F$4:$N$4,0,T$110+1)-INDEX($F$4:$N$4,0,T$110))+S113)))</f>
        <v>0.99505324207490387</v>
      </c>
      <c r="U113" s="3" cm="1">
        <f t="array" ref="U113">IF(U$110=-1,V113,IF(U$110=99,T113,IF(U$110=0,INDEX($F94:$N94,0,U$108),(INDEX($F94:$N94,0,U$110+1)-INDEX($F94:$N94,0,U$110))/(INDEX($F$4:$N$4,0,U$110+1)-INDEX($F$4:$N$4,0,U$110))+T113)))</f>
        <v>1.0024779076300885</v>
      </c>
      <c r="V113" s="3" cm="1">
        <f t="array" ref="V113">IF(V$110=-1,W113,IF(V$110=99,U113,IF(V$110=0,INDEX($F94:$N94,0,V$108),(INDEX($F94:$N94,0,V$110+1)-INDEX($F94:$N94,0,V$110))/(INDEX($F$4:$N$4,0,V$110+1)-INDEX($F$4:$N$4,0,V$110))+U113)))</f>
        <v>1.0099025731852731</v>
      </c>
      <c r="W113" s="3" cm="1">
        <f t="array" ref="W113">IF(W$110=-1,X113,IF(W$110=99,V113,IF(W$110=0,INDEX($F94:$N94,0,W$108),(INDEX($F94:$N94,0,W$110+1)-INDEX($F94:$N94,0,W$110))/(INDEX($F$4:$N$4,0,W$110+1)-INDEX($F$4:$N$4,0,W$110))+V113)))</f>
        <v>1.0173272387404577</v>
      </c>
      <c r="X113" s="3" cm="1">
        <f t="array" ref="X113">IF(X$110=-1,Y113,IF(X$110=99,W113,IF(X$110=0,INDEX($F94:$N94,0,X$108),(INDEX($F94:$N94,0,X$110+1)-INDEX($F94:$N94,0,X$110))/(INDEX($F$4:$N$4,0,X$110+1)-INDEX($F$4:$N$4,0,X$110))+W113)))</f>
        <v>1.0247519042956423</v>
      </c>
      <c r="Y113" s="3" cm="1">
        <f t="array" ref="Y113">IF(Y$110=-1,Z113,IF(Y$110=99,X113,IF(Y$110=0,INDEX($F94:$N94,0,Y$108),(INDEX($F94:$N94,0,Y$110+1)-INDEX($F94:$N94,0,Y$110))/(INDEX($F$4:$N$4,0,Y$110+1)-INDEX($F$4:$N$4,0,Y$110))+X113)))</f>
        <v>1.032176569850827</v>
      </c>
      <c r="Z113" s="3" cm="1">
        <f t="array" ref="Z113">IF(Z$110=-1,AC113,IF(Z$110=99,Y113,IF(Z$110=0,INDEX($F94:$N94,0,Z$108),(INDEX($F94:$N94,0,Z$110+1)-INDEX($F94:$N94,0,Z$110))/(INDEX($F$4:$N$4,0,Z$110+1)-INDEX($F$4:$N$4,0,Z$110))+Y113)))</f>
        <v>1.0396012354060116</v>
      </c>
      <c r="AA113" s="3" cm="1">
        <f t="array" ref="AA113">IF(AA$110=-1,AB113,IF(AA$110=99,X113,IF(AA$110=0,INDEX($F94:$N94,0,AA$108),(INDEX($F94:$N94,0,AA$110+1)-INDEX($F94:$N94,0,AA$110))/(INDEX($F$4:$N$4,0,AA$110+1)-INDEX($F$4:$N$4,0,AA$110))+X113)))</f>
        <v>1.032176569850827</v>
      </c>
      <c r="AB113" s="3" cm="1">
        <f t="array" ref="AB113">IF(AB$110=-1,AC113,IF(AB$110=99,Y113,IF(AB$110=0,INDEX($F94:$N94,0,AB$108),(INDEX($F94:$N94,0,AB$110+1)-INDEX($F94:$N94,0,AB$110))/(INDEX($F$4:$N$4,0,AB$110+1)-INDEX($F$4:$N$4,0,AB$110))+Y113)))</f>
        <v>1.0396012354060116</v>
      </c>
      <c r="AC113" s="3" cm="1">
        <f t="array" ref="AC113">IF(AC$110=-1,AD113,IF(AC$110=99,Z113,IF(AC$110=0,INDEX($F94:$N94,0,AC$108),(INDEX($F94:$N94,0,AC$110+1)-INDEX($F94:$N94,0,AC$110))/(INDEX($F$4:$N$4,0,AC$110+1)-INDEX($F$4:$N$4,0,AC$110))+Z113)))</f>
        <v>1.0470259009611962</v>
      </c>
      <c r="AD113" s="3" cm="1">
        <f t="array" ref="AD113">IF(AD$110=-1,AE113,IF(AD$110=99,AC113,IF(AD$110=0,INDEX($F94:$N94,0,AD$108),(INDEX($F94:$N94,0,AD$110+1)-INDEX($F94:$N94,0,AD$110))/(INDEX($F$4:$N$4,0,AD$110+1)-INDEX($F$4:$N$4,0,AD$110))+AC113)))</f>
        <v>1.0544505665163815</v>
      </c>
      <c r="AE113" s="3" cm="1">
        <f t="array" ref="AE113">IF(AE$110=-1,AF113,IF(AE$110=99,AD113,IF(AE$110=0,INDEX($F94:$N94,0,AE$108),(INDEX($F94:$N94,0,AE$110+1)-INDEX($F94:$N94,0,AE$110))/(INDEX($F$4:$N$4,0,AE$110+1)-INDEX($F$4:$N$4,0,AE$110))+AD113)))</f>
        <v>1.0832897361525546</v>
      </c>
      <c r="AF113" s="3" cm="1">
        <f t="array" ref="AF113">IF(AF$110=-1,AG113,IF(AF$110=99,AE113,IF(AF$110=0,INDEX($F94:$N94,0,AF$108),(INDEX($F94:$N94,0,AF$110+1)-INDEX($F94:$N94,0,AF$110))/(INDEX($F$4:$N$4,0,AF$110+1)-INDEX($F$4:$N$4,0,AF$110))+AE113)))</f>
        <v>1.1121289057887278</v>
      </c>
      <c r="AG113" s="3" cm="1">
        <f t="array" ref="AG113">IF(AG$110=-1,AH113,IF(AG$110=99,AF113,IF(AG$110=0,INDEX($F94:$N94,0,AG$108),(INDEX($F94:$N94,0,AG$110+1)-INDEX($F94:$N94,0,AG$110))/(INDEX($F$4:$N$4,0,AG$110+1)-INDEX($F$4:$N$4,0,AG$110))+AF113)))</f>
        <v>1.140968075424901</v>
      </c>
      <c r="AH113" s="3" cm="1">
        <f t="array" ref="AH113">IF(AH$110=-1,AI113,IF(AH$110=99,AG113,IF(AH$110=0,INDEX($F94:$N94,0,AH$108),(INDEX($F94:$N94,0,AH$110+1)-INDEX($F94:$N94,0,AH$110))/(INDEX($F$4:$N$4,0,AH$110+1)-INDEX($F$4:$N$4,0,AH$110))+AG113)))</f>
        <v>1.1698072450610741</v>
      </c>
      <c r="AI113" s="3" cm="1">
        <f t="array" ref="AI113">IF(AI$110=-1,AJ113,IF(AI$110=99,AH113,IF(AI$110=0,INDEX($F94:$N94,0,AI$108),(INDEX($F94:$N94,0,AI$110+1)-INDEX($F94:$N94,0,AI$110))/(INDEX($F$4:$N$4,0,AI$110+1)-INDEX($F$4:$N$4,0,AI$110))+AH113)))</f>
        <v>1.1986464146972473</v>
      </c>
      <c r="AJ113" s="3" cm="1">
        <f t="array" ref="AJ113">IF(AJ$110=-1,AK113,IF(AJ$110=99,AI113,IF(AJ$110=0,INDEX($F94:$N94,0,AJ$108),(INDEX($F94:$N94,0,AJ$110+1)-INDEX($F94:$N94,0,AJ$110))/(INDEX($F$4:$N$4,0,AJ$110+1)-INDEX($F$4:$N$4,0,AJ$110))+AI113)))</f>
        <v>1.2274855843334205</v>
      </c>
      <c r="AK113" s="3" cm="1">
        <f t="array" ref="AK113">IF(AK$110=-1,AL113,IF(AK$110=99,AJ113,IF(AK$110=0,INDEX($F94:$N94,0,AK$108),(INDEX($F94:$N94,0,AK$110+1)-INDEX($F94:$N94,0,AK$110))/(INDEX($F$4:$N$4,0,AK$110+1)-INDEX($F$4:$N$4,0,AK$110))+AJ113)))</f>
        <v>1.2563247539695936</v>
      </c>
      <c r="AL113" s="3" cm="1">
        <f t="array" ref="AL113">IF(AL$110=-1,AM113,IF(AL$110=99,AK113,IF(AL$110=0,INDEX($F94:$N94,0,AL$108),(INDEX($F94:$N94,0,AL$110+1)-INDEX($F94:$N94,0,AL$110))/(INDEX($F$4:$N$4,0,AL$110+1)-INDEX($F$4:$N$4,0,AL$110))+AK113)))</f>
        <v>1.2851639236057668</v>
      </c>
      <c r="AM113" s="3" cm="1">
        <f t="array" ref="AM113">IF(AM$110=-1,AN113,IF(AM$110=99,AL113,IF(AM$110=0,INDEX($F94:$N94,0,AM$108),(INDEX($F94:$N94,0,AM$110+1)-INDEX($F94:$N94,0,AM$110))/(INDEX($F$4:$N$4,0,AM$110+1)-INDEX($F$4:$N$4,0,AM$110))+AL113)))</f>
        <v>1.31400309324194</v>
      </c>
      <c r="AN113" s="3" cm="1">
        <f t="array" ref="AN113">IF(AN$110=-1,AO113,IF(AN$110=99,AM113,IF(AN$110=0,INDEX($F94:$N94,0,AN$108),(INDEX($F94:$N94,0,AN$110+1)-INDEX($F94:$N94,0,AN$110))/(INDEX($F$4:$N$4,0,AN$110+1)-INDEX($F$4:$N$4,0,AN$110))+AM113)))</f>
        <v>1.3428422628781138</v>
      </c>
      <c r="AO113" s="3" cm="1">
        <f t="array" ref="AO113">IF(AO$110=-1,AP113,IF(AO$110=99,AN113,IF(AO$110=0,INDEX($F94:$N94,0,AO$108),(INDEX($F94:$N94,0,AO$110+1)-INDEX($F94:$N94,0,AO$110))/(INDEX($F$4:$N$4,0,AO$110+1)-INDEX($F$4:$N$4,0,AO$110))+AN113)))</f>
        <v>1.3790575358344126</v>
      </c>
      <c r="AP113" s="3" cm="1">
        <f t="array" ref="AP113">IF(AP$110=-1,AQ113,IF(AP$110=99,AO113,IF(AP$110=0,INDEX($F94:$N94,0,AP$108),(INDEX($F94:$N94,0,AP$110+1)-INDEX($F94:$N94,0,AP$110))/(INDEX($F$4:$N$4,0,AP$110+1)-INDEX($F$4:$N$4,0,AP$110))+AO113)))</f>
        <v>1.4152728087907114</v>
      </c>
      <c r="AQ113" s="3" cm="1">
        <f t="array" ref="AQ113">IF(AQ$110=-1,AR113,IF(AQ$110=99,AP113,IF(AQ$110=0,INDEX($F94:$N94,0,AQ$108),(INDEX($F94:$N94,0,AQ$110+1)-INDEX($F94:$N94,0,AQ$110))/(INDEX($F$4:$N$4,0,AQ$110+1)-INDEX($F$4:$N$4,0,AQ$110))+AP113)))</f>
        <v>1.4514880817470102</v>
      </c>
      <c r="AR113" s="3" cm="1">
        <f t="array" ref="AR113">IF(AR$110=-1,AS113,IF(AR$110=99,AQ113,IF(AR$110=0,INDEX($F94:$N94,0,AR$108),(INDEX($F94:$N94,0,AR$110+1)-INDEX($F94:$N94,0,AR$110))/(INDEX($F$4:$N$4,0,AR$110+1)-INDEX($F$4:$N$4,0,AR$110))+AQ113)))</f>
        <v>1.4877033547033089</v>
      </c>
      <c r="AS113" s="3" cm="1">
        <f t="array" ref="AS113">IF(AS$110=-1,AT113,IF(AS$110=99,AR113,IF(AS$110=0,INDEX($F94:$N94,0,AS$108),(INDEX($F94:$N94,0,AS$110+1)-INDEX($F94:$N94,0,AS$110))/(INDEX($F$4:$N$4,0,AS$110+1)-INDEX($F$4:$N$4,0,AS$110))+AR113)))</f>
        <v>1.5239186276596077</v>
      </c>
      <c r="AT113" s="3" cm="1">
        <f t="array" ref="AT113">IF(AT$110=-1,AU113,IF(AT$110=99,AS113,IF(AT$110=0,INDEX($F94:$N94,0,AT$108),(INDEX($F94:$N94,0,AT$110+1)-INDEX($F94:$N94,0,AT$110))/(INDEX($F$4:$N$4,0,AT$110+1)-INDEX($F$4:$N$4,0,AT$110))+AS113)))</f>
        <v>1.5601339006159065</v>
      </c>
      <c r="AU113" s="3" cm="1">
        <f t="array" ref="AU113">IF(AU$110=-1,AV113,IF(AU$110=99,AT113,IF(AU$110=0,INDEX($F94:$N94,0,AU$108),(INDEX($F94:$N94,0,AU$110+1)-INDEX($F94:$N94,0,AU$110))/(INDEX($F$4:$N$4,0,AU$110+1)-INDEX($F$4:$N$4,0,AU$110))+AT113)))</f>
        <v>1.5963491735722053</v>
      </c>
      <c r="AV113" s="3" cm="1">
        <f t="array" ref="AV113">IF(AV$110=-1,AW113,IF(AV$110=99,AU113,IF(AV$110=0,INDEX($F94:$N94,0,AV$108),(INDEX($F94:$N94,0,AV$110+1)-INDEX($F94:$N94,0,AV$110))/(INDEX($F$4:$N$4,0,AV$110+1)-INDEX($F$4:$N$4,0,AV$110))+AU113)))</f>
        <v>1.6325644465285041</v>
      </c>
      <c r="AW113" s="3" cm="1">
        <f t="array" ref="AW113">IF(AW$110=-1,AX113,IF(AW$110=99,AV113,IF(AW$110=0,INDEX($F94:$N94,0,AW$108),(INDEX($F94:$N94,0,AW$110+1)-INDEX($F94:$N94,0,AW$110))/(INDEX($F$4:$N$4,0,AW$110+1)-INDEX($F$4:$N$4,0,AW$110))+AV113)))</f>
        <v>1.6687797194848029</v>
      </c>
      <c r="AX113" s="3" cm="1">
        <f t="array" ref="AX113">IF(AX$110=-1,AY113,IF(AX$110=99,AW113,IF(AX$110=0,INDEX($F94:$N94,0,AX$108),(INDEX($F94:$N94,0,AX$110+1)-INDEX($F94:$N94,0,AX$110))/(INDEX($F$4:$N$4,0,AX$110+1)-INDEX($F$4:$N$4,0,AX$110))+AW113)))</f>
        <v>1.7049949924411019</v>
      </c>
      <c r="AY113" s="3" cm="1">
        <f t="array" ref="AY113">IF(AY$110=-1,AZ113,IF(AY$110=99,AX113,IF(AY$110=0,INDEX($F94:$N94,0,AY$108),(INDEX($F94:$N94,0,AY$110+1)-INDEX($F94:$N94,0,AY$110))/(INDEX($F$4:$N$4,0,AY$110+1)-INDEX($F$4:$N$4,0,AY$110))+AX113)))</f>
        <v>2.0147970573220011</v>
      </c>
      <c r="AZ113" s="3" cm="1">
        <f t="array" ref="AZ113">IF(AZ$110=-1,BA113,IF(AZ$110=99,AY113,IF(AZ$110=0,INDEX($F94:$N94,0,AZ$108),(INDEX($F94:$N94,0,AZ$110+1)-INDEX($F94:$N94,0,AZ$110))/(INDEX($F$4:$N$4,0,AZ$110+1)-INDEX($F$4:$N$4,0,AZ$110))+AY113)))</f>
        <v>2.056200248354072</v>
      </c>
    </row>
    <row r="114" spans="1:52">
      <c r="A114" s="99" t="s">
        <v>16</v>
      </c>
      <c r="B114" s="15" t="str">
        <f t="shared" si="320"/>
        <v/>
      </c>
      <c r="C114" s="16" t="str">
        <f t="shared" si="321"/>
        <v/>
      </c>
      <c r="D114" s="43" t="s">
        <v>398</v>
      </c>
      <c r="E114" s="16" t="str">
        <f t="shared" si="322"/>
        <v/>
      </c>
      <c r="H114" s="16" t="str">
        <f t="shared" si="322"/>
        <v/>
      </c>
      <c r="J114" s="16" t="str">
        <f t="shared" si="322"/>
        <v/>
      </c>
      <c r="K114" s="16" t="str">
        <f t="shared" si="322"/>
        <v/>
      </c>
      <c r="L114" s="106" t="str">
        <f t="shared" si="323"/>
        <v/>
      </c>
      <c r="M114" s="3" cm="1">
        <f t="array" ref="M114">IF(M$110=-1,N114,IF(M$110=99,#REF!,IF(M$110=0,INDEX($F95:$N95,0,M$108),(INDEX($F95:$N95,0,M$110+1)-INDEX($F95:$N95,0,M$110))/(INDEX($F$4:$N$4,0,M$110+1)-INDEX($F$4:$N$4,0,M$110))+#REF!)))</f>
        <v>3.29935437842208</v>
      </c>
      <c r="N114" s="3" cm="1">
        <f t="array" ref="N114">IF(N$110=-1,O114,IF(N$110=99,M114,IF(N$110=0,INDEX($F95:$N95,0,N$108),(INDEX($F95:$N95,0,N$110+1)-INDEX($F95:$N95,0,N$110))/(INDEX($F$4:$N$4,0,N$110+1)-INDEX($F$4:$N$4,0,N$110))+M114)))</f>
        <v>3.3198887752333528</v>
      </c>
      <c r="O114" s="3" cm="1">
        <f t="array" ref="O114">IF(O$110=-1,P114,IF(O$110=99,N114,IF(O$110=0,INDEX($F95:$N95,0,O$108),(INDEX($F95:$N95,0,O$110+1)-INDEX($F95:$N95,0,O$110))/(INDEX($F$4:$N$4,0,O$110+1)-INDEX($F$4:$N$4,0,O$110))+N114)))</f>
        <v>3.3404231720446251</v>
      </c>
      <c r="P114" s="3" cm="1">
        <f t="array" ref="P114">IF(P$110=-1,S114,IF(P$110=99,O114,IF(P$110=0,INDEX($F95:$N95,0,P$108),(INDEX($F95:$N95,0,P$110+1)-INDEX($F95:$N95,0,P$110))/(INDEX($F$4:$N$4,0,P$110+1)-INDEX($F$4:$N$4,0,P$110))+O114)))</f>
        <v>3.2162787996334212</v>
      </c>
      <c r="Q114" s="3" cm="1">
        <f t="array" ref="Q114">IF(Q$110=-1,R114,IF(Q$110=99,N114,IF(Q$110=0,INDEX($F95:$N95,0,Q$108),(INDEX($F95:$N95,0,Q$110+1)-INDEX($F95:$N95,0,Q$110))/(INDEX($F$4:$N$4,0,Q$110+1)-INDEX($F$4:$N$4,0,Q$110))+N114)))</f>
        <v>3.3404231720446251</v>
      </c>
      <c r="R114" s="3" cm="1">
        <f t="array" ref="R114">IF(R$110=-1,S114,IF(R$110=99,O114,IF(R$110=0,INDEX($F95:$N95,0,R$108),(INDEX($F95:$N95,0,R$110+1)-INDEX($F95:$N95,0,R$110))/(INDEX($F$4:$N$4,0,R$110+1)-INDEX($F$4:$N$4,0,R$110))+O114)))</f>
        <v>3.2162787996334212</v>
      </c>
      <c r="S114" s="3" cm="1">
        <f t="array" ref="S114">IF(S$110=-1,T114,IF(S$110=99,P114,IF(S$110=0,INDEX($F95:$N95,0,S$108),(INDEX($F95:$N95,0,S$110+1)-INDEX($F95:$N95,0,S$110))/(INDEX($F$4:$N$4,0,S$110+1)-INDEX($F$4:$N$4,0,S$110))+P114)))</f>
        <v>3.2487280613339848</v>
      </c>
      <c r="T114" s="3" cm="1">
        <f t="array" ref="T114">IF(T$110=-1,U114,IF(T$110=99,S114,IF(T$110=0,INDEX($F95:$N95,0,T$108),(INDEX($F95:$N95,0,T$110+1)-INDEX($F95:$N95,0,T$110))/(INDEX($F$4:$N$4,0,T$110+1)-INDEX($F$4:$N$4,0,T$110))+S114)))</f>
        <v>3.2731509262739067</v>
      </c>
      <c r="U114" s="3" cm="1">
        <f t="array" ref="U114">IF(U$110=-1,V114,IF(U$110=99,T114,IF(U$110=0,INDEX($F95:$N95,0,U$108),(INDEX($F95:$N95,0,U$110+1)-INDEX($F95:$N95,0,U$110))/(INDEX($F$4:$N$4,0,U$110+1)-INDEX($F$4:$N$4,0,U$110))+T114)))</f>
        <v>3.2975737912138285</v>
      </c>
      <c r="V114" s="3" cm="1">
        <f t="array" ref="V114">IF(V$110=-1,W114,IF(V$110=99,U114,IF(V$110=0,INDEX($F95:$N95,0,V$108),(INDEX($F95:$N95,0,V$110+1)-INDEX($F95:$N95,0,V$110))/(INDEX($F$4:$N$4,0,V$110+1)-INDEX($F$4:$N$4,0,V$110))+U114)))</f>
        <v>3.3219966561537504</v>
      </c>
      <c r="W114" s="3" cm="1">
        <f t="array" ref="W114">IF(W$110=-1,X114,IF(W$110=99,V114,IF(W$110=0,INDEX($F95:$N95,0,W$108),(INDEX($F95:$N95,0,W$110+1)-INDEX($F95:$N95,0,W$110))/(INDEX($F$4:$N$4,0,W$110+1)-INDEX($F$4:$N$4,0,W$110))+V114)))</f>
        <v>3.3464195210936722</v>
      </c>
      <c r="X114" s="3" cm="1">
        <f t="array" ref="X114">IF(X$110=-1,Y114,IF(X$110=99,W114,IF(X$110=0,INDEX($F95:$N95,0,X$108),(INDEX($F95:$N95,0,X$110+1)-INDEX($F95:$N95,0,X$110))/(INDEX($F$4:$N$4,0,X$110+1)-INDEX($F$4:$N$4,0,X$110))+W114)))</f>
        <v>3.3708423860335941</v>
      </c>
      <c r="Y114" s="3" cm="1">
        <f t="array" ref="Y114">IF(Y$110=-1,Z114,IF(Y$110=99,X114,IF(Y$110=0,INDEX($F95:$N95,0,Y$108),(INDEX($F95:$N95,0,Y$110+1)-INDEX($F95:$N95,0,Y$110))/(INDEX($F$4:$N$4,0,Y$110+1)-INDEX($F$4:$N$4,0,Y$110))+X114)))</f>
        <v>3.3952652509735159</v>
      </c>
      <c r="Z114" s="3" cm="1">
        <f t="array" ref="Z114">IF(Z$110=-1,AC114,IF(Z$110=99,Y114,IF(Z$110=0,INDEX($F95:$N95,0,Z$108),(INDEX($F95:$N95,0,Z$110+1)-INDEX($F95:$N95,0,Z$110))/(INDEX($F$4:$N$4,0,Z$110+1)-INDEX($F$4:$N$4,0,Z$110))+Y114)))</f>
        <v>3.4196881159134378</v>
      </c>
      <c r="AA114" s="3" cm="1">
        <f t="array" ref="AA114">IF(AA$110=-1,AB114,IF(AA$110=99,X114,IF(AA$110=0,INDEX($F95:$N95,0,AA$108),(INDEX($F95:$N95,0,AA$110+1)-INDEX($F95:$N95,0,AA$110))/(INDEX($F$4:$N$4,0,AA$110+1)-INDEX($F$4:$N$4,0,AA$110))+X114)))</f>
        <v>3.3952652509735159</v>
      </c>
      <c r="AB114" s="3" cm="1">
        <f t="array" ref="AB114">IF(AB$110=-1,AC114,IF(AB$110=99,Y114,IF(AB$110=0,INDEX($F95:$N95,0,AB$108),(INDEX($F95:$N95,0,AB$110+1)-INDEX($F95:$N95,0,AB$110))/(INDEX($F$4:$N$4,0,AB$110+1)-INDEX($F$4:$N$4,0,AB$110))+Y114)))</f>
        <v>3.4196881159134378</v>
      </c>
      <c r="AC114" s="3" cm="1">
        <f t="array" ref="AC114">IF(AC$110=-1,AD114,IF(AC$110=99,Z114,IF(AC$110=0,INDEX($F95:$N95,0,AC$108),(INDEX($F95:$N95,0,AC$110+1)-INDEX($F95:$N95,0,AC$110))/(INDEX($F$4:$N$4,0,AC$110+1)-INDEX($F$4:$N$4,0,AC$110))+Z114)))</f>
        <v>3.4441109808533596</v>
      </c>
      <c r="AD114" s="3" cm="1">
        <f t="array" ref="AD114">IF(AD$110=-1,AE114,IF(AD$110=99,AC114,IF(AD$110=0,INDEX($F95:$N95,0,AD$108),(INDEX($F95:$N95,0,AD$110+1)-INDEX($F95:$N95,0,AD$110))/(INDEX($F$4:$N$4,0,AD$110+1)-INDEX($F$4:$N$4,0,AD$110))+AC114)))</f>
        <v>3.4685338457932815</v>
      </c>
      <c r="AE114" s="3" cm="1">
        <f t="array" ref="AE114">IF(AE$110=-1,AF114,IF(AE$110=99,AD114,IF(AE$110=0,INDEX($F95:$N95,0,AE$108),(INDEX($F95:$N95,0,AE$110+1)-INDEX($F95:$N95,0,AE$110))/(INDEX($F$4:$N$4,0,AE$110+1)-INDEX($F$4:$N$4,0,AE$110))+AD114)))</f>
        <v>3.5633980709585367</v>
      </c>
      <c r="AF114" s="3" cm="1">
        <f t="array" ref="AF114">IF(AF$110=-1,AG114,IF(AF$110=99,AE114,IF(AF$110=0,INDEX($F95:$N95,0,AF$108),(INDEX($F95:$N95,0,AF$110+1)-INDEX($F95:$N95,0,AF$110))/(INDEX($F$4:$N$4,0,AF$110+1)-INDEX($F$4:$N$4,0,AF$110))+AE114)))</f>
        <v>3.6582622961237918</v>
      </c>
      <c r="AG114" s="3" cm="1">
        <f t="array" ref="AG114">IF(AG$110=-1,AH114,IF(AG$110=99,AF114,IF(AG$110=0,INDEX($F95:$N95,0,AG$108),(INDEX($F95:$N95,0,AG$110+1)-INDEX($F95:$N95,0,AG$110))/(INDEX($F$4:$N$4,0,AG$110+1)-INDEX($F$4:$N$4,0,AG$110))+AF114)))</f>
        <v>3.753126521289047</v>
      </c>
      <c r="AH114" s="3" cm="1">
        <f t="array" ref="AH114">IF(AH$110=-1,AI114,IF(AH$110=99,AG114,IF(AH$110=0,INDEX($F95:$N95,0,AH$108),(INDEX($F95:$N95,0,AH$110+1)-INDEX($F95:$N95,0,AH$110))/(INDEX($F$4:$N$4,0,AH$110+1)-INDEX($F$4:$N$4,0,AH$110))+AG114)))</f>
        <v>3.8479907464543022</v>
      </c>
      <c r="AI114" s="3" cm="1">
        <f t="array" ref="AI114">IF(AI$110=-1,AJ114,IF(AI$110=99,AH114,IF(AI$110=0,INDEX($F95:$N95,0,AI$108),(INDEX($F95:$N95,0,AI$110+1)-INDEX($F95:$N95,0,AI$110))/(INDEX($F$4:$N$4,0,AI$110+1)-INDEX($F$4:$N$4,0,AI$110))+AH114)))</f>
        <v>3.9428549716195573</v>
      </c>
      <c r="AJ114" s="3" cm="1">
        <f t="array" ref="AJ114">IF(AJ$110=-1,AK114,IF(AJ$110=99,AI114,IF(AJ$110=0,INDEX($F95:$N95,0,AJ$108),(INDEX($F95:$N95,0,AJ$110+1)-INDEX($F95:$N95,0,AJ$110))/(INDEX($F$4:$N$4,0,AJ$110+1)-INDEX($F$4:$N$4,0,AJ$110))+AI114)))</f>
        <v>4.0377191967848125</v>
      </c>
      <c r="AK114" s="3" cm="1">
        <f t="array" ref="AK114">IF(AK$110=-1,AL114,IF(AK$110=99,AJ114,IF(AK$110=0,INDEX($F95:$N95,0,AK$108),(INDEX($F95:$N95,0,AK$110+1)-INDEX($F95:$N95,0,AK$110))/(INDEX($F$4:$N$4,0,AK$110+1)-INDEX($F$4:$N$4,0,AK$110))+AJ114)))</f>
        <v>4.1325834219500672</v>
      </c>
      <c r="AL114" s="3" cm="1">
        <f t="array" ref="AL114">IF(AL$110=-1,AM114,IF(AL$110=99,AK114,IF(AL$110=0,INDEX($F95:$N95,0,AL$108),(INDEX($F95:$N95,0,AL$110+1)-INDEX($F95:$N95,0,AL$110))/(INDEX($F$4:$N$4,0,AL$110+1)-INDEX($F$4:$N$4,0,AL$110))+AK114)))</f>
        <v>4.2274476471153219</v>
      </c>
      <c r="AM114" s="3" cm="1">
        <f t="array" ref="AM114">IF(AM$110=-1,AN114,IF(AM$110=99,AL114,IF(AM$110=0,INDEX($F95:$N95,0,AM$108),(INDEX($F95:$N95,0,AM$110+1)-INDEX($F95:$N95,0,AM$110))/(INDEX($F$4:$N$4,0,AM$110+1)-INDEX($F$4:$N$4,0,AM$110))+AL114)))</f>
        <v>4.3223118722805767</v>
      </c>
      <c r="AN114" s="3" cm="1">
        <f t="array" ref="AN114">IF(AN$110=-1,AO114,IF(AN$110=99,AM114,IF(AN$110=0,INDEX($F95:$N95,0,AN$108),(INDEX($F95:$N95,0,AN$110+1)-INDEX($F95:$N95,0,AN$110))/(INDEX($F$4:$N$4,0,AN$110+1)-INDEX($F$4:$N$4,0,AN$110))+AM114)))</f>
        <v>4.4171760974458323</v>
      </c>
      <c r="AO114" s="3" cm="1">
        <f t="array" ref="AO114">IF(AO$110=-1,AP114,IF(AO$110=99,AN114,IF(AO$110=0,INDEX($F95:$N95,0,AO$108),(INDEX($F95:$N95,0,AO$110+1)-INDEX($F95:$N95,0,AO$110))/(INDEX($F$4:$N$4,0,AO$110+1)-INDEX($F$4:$N$4,0,AO$110))+AN114)))</f>
        <v>4.536303445822683</v>
      </c>
      <c r="AP114" s="3" cm="1">
        <f t="array" ref="AP114">IF(AP$110=-1,AQ114,IF(AP$110=99,AO114,IF(AP$110=0,INDEX($F95:$N95,0,AP$108),(INDEX($F95:$N95,0,AP$110+1)-INDEX($F95:$N95,0,AP$110))/(INDEX($F$4:$N$4,0,AP$110+1)-INDEX($F$4:$N$4,0,AP$110))+AO114)))</f>
        <v>4.6554307941995337</v>
      </c>
      <c r="AQ114" s="3" cm="1">
        <f t="array" ref="AQ114">IF(AQ$110=-1,AR114,IF(AQ$110=99,AP114,IF(AQ$110=0,INDEX($F95:$N95,0,AQ$108),(INDEX($F95:$N95,0,AQ$110+1)-INDEX($F95:$N95,0,AQ$110))/(INDEX($F$4:$N$4,0,AQ$110+1)-INDEX($F$4:$N$4,0,AQ$110))+AP114)))</f>
        <v>4.7745581425763843</v>
      </c>
      <c r="AR114" s="3" cm="1">
        <f t="array" ref="AR114">IF(AR$110=-1,AS114,IF(AR$110=99,AQ114,IF(AR$110=0,INDEX($F95:$N95,0,AR$108),(INDEX($F95:$N95,0,AR$110+1)-INDEX($F95:$N95,0,AR$110))/(INDEX($F$4:$N$4,0,AR$110+1)-INDEX($F$4:$N$4,0,AR$110))+AQ114)))</f>
        <v>4.893685490953235</v>
      </c>
      <c r="AS114" s="3" cm="1">
        <f t="array" ref="AS114">IF(AS$110=-1,AT114,IF(AS$110=99,AR114,IF(AS$110=0,INDEX($F95:$N95,0,AS$108),(INDEX($F95:$N95,0,AS$110+1)-INDEX($F95:$N95,0,AS$110))/(INDEX($F$4:$N$4,0,AS$110+1)-INDEX($F$4:$N$4,0,AS$110))+AR114)))</f>
        <v>5.0128128393300857</v>
      </c>
      <c r="AT114" s="3" cm="1">
        <f t="array" ref="AT114">IF(AT$110=-1,AU114,IF(AT$110=99,AS114,IF(AT$110=0,INDEX($F95:$N95,0,AT$108),(INDEX($F95:$N95,0,AT$110+1)-INDEX($F95:$N95,0,AT$110))/(INDEX($F$4:$N$4,0,AT$110+1)-INDEX($F$4:$N$4,0,AT$110))+AS114)))</f>
        <v>5.1319401877069364</v>
      </c>
      <c r="AU114" s="3" cm="1">
        <f t="array" ref="AU114">IF(AU$110=-1,AV114,IF(AU$110=99,AT114,IF(AU$110=0,INDEX($F95:$N95,0,AU$108),(INDEX($F95:$N95,0,AU$110+1)-INDEX($F95:$N95,0,AU$110))/(INDEX($F$4:$N$4,0,AU$110+1)-INDEX($F$4:$N$4,0,AU$110))+AT114)))</f>
        <v>5.2510675360837871</v>
      </c>
      <c r="AV114" s="3" cm="1">
        <f t="array" ref="AV114">IF(AV$110=-1,AW114,IF(AV$110=99,AU114,IF(AV$110=0,INDEX($F95:$N95,0,AV$108),(INDEX($F95:$N95,0,AV$110+1)-INDEX($F95:$N95,0,AV$110))/(INDEX($F$4:$N$4,0,AV$110+1)-INDEX($F$4:$N$4,0,AV$110))+AU114)))</f>
        <v>5.3701948844606378</v>
      </c>
      <c r="AW114" s="3" cm="1">
        <f t="array" ref="AW114">IF(AW$110=-1,AX114,IF(AW$110=99,AV114,IF(AW$110=0,INDEX($F95:$N95,0,AW$108),(INDEX($F95:$N95,0,AW$110+1)-INDEX($F95:$N95,0,AW$110))/(INDEX($F$4:$N$4,0,AW$110+1)-INDEX($F$4:$N$4,0,AW$110))+AV114)))</f>
        <v>5.4893222328374884</v>
      </c>
      <c r="AX114" s="3" cm="1">
        <f t="array" ref="AX114">IF(AX$110=-1,AY114,IF(AX$110=99,AW114,IF(AX$110=0,INDEX($F95:$N95,0,AX$108),(INDEX($F95:$N95,0,AX$110+1)-INDEX($F95:$N95,0,AX$110))/(INDEX($F$4:$N$4,0,AX$110+1)-INDEX($F$4:$N$4,0,AX$110))+AW114)))</f>
        <v>5.6084495812143391</v>
      </c>
      <c r="AY114" s="3" cm="1">
        <f t="array" ref="AY114">IF(AY$110=-1,AZ114,IF(AY$110=99,AX114,IF(AY$110=0,INDEX($F95:$N95,0,AY$108),(INDEX($F95:$N95,0,AY$110+1)-INDEX($F95:$N95,0,AY$110))/(INDEX($F$4:$N$4,0,AY$110+1)-INDEX($F$4:$N$4,0,AY$110))+AX114)))</f>
        <v>6.6275195894804417</v>
      </c>
      <c r="AZ114" s="3" cm="1">
        <f t="array" ref="AZ114">IF(AZ$110=-1,BA114,IF(AZ$110=99,AY114,IF(AZ$110=0,INDEX($F95:$N95,0,AZ$108),(INDEX($F95:$N95,0,AZ$110+1)-INDEX($F95:$N95,0,AZ$110))/(INDEX($F$4:$N$4,0,AZ$110+1)-INDEX($F$4:$N$4,0,AZ$110))+AY114)))</f>
        <v>6.7637121944055139</v>
      </c>
    </row>
    <row r="115" spans="1:52">
      <c r="A115" s="99" t="s">
        <v>16</v>
      </c>
      <c r="B115" s="15" t="str">
        <f t="shared" si="320"/>
        <v/>
      </c>
      <c r="C115" s="16" t="str">
        <f t="shared" si="321"/>
        <v/>
      </c>
      <c r="D115" s="43" t="s">
        <v>399</v>
      </c>
      <c r="E115" s="16" t="str">
        <f t="shared" si="322"/>
        <v/>
      </c>
      <c r="H115" s="16" t="str">
        <f t="shared" si="322"/>
        <v/>
      </c>
      <c r="J115" s="16" t="str">
        <f t="shared" si="322"/>
        <v/>
      </c>
      <c r="K115" s="16" t="str">
        <f t="shared" si="322"/>
        <v/>
      </c>
      <c r="L115" s="106" t="str">
        <f t="shared" si="323"/>
        <v/>
      </c>
      <c r="M115" s="3" cm="1">
        <f t="array" ref="M115">IF(M$110=-1,N115,IF(M$110=99,#REF!,IF(M$110=0,INDEX($F96:$N96,0,M$108),(INDEX($F96:$N96,0,M$110+1)-INDEX($F96:$N96,0,M$110))/(INDEX($F$4:$N$4,0,M$110+1)-INDEX($F$4:$N$4,0,M$110))+#REF!)))</f>
        <v>0.59840698910616097</v>
      </c>
      <c r="N115" s="3" cm="1">
        <f t="array" ref="N115">IF(N$110=-1,O115,IF(N$110=99,M115,IF(N$110=0,INDEX($F96:$N96,0,N$108),(INDEX($F96:$N96,0,N$110+1)-INDEX($F96:$N96,0,N$110))/(INDEX($F$4:$N$4,0,N$110+1)-INDEX($F$4:$N$4,0,N$110))+M115)))</f>
        <v>0.6021313318591881</v>
      </c>
      <c r="O115" s="3" cm="1">
        <f t="array" ref="O115">IF(O$110=-1,P115,IF(O$110=99,N115,IF(O$110=0,INDEX($F96:$N96,0,O$108),(INDEX($F96:$N96,0,O$110+1)-INDEX($F96:$N96,0,O$110))/(INDEX($F$4:$N$4,0,O$110+1)-INDEX($F$4:$N$4,0,O$110))+N115)))</f>
        <v>0.60585567461221534</v>
      </c>
      <c r="P115" s="3" cm="1">
        <f t="array" ref="P115">IF(P$110=-1,S115,IF(P$110=99,O115,IF(P$110=0,INDEX($F96:$N96,0,P$108),(INDEX($F96:$N96,0,P$110+1)-INDEX($F96:$N96,0,P$110))/(INDEX($F$4:$N$4,0,P$110+1)-INDEX($F$4:$N$4,0,P$110))+O115)))</f>
        <v>0.58333949369060389</v>
      </c>
      <c r="Q115" s="3" cm="1">
        <f t="array" ref="Q115">IF(Q$110=-1,R115,IF(Q$110=99,N115,IF(Q$110=0,INDEX($F96:$N96,0,Q$108),(INDEX($F96:$N96,0,Q$110+1)-INDEX($F96:$N96,0,Q$110))/(INDEX($F$4:$N$4,0,Q$110+1)-INDEX($F$4:$N$4,0,Q$110))+N115)))</f>
        <v>0.60585567461221534</v>
      </c>
      <c r="R115" s="3" cm="1">
        <f t="array" ref="R115">IF(R$110=-1,S115,IF(R$110=99,O115,IF(R$110=0,INDEX($F96:$N96,0,R$108),(INDEX($F96:$N96,0,R$110+1)-INDEX($F96:$N96,0,R$110))/(INDEX($F$4:$N$4,0,R$110+1)-INDEX($F$4:$N$4,0,R$110))+O115)))</f>
        <v>0.58333949369060389</v>
      </c>
      <c r="S115" s="3" cm="1">
        <f t="array" ref="S115">IF(S$110=-1,T115,IF(S$110=99,P115,IF(S$110=0,INDEX($F96:$N96,0,S$108),(INDEX($F96:$N96,0,S$110+1)-INDEX($F96:$N96,0,S$110))/(INDEX($F$4:$N$4,0,S$110+1)-INDEX($F$4:$N$4,0,S$110))+P115)))</f>
        <v>0.5892248466311506</v>
      </c>
      <c r="T115" s="3" cm="1">
        <f t="array" ref="T115">IF(T$110=-1,U115,IF(T$110=99,S115,IF(T$110=0,INDEX($F96:$N96,0,T$108),(INDEX($F96:$N96,0,T$110+1)-INDEX($F96:$N96,0,T$110))/(INDEX($F$4:$N$4,0,T$110+1)-INDEX($F$4:$N$4,0,T$110))+S115)))</f>
        <v>0.5936544444850903</v>
      </c>
      <c r="U115" s="3" cm="1">
        <f t="array" ref="U115">IF(U$110=-1,V115,IF(U$110=99,T115,IF(U$110=0,INDEX($F96:$N96,0,U$108),(INDEX($F96:$N96,0,U$110+1)-INDEX($F96:$N96,0,U$110))/(INDEX($F$4:$N$4,0,U$110+1)-INDEX($F$4:$N$4,0,U$110))+T115)))</f>
        <v>0.59808404233903001</v>
      </c>
      <c r="V115" s="3" cm="1">
        <f t="array" ref="V115">IF(V$110=-1,W115,IF(V$110=99,U115,IF(V$110=0,INDEX($F96:$N96,0,V$108),(INDEX($F96:$N96,0,V$110+1)-INDEX($F96:$N96,0,V$110))/(INDEX($F$4:$N$4,0,V$110+1)-INDEX($F$4:$N$4,0,V$110))+U115)))</f>
        <v>0.60251364019296971</v>
      </c>
      <c r="W115" s="3" cm="1">
        <f t="array" ref="W115">IF(W$110=-1,X115,IF(W$110=99,V115,IF(W$110=0,INDEX($F96:$N96,0,W$108),(INDEX($F96:$N96,0,W$110+1)-INDEX($F96:$N96,0,W$110))/(INDEX($F$4:$N$4,0,W$110+1)-INDEX($F$4:$N$4,0,W$110))+V115)))</f>
        <v>0.60694323804690942</v>
      </c>
      <c r="X115" s="3" cm="1">
        <f t="array" ref="X115">IF(X$110=-1,Y115,IF(X$110=99,W115,IF(X$110=0,INDEX($F96:$N96,0,X$108),(INDEX($F96:$N96,0,X$110+1)-INDEX($F96:$N96,0,X$110))/(INDEX($F$4:$N$4,0,X$110+1)-INDEX($F$4:$N$4,0,X$110))+W115)))</f>
        <v>0.61137283590084912</v>
      </c>
      <c r="Y115" s="3" cm="1">
        <f t="array" ref="Y115">IF(Y$110=-1,Z115,IF(Y$110=99,X115,IF(Y$110=0,INDEX($F96:$N96,0,Y$108),(INDEX($F96:$N96,0,Y$110+1)-INDEX($F96:$N96,0,Y$110))/(INDEX($F$4:$N$4,0,Y$110+1)-INDEX($F$4:$N$4,0,Y$110))+X115)))</f>
        <v>0.61580243375478882</v>
      </c>
      <c r="Z115" s="3" cm="1">
        <f t="array" ref="Z115">IF(Z$110=-1,AC115,IF(Z$110=99,Y115,IF(Z$110=0,INDEX($F96:$N96,0,Z$108),(INDEX($F96:$N96,0,Z$110+1)-INDEX($F96:$N96,0,Z$110))/(INDEX($F$4:$N$4,0,Z$110+1)-INDEX($F$4:$N$4,0,Z$110))+Y115)))</f>
        <v>0.62023203160872853</v>
      </c>
      <c r="AA115" s="3" cm="1">
        <f t="array" ref="AA115">IF(AA$110=-1,AB115,IF(AA$110=99,X115,IF(AA$110=0,INDEX($F96:$N96,0,AA$108),(INDEX($F96:$N96,0,AA$110+1)-INDEX($F96:$N96,0,AA$110))/(INDEX($F$4:$N$4,0,AA$110+1)-INDEX($F$4:$N$4,0,AA$110))+X115)))</f>
        <v>0.61580243375478882</v>
      </c>
      <c r="AB115" s="3" cm="1">
        <f t="array" ref="AB115">IF(AB$110=-1,AC115,IF(AB$110=99,Y115,IF(AB$110=0,INDEX($F96:$N96,0,AB$108),(INDEX($F96:$N96,0,AB$110+1)-INDEX($F96:$N96,0,AB$110))/(INDEX($F$4:$N$4,0,AB$110+1)-INDEX($F$4:$N$4,0,AB$110))+Y115)))</f>
        <v>0.62023203160872853</v>
      </c>
      <c r="AC115" s="3" cm="1">
        <f t="array" ref="AC115">IF(AC$110=-1,AD115,IF(AC$110=99,Z115,IF(AC$110=0,INDEX($F96:$N96,0,AC$108),(INDEX($F96:$N96,0,AC$110+1)-INDEX($F96:$N96,0,AC$110))/(INDEX($F$4:$N$4,0,AC$110+1)-INDEX($F$4:$N$4,0,AC$110))+Z115)))</f>
        <v>0.62466162946266823</v>
      </c>
      <c r="AD115" s="3" cm="1">
        <f t="array" ref="AD115">IF(AD$110=-1,AE115,IF(AD$110=99,AC115,IF(AD$110=0,INDEX($F96:$N96,0,AD$108),(INDEX($F96:$N96,0,AD$110+1)-INDEX($F96:$N96,0,AD$110))/(INDEX($F$4:$N$4,0,AD$110+1)-INDEX($F$4:$N$4,0,AD$110))+AC115)))</f>
        <v>0.62909122731660805</v>
      </c>
      <c r="AE115" s="3" cm="1">
        <f t="array" ref="AE115">IF(AE$110=-1,AF115,IF(AE$110=99,AD115,IF(AE$110=0,INDEX($F96:$N96,0,AE$108),(INDEX($F96:$N96,0,AE$110+1)-INDEX($F96:$N96,0,AE$110))/(INDEX($F$4:$N$4,0,AE$110+1)-INDEX($F$4:$N$4,0,AE$110))+AD115)))</f>
        <v>0.64629684055000014</v>
      </c>
      <c r="AF115" s="3" cm="1">
        <f t="array" ref="AF115">IF(AF$110=-1,AG115,IF(AF$110=99,AE115,IF(AF$110=0,INDEX($F96:$N96,0,AF$108),(INDEX($F96:$N96,0,AF$110+1)-INDEX($F96:$N96,0,AF$110))/(INDEX($F$4:$N$4,0,AF$110+1)-INDEX($F$4:$N$4,0,AF$110))+AE115)))</f>
        <v>0.66350245378339223</v>
      </c>
      <c r="AG115" s="3" cm="1">
        <f t="array" ref="AG115">IF(AG$110=-1,AH115,IF(AG$110=99,AF115,IF(AG$110=0,INDEX($F96:$N96,0,AG$108),(INDEX($F96:$N96,0,AG$110+1)-INDEX($F96:$N96,0,AG$110))/(INDEX($F$4:$N$4,0,AG$110+1)-INDEX($F$4:$N$4,0,AG$110))+AF115)))</f>
        <v>0.68070806701678432</v>
      </c>
      <c r="AH115" s="3" cm="1">
        <f t="array" ref="AH115">IF(AH$110=-1,AI115,IF(AH$110=99,AG115,IF(AH$110=0,INDEX($F96:$N96,0,AH$108),(INDEX($F96:$N96,0,AH$110+1)-INDEX($F96:$N96,0,AH$110))/(INDEX($F$4:$N$4,0,AH$110+1)-INDEX($F$4:$N$4,0,AH$110))+AG115)))</f>
        <v>0.69791368025017642</v>
      </c>
      <c r="AI115" s="3" cm="1">
        <f t="array" ref="AI115">IF(AI$110=-1,AJ115,IF(AI$110=99,AH115,IF(AI$110=0,INDEX($F96:$N96,0,AI$108),(INDEX($F96:$N96,0,AI$110+1)-INDEX($F96:$N96,0,AI$110))/(INDEX($F$4:$N$4,0,AI$110+1)-INDEX($F$4:$N$4,0,AI$110))+AH115)))</f>
        <v>0.71511929348356851</v>
      </c>
      <c r="AJ115" s="3" cm="1">
        <f t="array" ref="AJ115">IF(AJ$110=-1,AK115,IF(AJ$110=99,AI115,IF(AJ$110=0,INDEX($F96:$N96,0,AJ$108),(INDEX($F96:$N96,0,AJ$110+1)-INDEX($F96:$N96,0,AJ$110))/(INDEX($F$4:$N$4,0,AJ$110+1)-INDEX($F$4:$N$4,0,AJ$110))+AI115)))</f>
        <v>0.7323249067169606</v>
      </c>
      <c r="AK115" s="3" cm="1">
        <f t="array" ref="AK115">IF(AK$110=-1,AL115,IF(AK$110=99,AJ115,IF(AK$110=0,INDEX($F96:$N96,0,AK$108),(INDEX($F96:$N96,0,AK$110+1)-INDEX($F96:$N96,0,AK$110))/(INDEX($F$4:$N$4,0,AK$110+1)-INDEX($F$4:$N$4,0,AK$110))+AJ115)))</f>
        <v>0.74953051995035269</v>
      </c>
      <c r="AL115" s="3" cm="1">
        <f t="array" ref="AL115">IF(AL$110=-1,AM115,IF(AL$110=99,AK115,IF(AL$110=0,INDEX($F96:$N96,0,AL$108),(INDEX($F96:$N96,0,AL$110+1)-INDEX($F96:$N96,0,AL$110))/(INDEX($F$4:$N$4,0,AL$110+1)-INDEX($F$4:$N$4,0,AL$110))+AK115)))</f>
        <v>0.76673613318374478</v>
      </c>
      <c r="AM115" s="3" cm="1">
        <f t="array" ref="AM115">IF(AM$110=-1,AN115,IF(AM$110=99,AL115,IF(AM$110=0,INDEX($F96:$N96,0,AM$108),(INDEX($F96:$N96,0,AM$110+1)-INDEX($F96:$N96,0,AM$110))/(INDEX($F$4:$N$4,0,AM$110+1)-INDEX($F$4:$N$4,0,AM$110))+AL115)))</f>
        <v>0.78394174641713688</v>
      </c>
      <c r="AN115" s="3" cm="1">
        <f t="array" ref="AN115">IF(AN$110=-1,AO115,IF(AN$110=99,AM115,IF(AN$110=0,INDEX($F96:$N96,0,AN$108),(INDEX($F96:$N96,0,AN$110+1)-INDEX($F96:$N96,0,AN$110))/(INDEX($F$4:$N$4,0,AN$110+1)-INDEX($F$4:$N$4,0,AN$110))+AM115)))</f>
        <v>0.8011473596505293</v>
      </c>
      <c r="AO115" s="3" cm="1">
        <f t="array" ref="AO115">IF(AO$110=-1,AP115,IF(AO$110=99,AN115,IF(AO$110=0,INDEX($F96:$N96,0,AO$108),(INDEX($F96:$N96,0,AO$110+1)-INDEX($F96:$N96,0,AO$110))/(INDEX($F$4:$N$4,0,AO$110+1)-INDEX($F$4:$N$4,0,AO$110))+AN115)))</f>
        <v>0.82275359823120731</v>
      </c>
      <c r="AP115" s="3" cm="1">
        <f t="array" ref="AP115">IF(AP$110=-1,AQ115,IF(AP$110=99,AO115,IF(AP$110=0,INDEX($F96:$N96,0,AP$108),(INDEX($F96:$N96,0,AP$110+1)-INDEX($F96:$N96,0,AP$110))/(INDEX($F$4:$N$4,0,AP$110+1)-INDEX($F$4:$N$4,0,AP$110))+AO115)))</f>
        <v>0.84435983681188531</v>
      </c>
      <c r="AQ115" s="3" cm="1">
        <f t="array" ref="AQ115">IF(AQ$110=-1,AR115,IF(AQ$110=99,AP115,IF(AQ$110=0,INDEX($F96:$N96,0,AQ$108),(INDEX($F96:$N96,0,AQ$110+1)-INDEX($F96:$N96,0,AQ$110))/(INDEX($F$4:$N$4,0,AQ$110+1)-INDEX($F$4:$N$4,0,AQ$110))+AP115)))</f>
        <v>0.86596607539256332</v>
      </c>
      <c r="AR115" s="3" cm="1">
        <f t="array" ref="AR115">IF(AR$110=-1,AS115,IF(AR$110=99,AQ115,IF(AR$110=0,INDEX($F96:$N96,0,AR$108),(INDEX($F96:$N96,0,AR$110+1)-INDEX($F96:$N96,0,AR$110))/(INDEX($F$4:$N$4,0,AR$110+1)-INDEX($F$4:$N$4,0,AR$110))+AQ115)))</f>
        <v>0.88757231397324132</v>
      </c>
      <c r="AS115" s="3" cm="1">
        <f t="array" ref="AS115">IF(AS$110=-1,AT115,IF(AS$110=99,AR115,IF(AS$110=0,INDEX($F96:$N96,0,AS$108),(INDEX($F96:$N96,0,AS$110+1)-INDEX($F96:$N96,0,AS$110))/(INDEX($F$4:$N$4,0,AS$110+1)-INDEX($F$4:$N$4,0,AS$110))+AR115)))</f>
        <v>0.90917855255391933</v>
      </c>
      <c r="AT115" s="3" cm="1">
        <f t="array" ref="AT115">IF(AT$110=-1,AU115,IF(AT$110=99,AS115,IF(AT$110=0,INDEX($F96:$N96,0,AT$108),(INDEX($F96:$N96,0,AT$110+1)-INDEX($F96:$N96,0,AT$110))/(INDEX($F$4:$N$4,0,AT$110+1)-INDEX($F$4:$N$4,0,AT$110))+AS115)))</f>
        <v>0.93078479113459733</v>
      </c>
      <c r="AU115" s="3" cm="1">
        <f t="array" ref="AU115">IF(AU$110=-1,AV115,IF(AU$110=99,AT115,IF(AU$110=0,INDEX($F96:$N96,0,AU$108),(INDEX($F96:$N96,0,AU$110+1)-INDEX($F96:$N96,0,AU$110))/(INDEX($F$4:$N$4,0,AU$110+1)-INDEX($F$4:$N$4,0,AU$110))+AT115)))</f>
        <v>0.95239102971527534</v>
      </c>
      <c r="AV115" s="3" cm="1">
        <f t="array" ref="AV115">IF(AV$110=-1,AW115,IF(AV$110=99,AU115,IF(AV$110=0,INDEX($F96:$N96,0,AV$108),(INDEX($F96:$N96,0,AV$110+1)-INDEX($F96:$N96,0,AV$110))/(INDEX($F$4:$N$4,0,AV$110+1)-INDEX($F$4:$N$4,0,AV$110))+AU115)))</f>
        <v>0.97399726829595334</v>
      </c>
      <c r="AW115" s="3" cm="1">
        <f t="array" ref="AW115">IF(AW$110=-1,AX115,IF(AW$110=99,AV115,IF(AW$110=0,INDEX($F96:$N96,0,AW$108),(INDEX($F96:$N96,0,AW$110+1)-INDEX($F96:$N96,0,AW$110))/(INDEX($F$4:$N$4,0,AW$110+1)-INDEX($F$4:$N$4,0,AW$110))+AV115)))</f>
        <v>0.99560350687663135</v>
      </c>
      <c r="AX115" s="3" cm="1">
        <f t="array" ref="AX115">IF(AX$110=-1,AY115,IF(AX$110=99,AW115,IF(AX$110=0,INDEX($F96:$N96,0,AX$108),(INDEX($F96:$N96,0,AX$110+1)-INDEX($F96:$N96,0,AX$110))/(INDEX($F$4:$N$4,0,AX$110+1)-INDEX($F$4:$N$4,0,AX$110))+AW115)))</f>
        <v>1.017209745457309</v>
      </c>
      <c r="AY115" s="3" cm="1">
        <f t="array" ref="AY115">IF(AY$110=-1,AZ115,IF(AY$110=99,AX115,IF(AY$110=0,INDEX($F96:$N96,0,AY$108),(INDEX($F96:$N96,0,AY$110+1)-INDEX($F96:$N96,0,AY$110))/(INDEX($F$4:$N$4,0,AY$110+1)-INDEX($F$4:$N$4,0,AY$110))+AX115)))</f>
        <v>1.2020394258708922</v>
      </c>
      <c r="AZ115" s="3" cm="1">
        <f t="array" ref="AZ115">IF(AZ$110=-1,BA115,IF(AZ$110=99,AY115,IF(AZ$110=0,INDEX($F96:$N96,0,AZ$108),(INDEX($F96:$N96,0,AZ$110+1)-INDEX($F96:$N96,0,AZ$110))/(INDEX($F$4:$N$4,0,AZ$110+1)-INDEX($F$4:$N$4,0,AZ$110))+AY115)))</f>
        <v>1.2267408059908154</v>
      </c>
    </row>
    <row r="116" spans="1:52">
      <c r="A116" s="99" t="s">
        <v>16</v>
      </c>
      <c r="B116" s="15" t="str">
        <f t="shared" si="320"/>
        <v/>
      </c>
      <c r="C116" s="16" t="str">
        <f t="shared" si="321"/>
        <v/>
      </c>
      <c r="D116" s="43" t="s">
        <v>400</v>
      </c>
      <c r="E116" s="16" t="str">
        <f t="shared" si="322"/>
        <v/>
      </c>
      <c r="H116" s="16" t="str">
        <f t="shared" si="322"/>
        <v/>
      </c>
      <c r="J116" s="16" t="str">
        <f t="shared" si="322"/>
        <v/>
      </c>
      <c r="K116" s="16" t="str">
        <f t="shared" si="322"/>
        <v/>
      </c>
      <c r="L116" s="106" t="str">
        <f t="shared" si="323"/>
        <v/>
      </c>
      <c r="M116" s="3" cm="1">
        <f t="array" ref="M116">IF(M$110=-1,N116,IF(M$110=99,#REF!,IF(M$110=0,INDEX($F97:$N97,0,M$108),(INDEX($F97:$N97,0,M$110+1)-INDEX($F97:$N97,0,M$110))/(INDEX($F$4:$N$4,0,M$110+1)-INDEX($F$4:$N$4,0,M$110))+#REF!)))</f>
        <v>0.29798809605332599</v>
      </c>
      <c r="N116" s="3" cm="1">
        <f t="array" ref="N116">IF(N$110=-1,O116,IF(N$110=99,M116,IF(N$110=0,INDEX($F97:$N97,0,N$108),(INDEX($F97:$N97,0,N$110+1)-INDEX($F97:$N97,0,N$110))/(INDEX($F$4:$N$4,0,N$110+1)-INDEX($F$4:$N$4,0,N$110))+M116)))</f>
        <v>0.29984270307869226</v>
      </c>
      <c r="O116" s="3" cm="1">
        <f t="array" ref="O116">IF(O$110=-1,P116,IF(O$110=99,N116,IF(O$110=0,INDEX($F97:$N97,0,O$108),(INDEX($F97:$N97,0,O$110+1)-INDEX($F97:$N97,0,O$110))/(INDEX($F$4:$N$4,0,O$110+1)-INDEX($F$4:$N$4,0,O$110))+N116)))</f>
        <v>0.30169731010405854</v>
      </c>
      <c r="P116" s="3" cm="1">
        <f t="array" ref="P116">IF(P$110=-1,S116,IF(P$110=99,O116,IF(P$110=0,INDEX($F97:$N97,0,P$108),(INDEX($F97:$N97,0,P$110+1)-INDEX($F97:$N97,0,P$110))/(INDEX($F$4:$N$4,0,P$110+1)-INDEX($F$4:$N$4,0,P$110))+O116)))</f>
        <v>0.29048495128243912</v>
      </c>
      <c r="Q116" s="3" cm="1">
        <f t="array" ref="Q116">IF(Q$110=-1,R116,IF(Q$110=99,N116,IF(Q$110=0,INDEX($F97:$N97,0,Q$108),(INDEX($F97:$N97,0,Q$110+1)-INDEX($F97:$N97,0,Q$110))/(INDEX($F$4:$N$4,0,Q$110+1)-INDEX($F$4:$N$4,0,Q$110))+N116)))</f>
        <v>0.30169731010405854</v>
      </c>
      <c r="R116" s="3" cm="1">
        <f t="array" ref="R116">IF(R$110=-1,S116,IF(R$110=99,O116,IF(R$110=0,INDEX($F97:$N97,0,R$108),(INDEX($F97:$N97,0,R$110+1)-INDEX($F97:$N97,0,R$110))/(INDEX($F$4:$N$4,0,R$110+1)-INDEX($F$4:$N$4,0,R$110))+O116)))</f>
        <v>0.29048495128243912</v>
      </c>
      <c r="S116" s="3" cm="1">
        <f t="array" ref="S116">IF(S$110=-1,T116,IF(S$110=99,P116,IF(S$110=0,INDEX($F97:$N97,0,S$108),(INDEX($F97:$N97,0,S$110+1)-INDEX($F97:$N97,0,S$110))/(INDEX($F$4:$N$4,0,S$110+1)-INDEX($F$4:$N$4,0,S$110))+P116)))</f>
        <v>0.29341567426743453</v>
      </c>
      <c r="T116" s="3" cm="1">
        <f t="array" ref="T116">IF(T$110=-1,U116,IF(T$110=99,S116,IF(T$110=0,INDEX($F97:$N97,0,T$108),(INDEX($F97:$N97,0,T$110+1)-INDEX($F97:$N97,0,T$110))/(INDEX($F$4:$N$4,0,T$110+1)-INDEX($F$4:$N$4,0,T$110))+S116)))</f>
        <v>0.29562147643018838</v>
      </c>
      <c r="U116" s="3" cm="1">
        <f t="array" ref="U116">IF(U$110=-1,V116,IF(U$110=99,T116,IF(U$110=0,INDEX($F97:$N97,0,U$108),(INDEX($F97:$N97,0,U$110+1)-INDEX($F97:$N97,0,U$110))/(INDEX($F$4:$N$4,0,U$110+1)-INDEX($F$4:$N$4,0,U$110))+T116)))</f>
        <v>0.29782727859294222</v>
      </c>
      <c r="V116" s="3" cm="1">
        <f t="array" ref="V116">IF(V$110=-1,W116,IF(V$110=99,U116,IF(V$110=0,INDEX($F97:$N97,0,V$108),(INDEX($F97:$N97,0,V$110+1)-INDEX($F97:$N97,0,V$110))/(INDEX($F$4:$N$4,0,V$110+1)-INDEX($F$4:$N$4,0,V$110))+U116)))</f>
        <v>0.30003308075569607</v>
      </c>
      <c r="W116" s="3" cm="1">
        <f t="array" ref="W116">IF(W$110=-1,X116,IF(W$110=99,V116,IF(W$110=0,INDEX($F97:$N97,0,W$108),(INDEX($F97:$N97,0,W$110+1)-INDEX($F97:$N97,0,W$110))/(INDEX($F$4:$N$4,0,W$110+1)-INDEX($F$4:$N$4,0,W$110))+V116)))</f>
        <v>0.30223888291844991</v>
      </c>
      <c r="X116" s="3" cm="1">
        <f t="array" ref="X116">IF(X$110=-1,Y116,IF(X$110=99,W116,IF(X$110=0,INDEX($F97:$N97,0,X$108),(INDEX($F97:$N97,0,X$110+1)-INDEX($F97:$N97,0,X$110))/(INDEX($F$4:$N$4,0,X$110+1)-INDEX($F$4:$N$4,0,X$110))+W116)))</f>
        <v>0.30444468508120376</v>
      </c>
      <c r="Y116" s="3" cm="1">
        <f t="array" ref="Y116">IF(Y$110=-1,Z116,IF(Y$110=99,X116,IF(Y$110=0,INDEX($F97:$N97,0,Y$108),(INDEX($F97:$N97,0,Y$110+1)-INDEX($F97:$N97,0,Y$110))/(INDEX($F$4:$N$4,0,Y$110+1)-INDEX($F$4:$N$4,0,Y$110))+X116)))</f>
        <v>0.3066504872439576</v>
      </c>
      <c r="Z116" s="3" cm="1">
        <f t="array" ref="Z116">IF(Z$110=-1,AC116,IF(Z$110=99,Y116,IF(Z$110=0,INDEX($F97:$N97,0,Z$108),(INDEX($F97:$N97,0,Z$110+1)-INDEX($F97:$N97,0,Z$110))/(INDEX($F$4:$N$4,0,Z$110+1)-INDEX($F$4:$N$4,0,Z$110))+Y116)))</f>
        <v>0.30885628940671145</v>
      </c>
      <c r="AA116" s="3" cm="1">
        <f t="array" ref="AA116">IF(AA$110=-1,AB116,IF(AA$110=99,X116,IF(AA$110=0,INDEX($F97:$N97,0,AA$108),(INDEX($F97:$N97,0,AA$110+1)-INDEX($F97:$N97,0,AA$110))/(INDEX($F$4:$N$4,0,AA$110+1)-INDEX($F$4:$N$4,0,AA$110))+X116)))</f>
        <v>0.3066504872439576</v>
      </c>
      <c r="AB116" s="3" cm="1">
        <f t="array" ref="AB116">IF(AB$110=-1,AC116,IF(AB$110=99,Y116,IF(AB$110=0,INDEX($F97:$N97,0,AB$108),(INDEX($F97:$N97,0,AB$110+1)-INDEX($F97:$N97,0,AB$110))/(INDEX($F$4:$N$4,0,AB$110+1)-INDEX($F$4:$N$4,0,AB$110))+Y116)))</f>
        <v>0.30885628940671145</v>
      </c>
      <c r="AC116" s="3" cm="1">
        <f t="array" ref="AC116">IF(AC$110=-1,AD116,IF(AC$110=99,Z116,IF(AC$110=0,INDEX($F97:$N97,0,AC$108),(INDEX($F97:$N97,0,AC$110+1)-INDEX($F97:$N97,0,AC$110))/(INDEX($F$4:$N$4,0,AC$110+1)-INDEX($F$4:$N$4,0,AC$110))+Z116)))</f>
        <v>0.31106209156946529</v>
      </c>
      <c r="AD116" s="3" cm="1">
        <f t="array" ref="AD116">IF(AD$110=-1,AE116,IF(AD$110=99,AC116,IF(AD$110=0,INDEX($F97:$N97,0,AD$108),(INDEX($F97:$N97,0,AD$110+1)-INDEX($F97:$N97,0,AD$110))/(INDEX($F$4:$N$4,0,AD$110+1)-INDEX($F$4:$N$4,0,AD$110))+AC116)))</f>
        <v>0.3132678937322193</v>
      </c>
      <c r="AE116" s="3" cm="1">
        <f t="array" ref="AE116">IF(AE$110=-1,AF116,IF(AE$110=99,AD116,IF(AE$110=0,INDEX($F97:$N97,0,AE$108),(INDEX($F97:$N97,0,AE$110+1)-INDEX($F97:$N97,0,AE$110))/(INDEX($F$4:$N$4,0,AE$110+1)-INDEX($F$4:$N$4,0,AE$110))+AD116)))</f>
        <v>0.32183575477359305</v>
      </c>
      <c r="AF116" s="3" cm="1">
        <f t="array" ref="AF116">IF(AF$110=-1,AG116,IF(AF$110=99,AE116,IF(AF$110=0,INDEX($F97:$N97,0,AF$108),(INDEX($F97:$N97,0,AF$110+1)-INDEX($F97:$N97,0,AF$110))/(INDEX($F$4:$N$4,0,AF$110+1)-INDEX($F$4:$N$4,0,AF$110))+AE116)))</f>
        <v>0.3304036158149668</v>
      </c>
      <c r="AG116" s="3" cm="1">
        <f t="array" ref="AG116">IF(AG$110=-1,AH116,IF(AG$110=99,AF116,IF(AG$110=0,INDEX($F97:$N97,0,AG$108),(INDEX($F97:$N97,0,AG$110+1)-INDEX($F97:$N97,0,AG$110))/(INDEX($F$4:$N$4,0,AG$110+1)-INDEX($F$4:$N$4,0,AG$110))+AF116)))</f>
        <v>0.33897147685634055</v>
      </c>
      <c r="AH116" s="3" cm="1">
        <f t="array" ref="AH116">IF(AH$110=-1,AI116,IF(AH$110=99,AG116,IF(AH$110=0,INDEX($F97:$N97,0,AH$108),(INDEX($F97:$N97,0,AH$110+1)-INDEX($F97:$N97,0,AH$110))/(INDEX($F$4:$N$4,0,AH$110+1)-INDEX($F$4:$N$4,0,AH$110))+AG116)))</f>
        <v>0.3475393378977143</v>
      </c>
      <c r="AI116" s="3" cm="1">
        <f t="array" ref="AI116">IF(AI$110=-1,AJ116,IF(AI$110=99,AH116,IF(AI$110=0,INDEX($F97:$N97,0,AI$108),(INDEX($F97:$N97,0,AI$110+1)-INDEX($F97:$N97,0,AI$110))/(INDEX($F$4:$N$4,0,AI$110+1)-INDEX($F$4:$N$4,0,AI$110))+AH116)))</f>
        <v>0.35610719893908804</v>
      </c>
      <c r="AJ116" s="3" cm="1">
        <f t="array" ref="AJ116">IF(AJ$110=-1,AK116,IF(AJ$110=99,AI116,IF(AJ$110=0,INDEX($F97:$N97,0,AJ$108),(INDEX($F97:$N97,0,AJ$110+1)-INDEX($F97:$N97,0,AJ$110))/(INDEX($F$4:$N$4,0,AJ$110+1)-INDEX($F$4:$N$4,0,AJ$110))+AI116)))</f>
        <v>0.36467505998046179</v>
      </c>
      <c r="AK116" s="3" cm="1">
        <f t="array" ref="AK116">IF(AK$110=-1,AL116,IF(AK$110=99,AJ116,IF(AK$110=0,INDEX($F97:$N97,0,AK$108),(INDEX($F97:$N97,0,AK$110+1)-INDEX($F97:$N97,0,AK$110))/(INDEX($F$4:$N$4,0,AK$110+1)-INDEX($F$4:$N$4,0,AK$110))+AJ116)))</f>
        <v>0.37324292102183554</v>
      </c>
      <c r="AL116" s="3" cm="1">
        <f t="array" ref="AL116">IF(AL$110=-1,AM116,IF(AL$110=99,AK116,IF(AL$110=0,INDEX($F97:$N97,0,AL$108),(INDEX($F97:$N97,0,AL$110+1)-INDEX($F97:$N97,0,AL$110))/(INDEX($F$4:$N$4,0,AL$110+1)-INDEX($F$4:$N$4,0,AL$110))+AK116)))</f>
        <v>0.38181078206320929</v>
      </c>
      <c r="AM116" s="3" cm="1">
        <f t="array" ref="AM116">IF(AM$110=-1,AN116,IF(AM$110=99,AL116,IF(AM$110=0,INDEX($F97:$N97,0,AM$108),(INDEX($F97:$N97,0,AM$110+1)-INDEX($F97:$N97,0,AM$110))/(INDEX($F$4:$N$4,0,AM$110+1)-INDEX($F$4:$N$4,0,AM$110))+AL116)))</f>
        <v>0.39037864310458303</v>
      </c>
      <c r="AN116" s="3" cm="1">
        <f t="array" ref="AN116">IF(AN$110=-1,AO116,IF(AN$110=99,AM116,IF(AN$110=0,INDEX($F97:$N97,0,AN$108),(INDEX($F97:$N97,0,AN$110+1)-INDEX($F97:$N97,0,AN$110))/(INDEX($F$4:$N$4,0,AN$110+1)-INDEX($F$4:$N$4,0,AN$110))+AM116)))</f>
        <v>0.39894650414595656</v>
      </c>
      <c r="AO116" s="3" cm="1">
        <f t="array" ref="AO116">IF(AO$110=-1,AP116,IF(AO$110=99,AN116,IF(AO$110=0,INDEX($F97:$N97,0,AO$108),(INDEX($F97:$N97,0,AO$110+1)-INDEX($F97:$N97,0,AO$110))/(INDEX($F$4:$N$4,0,AO$110+1)-INDEX($F$4:$N$4,0,AO$110))+AN116)))</f>
        <v>0.40970573994155979</v>
      </c>
      <c r="AP116" s="3" cm="1">
        <f t="array" ref="AP116">IF(AP$110=-1,AQ116,IF(AP$110=99,AO116,IF(AP$110=0,INDEX($F97:$N97,0,AP$108),(INDEX($F97:$N97,0,AP$110+1)-INDEX($F97:$N97,0,AP$110))/(INDEX($F$4:$N$4,0,AP$110+1)-INDEX($F$4:$N$4,0,AP$110))+AO116)))</f>
        <v>0.42046497573716302</v>
      </c>
      <c r="AQ116" s="3" cm="1">
        <f t="array" ref="AQ116">IF(AQ$110=-1,AR116,IF(AQ$110=99,AP116,IF(AQ$110=0,INDEX($F97:$N97,0,AQ$108),(INDEX($F97:$N97,0,AQ$110+1)-INDEX($F97:$N97,0,AQ$110))/(INDEX($F$4:$N$4,0,AQ$110+1)-INDEX($F$4:$N$4,0,AQ$110))+AP116)))</f>
        <v>0.43122421153276624</v>
      </c>
      <c r="AR116" s="3" cm="1">
        <f t="array" ref="AR116">IF(AR$110=-1,AS116,IF(AR$110=99,AQ116,IF(AR$110=0,INDEX($F97:$N97,0,AR$108),(INDEX($F97:$N97,0,AR$110+1)-INDEX($F97:$N97,0,AR$110))/(INDEX($F$4:$N$4,0,AR$110+1)-INDEX($F$4:$N$4,0,AR$110))+AQ116)))</f>
        <v>0.44198344732836947</v>
      </c>
      <c r="AS116" s="3" cm="1">
        <f t="array" ref="AS116">IF(AS$110=-1,AT116,IF(AS$110=99,AR116,IF(AS$110=0,INDEX($F97:$N97,0,AS$108),(INDEX($F97:$N97,0,AS$110+1)-INDEX($F97:$N97,0,AS$110))/(INDEX($F$4:$N$4,0,AS$110+1)-INDEX($F$4:$N$4,0,AS$110))+AR116)))</f>
        <v>0.4527426831239727</v>
      </c>
      <c r="AT116" s="3" cm="1">
        <f t="array" ref="AT116">IF(AT$110=-1,AU116,IF(AT$110=99,AS116,IF(AT$110=0,INDEX($F97:$N97,0,AT$108),(INDEX($F97:$N97,0,AT$110+1)-INDEX($F97:$N97,0,AT$110))/(INDEX($F$4:$N$4,0,AT$110+1)-INDEX($F$4:$N$4,0,AT$110))+AS116)))</f>
        <v>0.46350191891957593</v>
      </c>
      <c r="AU116" s="3" cm="1">
        <f t="array" ref="AU116">IF(AU$110=-1,AV116,IF(AU$110=99,AT116,IF(AU$110=0,INDEX($F97:$N97,0,AU$108),(INDEX($F97:$N97,0,AU$110+1)-INDEX($F97:$N97,0,AU$110))/(INDEX($F$4:$N$4,0,AU$110+1)-INDEX($F$4:$N$4,0,AU$110))+AT116)))</f>
        <v>0.47426115471517916</v>
      </c>
      <c r="AV116" s="3" cm="1">
        <f t="array" ref="AV116">IF(AV$110=-1,AW116,IF(AV$110=99,AU116,IF(AV$110=0,INDEX($F97:$N97,0,AV$108),(INDEX($F97:$N97,0,AV$110+1)-INDEX($F97:$N97,0,AV$110))/(INDEX($F$4:$N$4,0,AV$110+1)-INDEX($F$4:$N$4,0,AV$110))+AU116)))</f>
        <v>0.48502039051078238</v>
      </c>
      <c r="AW116" s="3" cm="1">
        <f t="array" ref="AW116">IF(AW$110=-1,AX116,IF(AW$110=99,AV116,IF(AW$110=0,INDEX($F97:$N97,0,AW$108),(INDEX($F97:$N97,0,AW$110+1)-INDEX($F97:$N97,0,AW$110))/(INDEX($F$4:$N$4,0,AW$110+1)-INDEX($F$4:$N$4,0,AW$110))+AV116)))</f>
        <v>0.49577962630638561</v>
      </c>
      <c r="AX116" s="3" cm="1">
        <f t="array" ref="AX116">IF(AX$110=-1,AY116,IF(AX$110=99,AW116,IF(AX$110=0,INDEX($F97:$N97,0,AX$108),(INDEX($F97:$N97,0,AX$110+1)-INDEX($F97:$N97,0,AX$110))/(INDEX($F$4:$N$4,0,AX$110+1)-INDEX($F$4:$N$4,0,AX$110))+AW116)))</f>
        <v>0.50653886210198873</v>
      </c>
      <c r="AY116" s="3" cm="1">
        <f t="array" ref="AY116">IF(AY$110=-1,AZ116,IF(AY$110=99,AX116,IF(AY$110=0,INDEX($F97:$N97,0,AY$108),(INDEX($F97:$N97,0,AY$110+1)-INDEX($F97:$N97,0,AY$110))/(INDEX($F$4:$N$4,0,AY$110+1)-INDEX($F$4:$N$4,0,AY$110))+AX116)))</f>
        <v>0.59857830275567625</v>
      </c>
      <c r="AZ116" s="3" cm="1">
        <f t="array" ref="AZ116">IF(AZ$110=-1,BA116,IF(AZ$110=99,AY116,IF(AZ$110=0,INDEX($F97:$N97,0,AZ$108),(INDEX($F97:$N97,0,AZ$110+1)-INDEX($F97:$N97,0,AZ$110))/(INDEX($F$4:$N$4,0,AZ$110+1)-INDEX($F$4:$N$4,0,AZ$110))+AY116)))</f>
        <v>0.61087882291306961</v>
      </c>
    </row>
    <row r="117" spans="1:52">
      <c r="A117" s="99" t="s">
        <v>16</v>
      </c>
      <c r="B117" s="15" t="str">
        <f t="shared" si="320"/>
        <v/>
      </c>
      <c r="C117" s="16" t="str">
        <f t="shared" si="321"/>
        <v/>
      </c>
      <c r="D117" s="43" t="s">
        <v>401</v>
      </c>
      <c r="E117" s="16" t="str">
        <f t="shared" si="322"/>
        <v/>
      </c>
      <c r="H117" s="16" t="str">
        <f t="shared" si="322"/>
        <v/>
      </c>
      <c r="J117" s="16" t="str">
        <f t="shared" si="322"/>
        <v/>
      </c>
      <c r="K117" s="16" t="str">
        <f t="shared" si="322"/>
        <v/>
      </c>
      <c r="L117" s="106" t="str">
        <f t="shared" si="323"/>
        <v/>
      </c>
      <c r="M117" s="3" cm="1">
        <f t="array" ref="M117">IF(M$110=-1,N117,IF(M$110=99,#REF!,IF(M$110=0,INDEX($F98:$N98,0,M$108),(INDEX($F98:$N98,0,M$110+1)-INDEX($F98:$N98,0,M$110))/(INDEX($F$4:$N$4,0,M$110+1)-INDEX($F$4:$N$4,0,M$110))+#REF!)))</f>
        <v>6.6621877646371201</v>
      </c>
      <c r="N117" s="3" cm="1">
        <f t="array" ref="N117">IF(N$110=-1,O117,IF(N$110=99,M117,IF(N$110=0,INDEX($F98:$N98,0,N$108),(INDEX($F98:$N98,0,N$110+1)-INDEX($F98:$N98,0,N$110))/(INDEX($F$4:$N$4,0,N$110+1)-INDEX($F$4:$N$4,0,N$110))+M117)))</f>
        <v>6.7819219966270463</v>
      </c>
      <c r="O117" s="3" cm="1">
        <f t="array" ref="O117">IF(O$110=-1,P117,IF(O$110=99,N117,IF(O$110=0,INDEX($F98:$N98,0,O$108),(INDEX($F98:$N98,0,O$110+1)-INDEX($F98:$N98,0,O$110))/(INDEX($F$4:$N$4,0,O$110+1)-INDEX($F$4:$N$4,0,O$110))+N117)))</f>
        <v>6.9016562286169734</v>
      </c>
      <c r="P117" s="3" cm="1">
        <f t="array" ref="P117">IF(P$110=-1,S117,IF(P$110=99,O117,IF(P$110=0,INDEX($F98:$N98,0,P$108),(INDEX($F98:$N98,0,P$110+1)-INDEX($F98:$N98,0,P$110))/(INDEX($F$4:$N$4,0,P$110+1)-INDEX($F$4:$N$4,0,P$110))+O117)))</f>
        <v>6.7116128591697501</v>
      </c>
      <c r="Q117" s="3" cm="1">
        <f t="array" ref="Q117">IF(Q$110=-1,R117,IF(Q$110=99,N117,IF(Q$110=0,INDEX($F98:$N98,0,Q$108),(INDEX($F98:$N98,0,Q$110+1)-INDEX($F98:$N98,0,Q$110))/(INDEX($F$4:$N$4,0,Q$110+1)-INDEX($F$4:$N$4,0,Q$110))+N117)))</f>
        <v>6.9016562286169734</v>
      </c>
      <c r="R117" s="3" cm="1">
        <f t="array" ref="R117">IF(R$110=-1,S117,IF(R$110=99,O117,IF(R$110=0,INDEX($F98:$N98,0,R$108),(INDEX($F98:$N98,0,R$110+1)-INDEX($F98:$N98,0,R$110))/(INDEX($F$4:$N$4,0,R$110+1)-INDEX($F$4:$N$4,0,R$110))+O117)))</f>
        <v>6.7116128591697501</v>
      </c>
      <c r="S117" s="3" cm="1">
        <f t="array" ref="S117">IF(S$110=-1,T117,IF(S$110=99,P117,IF(S$110=0,INDEX($F98:$N98,0,S$108),(INDEX($F98:$N98,0,S$110+1)-INDEX($F98:$N98,0,S$110))/(INDEX($F$4:$N$4,0,S$110+1)-INDEX($F$4:$N$4,0,S$110))+P117)))</f>
        <v>6.8240748222214735</v>
      </c>
      <c r="T117" s="3" cm="1">
        <f t="array" ref="T117">IF(T$110=-1,U117,IF(T$110=99,S117,IF(T$110=0,INDEX($F98:$N98,0,T$108),(INDEX($F98:$N98,0,T$110+1)-INDEX($F98:$N98,0,T$110))/(INDEX($F$4:$N$4,0,T$110+1)-INDEX($F$4:$N$4,0,T$110))+S117)))</f>
        <v>6.8850023780075267</v>
      </c>
      <c r="U117" s="3" cm="1">
        <f t="array" ref="U117">IF(U$110=-1,V117,IF(U$110=99,T117,IF(U$110=0,INDEX($F98:$N98,0,U$108),(INDEX($F98:$N98,0,U$110+1)-INDEX($F98:$N98,0,U$110))/(INDEX($F$4:$N$4,0,U$110+1)-INDEX($F$4:$N$4,0,U$110))+T117)))</f>
        <v>6.9459299337935798</v>
      </c>
      <c r="V117" s="3" cm="1">
        <f t="array" ref="V117">IF(V$110=-1,W117,IF(V$110=99,U117,IF(V$110=0,INDEX($F98:$N98,0,V$108),(INDEX($F98:$N98,0,V$110+1)-INDEX($F98:$N98,0,V$110))/(INDEX($F$4:$N$4,0,V$110+1)-INDEX($F$4:$N$4,0,V$110))+U117)))</f>
        <v>7.0068574895796329</v>
      </c>
      <c r="W117" s="3" cm="1">
        <f t="array" ref="W117">IF(W$110=-1,X117,IF(W$110=99,V117,IF(W$110=0,INDEX($F98:$N98,0,W$108),(INDEX($F98:$N98,0,W$110+1)-INDEX($F98:$N98,0,W$110))/(INDEX($F$4:$N$4,0,W$110+1)-INDEX($F$4:$N$4,0,W$110))+V117)))</f>
        <v>7.0677850453656861</v>
      </c>
      <c r="X117" s="3" cm="1">
        <f t="array" ref="X117">IF(X$110=-1,Y117,IF(X$110=99,W117,IF(X$110=0,INDEX($F98:$N98,0,X$108),(INDEX($F98:$N98,0,X$110+1)-INDEX($F98:$N98,0,X$110))/(INDEX($F$4:$N$4,0,X$110+1)-INDEX($F$4:$N$4,0,X$110))+W117)))</f>
        <v>7.1287126011517392</v>
      </c>
      <c r="Y117" s="3" cm="1">
        <f t="array" ref="Y117">IF(Y$110=-1,Z117,IF(Y$110=99,X117,IF(Y$110=0,INDEX($F98:$N98,0,Y$108),(INDEX($F98:$N98,0,Y$110+1)-INDEX($F98:$N98,0,Y$110))/(INDEX($F$4:$N$4,0,Y$110+1)-INDEX($F$4:$N$4,0,Y$110))+X117)))</f>
        <v>7.1896401569377923</v>
      </c>
      <c r="Z117" s="3" cm="1">
        <f t="array" ref="Z117">IF(Z$110=-1,AC117,IF(Z$110=99,Y117,IF(Z$110=0,INDEX($F98:$N98,0,Z$108),(INDEX($F98:$N98,0,Z$110+1)-INDEX($F98:$N98,0,Z$110))/(INDEX($F$4:$N$4,0,Z$110+1)-INDEX($F$4:$N$4,0,Z$110))+Y117)))</f>
        <v>7.2505677127238455</v>
      </c>
      <c r="AA117" s="3" cm="1">
        <f t="array" ref="AA117">IF(AA$110=-1,AB117,IF(AA$110=99,X117,IF(AA$110=0,INDEX($F98:$N98,0,AA$108),(INDEX($F98:$N98,0,AA$110+1)-INDEX($F98:$N98,0,AA$110))/(INDEX($F$4:$N$4,0,AA$110+1)-INDEX($F$4:$N$4,0,AA$110))+X117)))</f>
        <v>7.1896401569377923</v>
      </c>
      <c r="AB117" s="3" cm="1">
        <f t="array" ref="AB117">IF(AB$110=-1,AC117,IF(AB$110=99,Y117,IF(AB$110=0,INDEX($F98:$N98,0,AB$108),(INDEX($F98:$N98,0,AB$110+1)-INDEX($F98:$N98,0,AB$110))/(INDEX($F$4:$N$4,0,AB$110+1)-INDEX($F$4:$N$4,0,AB$110))+Y117)))</f>
        <v>7.2505677127238455</v>
      </c>
      <c r="AC117" s="3" cm="1">
        <f t="array" ref="AC117">IF(AC$110=-1,AD117,IF(AC$110=99,Z117,IF(AC$110=0,INDEX($F98:$N98,0,AC$108),(INDEX($F98:$N98,0,AC$110+1)-INDEX($F98:$N98,0,AC$110))/(INDEX($F$4:$N$4,0,AC$110+1)-INDEX($F$4:$N$4,0,AC$110))+Z117)))</f>
        <v>7.3114952685098986</v>
      </c>
      <c r="AD117" s="3" cm="1">
        <f t="array" ref="AD117">IF(AD$110=-1,AE117,IF(AD$110=99,AC117,IF(AD$110=0,INDEX($F98:$N98,0,AD$108),(INDEX($F98:$N98,0,AD$110+1)-INDEX($F98:$N98,0,AD$110))/(INDEX($F$4:$N$4,0,AD$110+1)-INDEX($F$4:$N$4,0,AD$110))+AC117)))</f>
        <v>7.3724228242959535</v>
      </c>
      <c r="AE117" s="3" cm="1">
        <f t="array" ref="AE117">IF(AE$110=-1,AF117,IF(AE$110=99,AD117,IF(AE$110=0,INDEX($F98:$N98,0,AE$108),(INDEX($F98:$N98,0,AE$110+1)-INDEX($F98:$N98,0,AE$110))/(INDEX($F$4:$N$4,0,AE$110+1)-INDEX($F$4:$N$4,0,AE$110))+AD117)))</f>
        <v>7.5271143317954401</v>
      </c>
      <c r="AF117" s="3" cm="1">
        <f t="array" ref="AF117">IF(AF$110=-1,AG117,IF(AF$110=99,AE117,IF(AF$110=0,INDEX($F98:$N98,0,AF$108),(INDEX($F98:$N98,0,AF$110+1)-INDEX($F98:$N98,0,AF$110))/(INDEX($F$4:$N$4,0,AF$110+1)-INDEX($F$4:$N$4,0,AF$110))+AE117)))</f>
        <v>7.6818058392949267</v>
      </c>
      <c r="AG117" s="3" cm="1">
        <f t="array" ref="AG117">IF(AG$110=-1,AH117,IF(AG$110=99,AF117,IF(AG$110=0,INDEX($F98:$N98,0,AG$108),(INDEX($F98:$N98,0,AG$110+1)-INDEX($F98:$N98,0,AG$110))/(INDEX($F$4:$N$4,0,AG$110+1)-INDEX($F$4:$N$4,0,AG$110))+AF117)))</f>
        <v>7.8364973467944132</v>
      </c>
      <c r="AH117" s="3" cm="1">
        <f t="array" ref="AH117">IF(AH$110=-1,AI117,IF(AH$110=99,AG117,IF(AH$110=0,INDEX($F98:$N98,0,AH$108),(INDEX($F98:$N98,0,AH$110+1)-INDEX($F98:$N98,0,AH$110))/(INDEX($F$4:$N$4,0,AH$110+1)-INDEX($F$4:$N$4,0,AH$110))+AG117)))</f>
        <v>7.9911888542938998</v>
      </c>
      <c r="AI117" s="3" cm="1">
        <f t="array" ref="AI117">IF(AI$110=-1,AJ117,IF(AI$110=99,AH117,IF(AI$110=0,INDEX($F98:$N98,0,AI$108),(INDEX($F98:$N98,0,AI$110+1)-INDEX($F98:$N98,0,AI$110))/(INDEX($F$4:$N$4,0,AI$110+1)-INDEX($F$4:$N$4,0,AI$110))+AH117)))</f>
        <v>8.1458803617933864</v>
      </c>
      <c r="AJ117" s="3" cm="1">
        <f t="array" ref="AJ117">IF(AJ$110=-1,AK117,IF(AJ$110=99,AI117,IF(AJ$110=0,INDEX($F98:$N98,0,AJ$108),(INDEX($F98:$N98,0,AJ$110+1)-INDEX($F98:$N98,0,AJ$110))/(INDEX($F$4:$N$4,0,AJ$110+1)-INDEX($F$4:$N$4,0,AJ$110))+AI117)))</f>
        <v>8.3005718692928738</v>
      </c>
      <c r="AK117" s="3" cm="1">
        <f t="array" ref="AK117">IF(AK$110=-1,AL117,IF(AK$110=99,AJ117,IF(AK$110=0,INDEX($F98:$N98,0,AK$108),(INDEX($F98:$N98,0,AK$110+1)-INDEX($F98:$N98,0,AK$110))/(INDEX($F$4:$N$4,0,AK$110+1)-INDEX($F$4:$N$4,0,AK$110))+AJ117)))</f>
        <v>8.4552633767923613</v>
      </c>
      <c r="AL117" s="3" cm="1">
        <f t="array" ref="AL117">IF(AL$110=-1,AM117,IF(AL$110=99,AK117,IF(AL$110=0,INDEX($F98:$N98,0,AL$108),(INDEX($F98:$N98,0,AL$110+1)-INDEX($F98:$N98,0,AL$110))/(INDEX($F$4:$N$4,0,AL$110+1)-INDEX($F$4:$N$4,0,AL$110))+AK117)))</f>
        <v>8.6099548842918487</v>
      </c>
      <c r="AM117" s="3" cm="1">
        <f t="array" ref="AM117">IF(AM$110=-1,AN117,IF(AM$110=99,AL117,IF(AM$110=0,INDEX($F98:$N98,0,AM$108),(INDEX($F98:$N98,0,AM$110+1)-INDEX($F98:$N98,0,AM$110))/(INDEX($F$4:$N$4,0,AM$110+1)-INDEX($F$4:$N$4,0,AM$110))+AL117)))</f>
        <v>8.7646463917913362</v>
      </c>
      <c r="AN117" s="3" cm="1">
        <f t="array" ref="AN117">IF(AN$110=-1,AO117,IF(AN$110=99,AM117,IF(AN$110=0,INDEX($F98:$N98,0,AN$108),(INDEX($F98:$N98,0,AN$110+1)-INDEX($F98:$N98,0,AN$110))/(INDEX($F$4:$N$4,0,AN$110+1)-INDEX($F$4:$N$4,0,AN$110))+AM117)))</f>
        <v>8.9193378992908219</v>
      </c>
      <c r="AO117" s="3" cm="1">
        <f t="array" ref="AO117">IF(AO$110=-1,AP117,IF(AO$110=99,AN117,IF(AO$110=0,INDEX($F98:$N98,0,AO$108),(INDEX($F98:$N98,0,AO$110+1)-INDEX($F98:$N98,0,AO$110))/(INDEX($F$4:$N$4,0,AO$110+1)-INDEX($F$4:$N$4,0,AO$110))+AN117)))</f>
        <v>9.1598845856305537</v>
      </c>
      <c r="AP117" s="3" cm="1">
        <f t="array" ref="AP117">IF(AP$110=-1,AQ117,IF(AP$110=99,AO117,IF(AP$110=0,INDEX($F98:$N98,0,AP$108),(INDEX($F98:$N98,0,AP$110+1)-INDEX($F98:$N98,0,AP$110))/(INDEX($F$4:$N$4,0,AP$110+1)-INDEX($F$4:$N$4,0,AP$110))+AO117)))</f>
        <v>9.4004312719702856</v>
      </c>
      <c r="AQ117" s="3" cm="1">
        <f t="array" ref="AQ117">IF(AQ$110=-1,AR117,IF(AQ$110=99,AP117,IF(AQ$110=0,INDEX($F98:$N98,0,AQ$108),(INDEX($F98:$N98,0,AQ$110+1)-INDEX($F98:$N98,0,AQ$110))/(INDEX($F$4:$N$4,0,AQ$110+1)-INDEX($F$4:$N$4,0,AQ$110))+AP117)))</f>
        <v>9.6409779583100175</v>
      </c>
      <c r="AR117" s="3" cm="1">
        <f t="array" ref="AR117">IF(AR$110=-1,AS117,IF(AR$110=99,AQ117,IF(AR$110=0,INDEX($F98:$N98,0,AR$108),(INDEX($F98:$N98,0,AR$110+1)-INDEX($F98:$N98,0,AR$110))/(INDEX($F$4:$N$4,0,AR$110+1)-INDEX($F$4:$N$4,0,AR$110))+AQ117)))</f>
        <v>9.8815246446497493</v>
      </c>
      <c r="AS117" s="3" cm="1">
        <f t="array" ref="AS117">IF(AS$110=-1,AT117,IF(AS$110=99,AR117,IF(AS$110=0,INDEX($F98:$N98,0,AS$108),(INDEX($F98:$N98,0,AS$110+1)-INDEX($F98:$N98,0,AS$110))/(INDEX($F$4:$N$4,0,AS$110+1)-INDEX($F$4:$N$4,0,AS$110))+AR117)))</f>
        <v>10.122071330989481</v>
      </c>
      <c r="AT117" s="3" cm="1">
        <f t="array" ref="AT117">IF(AT$110=-1,AU117,IF(AT$110=99,AS117,IF(AT$110=0,INDEX($F98:$N98,0,AT$108),(INDEX($F98:$N98,0,AT$110+1)-INDEX($F98:$N98,0,AT$110))/(INDEX($F$4:$N$4,0,AT$110+1)-INDEX($F$4:$N$4,0,AT$110))+AS117)))</f>
        <v>10.362618017329213</v>
      </c>
      <c r="AU117" s="3" cm="1">
        <f t="array" ref="AU117">IF(AU$110=-1,AV117,IF(AU$110=99,AT117,IF(AU$110=0,INDEX($F98:$N98,0,AU$108),(INDEX($F98:$N98,0,AU$110+1)-INDEX($F98:$N98,0,AU$110))/(INDEX($F$4:$N$4,0,AU$110+1)-INDEX($F$4:$N$4,0,AU$110))+AT117)))</f>
        <v>10.603164703668945</v>
      </c>
      <c r="AV117" s="3" cm="1">
        <f t="array" ref="AV117">IF(AV$110=-1,AW117,IF(AV$110=99,AU117,IF(AV$110=0,INDEX($F98:$N98,0,AV$108),(INDEX($F98:$N98,0,AV$110+1)-INDEX($F98:$N98,0,AV$110))/(INDEX($F$4:$N$4,0,AV$110+1)-INDEX($F$4:$N$4,0,AV$110))+AU117)))</f>
        <v>10.843711390008677</v>
      </c>
      <c r="AW117" s="3" cm="1">
        <f t="array" ref="AW117">IF(AW$110=-1,AX117,IF(AW$110=99,AV117,IF(AW$110=0,INDEX($F98:$N98,0,AW$108),(INDEX($F98:$N98,0,AW$110+1)-INDEX($F98:$N98,0,AW$110))/(INDEX($F$4:$N$4,0,AW$110+1)-INDEX($F$4:$N$4,0,AW$110))+AV117)))</f>
        <v>11.084258076348409</v>
      </c>
      <c r="AX117" s="3" cm="1">
        <f t="array" ref="AX117">IF(AX$110=-1,AY117,IF(AX$110=99,AW117,IF(AX$110=0,INDEX($F98:$N98,0,AX$108),(INDEX($F98:$N98,0,AX$110+1)-INDEX($F98:$N98,0,AX$110))/(INDEX($F$4:$N$4,0,AX$110+1)-INDEX($F$4:$N$4,0,AX$110))+AW117)))</f>
        <v>11.324804762688142</v>
      </c>
      <c r="AY117" s="3" cm="1">
        <f t="array" ref="AY117">IF(AY$110=-1,AZ117,IF(AY$110=99,AX117,IF(AY$110=0,INDEX($F98:$N98,0,AY$108),(INDEX($F98:$N98,0,AY$110+1)-INDEX($F98:$N98,0,AY$110))/(INDEX($F$4:$N$4,0,AY$110+1)-INDEX($F$4:$N$4,0,AY$110))+AX117)))</f>
        <v>13.382551509985426</v>
      </c>
      <c r="AZ117" s="3" cm="1">
        <f t="array" ref="AZ117">IF(AZ$110=-1,BA117,IF(AZ$110=99,AY117,IF(AZ$110=0,INDEX($F98:$N98,0,AZ$108),(INDEX($F98:$N98,0,AZ$110+1)-INDEX($F98:$N98,0,AZ$110))/(INDEX($F$4:$N$4,0,AZ$110+1)-INDEX($F$4:$N$4,0,AZ$110))+AY117)))</f>
        <v>13.657557042007054</v>
      </c>
    </row>
    <row r="118" spans="1:52">
      <c r="A118" s="99" t="s">
        <v>16</v>
      </c>
      <c r="B118" s="15" t="str">
        <f t="shared" si="320"/>
        <v/>
      </c>
      <c r="C118" s="16" t="str">
        <f t="shared" si="321"/>
        <v/>
      </c>
      <c r="D118" s="43" t="s">
        <v>402</v>
      </c>
      <c r="E118" s="16" t="str">
        <f t="shared" si="322"/>
        <v/>
      </c>
      <c r="H118" s="16" t="str">
        <f t="shared" si="322"/>
        <v/>
      </c>
      <c r="J118" s="16" t="str">
        <f t="shared" si="322"/>
        <v/>
      </c>
      <c r="K118" s="16" t="str">
        <f t="shared" si="322"/>
        <v/>
      </c>
      <c r="L118" s="106" t="str">
        <f t="shared" si="323"/>
        <v/>
      </c>
      <c r="M118" s="3" cm="1">
        <f t="array" ref="M118">IF(M$110=-1,N118,IF(M$110=99,#REF!,IF(M$110=0,INDEX($F99:$N99,0,M$108),(INDEX($F99:$N99,0,M$110+1)-INDEX($F99:$N99,0,M$110))/(INDEX($F$4:$N$4,0,M$110+1)-INDEX($F$4:$N$4,0,M$110))+#REF!)))</f>
        <v>2.2261566306639899</v>
      </c>
      <c r="N118" s="3" cm="1">
        <f t="array" ref="N118">IF(N$110=-1,O118,IF(N$110=99,M118,IF(N$110=0,INDEX($F99:$N99,0,N$108),(INDEX($F99:$N99,0,N$110+1)-INDEX($F99:$N99,0,N$110))/(INDEX($F$4:$N$4,0,N$110+1)-INDEX($F$4:$N$4,0,N$110))+M118)))</f>
        <v>2.2400116999821158</v>
      </c>
      <c r="O118" s="3" cm="1">
        <f t="array" ref="O118">IF(O$110=-1,P118,IF(O$110=99,N118,IF(O$110=0,INDEX($F99:$N99,0,O$108),(INDEX($F99:$N99,0,O$110+1)-INDEX($F99:$N99,0,O$110))/(INDEX($F$4:$N$4,0,O$110+1)-INDEX($F$4:$N$4,0,O$110))+N118)))</f>
        <v>2.2538667693002417</v>
      </c>
      <c r="P118" s="3" cm="1">
        <f t="array" ref="P118">IF(P$110=-1,S118,IF(P$110=99,O118,IF(P$110=0,INDEX($F99:$N99,0,P$108),(INDEX($F99:$N99,0,P$110+1)-INDEX($F99:$N99,0,P$110))/(INDEX($F$4:$N$4,0,P$110+1)-INDEX($F$4:$N$4,0,P$110))+O118)))</f>
        <v>2.1701034671189854</v>
      </c>
      <c r="Q118" s="3" cm="1">
        <f t="array" ref="Q118">IF(Q$110=-1,R118,IF(Q$110=99,N118,IF(Q$110=0,INDEX($F99:$N99,0,Q$108),(INDEX($F99:$N99,0,Q$110+1)-INDEX($F99:$N99,0,Q$110))/(INDEX($F$4:$N$4,0,Q$110+1)-INDEX($F$4:$N$4,0,Q$110))+N118)))</f>
        <v>2.2538667693002417</v>
      </c>
      <c r="R118" s="3" cm="1">
        <f t="array" ref="R118">IF(R$110=-1,S118,IF(R$110=99,O118,IF(R$110=0,INDEX($F99:$N99,0,R$108),(INDEX($F99:$N99,0,R$110+1)-INDEX($F99:$N99,0,R$110))/(INDEX($F$4:$N$4,0,R$110+1)-INDEX($F$4:$N$4,0,R$110))+O118)))</f>
        <v>2.1701034671189854</v>
      </c>
      <c r="S118" s="3" cm="1">
        <f t="array" ref="S118">IF(S$110=-1,T118,IF(S$110=99,P118,IF(S$110=0,INDEX($F99:$N99,0,S$108),(INDEX($F99:$N99,0,S$110+1)-INDEX($F99:$N99,0,S$110))/(INDEX($F$4:$N$4,0,S$110+1)-INDEX($F$4:$N$4,0,S$110))+P118)))</f>
        <v>2.1919977927383534</v>
      </c>
      <c r="T118" s="3" cm="1">
        <f t="array" ref="T118">IF(T$110=-1,U118,IF(T$110=99,S118,IF(T$110=0,INDEX($F99:$N99,0,T$108),(INDEX($F99:$N99,0,T$110+1)-INDEX($F99:$N99,0,T$110))/(INDEX($F$4:$N$4,0,T$110+1)-INDEX($F$4:$N$4,0,T$110))+S118)))</f>
        <v>2.2084765084172129</v>
      </c>
      <c r="U118" s="3" cm="1">
        <f t="array" ref="U118">IF(U$110=-1,V118,IF(U$110=99,T118,IF(U$110=0,INDEX($F99:$N99,0,U$108),(INDEX($F99:$N99,0,U$110+1)-INDEX($F99:$N99,0,U$110))/(INDEX($F$4:$N$4,0,U$110+1)-INDEX($F$4:$N$4,0,U$110))+T118)))</f>
        <v>2.2249552240960724</v>
      </c>
      <c r="V118" s="3" cm="1">
        <f t="array" ref="V118">IF(V$110=-1,W118,IF(V$110=99,U118,IF(V$110=0,INDEX($F99:$N99,0,V$108),(INDEX($F99:$N99,0,V$110+1)-INDEX($F99:$N99,0,V$110))/(INDEX($F$4:$N$4,0,V$110+1)-INDEX($F$4:$N$4,0,V$110))+U118)))</f>
        <v>2.2414339397749319</v>
      </c>
      <c r="W118" s="3" cm="1">
        <f t="array" ref="W118">IF(W$110=-1,X118,IF(W$110=99,V118,IF(W$110=0,INDEX($F99:$N99,0,W$108),(INDEX($F99:$N99,0,W$110+1)-INDEX($F99:$N99,0,W$110))/(INDEX($F$4:$N$4,0,W$110+1)-INDEX($F$4:$N$4,0,W$110))+V118)))</f>
        <v>2.2579126554537914</v>
      </c>
      <c r="X118" s="3" cm="1">
        <f t="array" ref="X118">IF(X$110=-1,Y118,IF(X$110=99,W118,IF(X$110=0,INDEX($F99:$N99,0,X$108),(INDEX($F99:$N99,0,X$110+1)-INDEX($F99:$N99,0,X$110))/(INDEX($F$4:$N$4,0,X$110+1)-INDEX($F$4:$N$4,0,X$110))+W118)))</f>
        <v>2.2743913711326509</v>
      </c>
      <c r="Y118" s="3" cm="1">
        <f t="array" ref="Y118">IF(Y$110=-1,Z118,IF(Y$110=99,X118,IF(Y$110=0,INDEX($F99:$N99,0,Y$108),(INDEX($F99:$N99,0,Y$110+1)-INDEX($F99:$N99,0,Y$110))/(INDEX($F$4:$N$4,0,Y$110+1)-INDEX($F$4:$N$4,0,Y$110))+X118)))</f>
        <v>2.2908700868115104</v>
      </c>
      <c r="Z118" s="3" cm="1">
        <f t="array" ref="Z118">IF(Z$110=-1,AC118,IF(Z$110=99,Y118,IF(Z$110=0,INDEX($F99:$N99,0,Z$108),(INDEX($F99:$N99,0,Z$110+1)-INDEX($F99:$N99,0,Z$110))/(INDEX($F$4:$N$4,0,Z$110+1)-INDEX($F$4:$N$4,0,Z$110))+Y118)))</f>
        <v>2.3073488024903699</v>
      </c>
      <c r="AA118" s="3" cm="1">
        <f t="array" ref="AA118">IF(AA$110=-1,AB118,IF(AA$110=99,X118,IF(AA$110=0,INDEX($F99:$N99,0,AA$108),(INDEX($F99:$N99,0,AA$110+1)-INDEX($F99:$N99,0,AA$110))/(INDEX($F$4:$N$4,0,AA$110+1)-INDEX($F$4:$N$4,0,AA$110))+X118)))</f>
        <v>2.2908700868115104</v>
      </c>
      <c r="AB118" s="3" cm="1">
        <f t="array" ref="AB118">IF(AB$110=-1,AC118,IF(AB$110=99,Y118,IF(AB$110=0,INDEX($F99:$N99,0,AB$108),(INDEX($F99:$N99,0,AB$110+1)-INDEX($F99:$N99,0,AB$110))/(INDEX($F$4:$N$4,0,AB$110+1)-INDEX($F$4:$N$4,0,AB$110))+Y118)))</f>
        <v>2.3073488024903699</v>
      </c>
      <c r="AC118" s="3" cm="1">
        <f t="array" ref="AC118">IF(AC$110=-1,AD118,IF(AC$110=99,Z118,IF(AC$110=0,INDEX($F99:$N99,0,AC$108),(INDEX($F99:$N99,0,AC$110+1)-INDEX($F99:$N99,0,AC$110))/(INDEX($F$4:$N$4,0,AC$110+1)-INDEX($F$4:$N$4,0,AC$110))+Z118)))</f>
        <v>2.3238275181692294</v>
      </c>
      <c r="AD118" s="3" cm="1">
        <f t="array" ref="AD118">IF(AD$110=-1,AE118,IF(AD$110=99,AC118,IF(AD$110=0,INDEX($F99:$N99,0,AD$108),(INDEX($F99:$N99,0,AD$110+1)-INDEX($F99:$N99,0,AD$110))/(INDEX($F$4:$N$4,0,AD$110+1)-INDEX($F$4:$N$4,0,AD$110))+AC118)))</f>
        <v>2.3403062338480902</v>
      </c>
      <c r="AE118" s="3" cm="1">
        <f t="array" ref="AE118">IF(AE$110=-1,AF118,IF(AE$110=99,AD118,IF(AE$110=0,INDEX($F99:$N99,0,AE$108),(INDEX($F99:$N99,0,AE$110+1)-INDEX($F99:$N99,0,AE$110))/(INDEX($F$4:$N$4,0,AE$110+1)-INDEX($F$4:$N$4,0,AE$110))+AD118)))</f>
        <v>2.4043134909180122</v>
      </c>
      <c r="AF118" s="3" cm="1">
        <f t="array" ref="AF118">IF(AF$110=-1,AG118,IF(AF$110=99,AE118,IF(AF$110=0,INDEX($F99:$N99,0,AF$108),(INDEX($F99:$N99,0,AF$110+1)-INDEX($F99:$N99,0,AF$110))/(INDEX($F$4:$N$4,0,AF$110+1)-INDEX($F$4:$N$4,0,AF$110))+AE118)))</f>
        <v>2.4683207479879341</v>
      </c>
      <c r="AG118" s="3" cm="1">
        <f t="array" ref="AG118">IF(AG$110=-1,AH118,IF(AG$110=99,AF118,IF(AG$110=0,INDEX($F99:$N99,0,AG$108),(INDEX($F99:$N99,0,AG$110+1)-INDEX($F99:$N99,0,AG$110))/(INDEX($F$4:$N$4,0,AG$110+1)-INDEX($F$4:$N$4,0,AG$110))+AF118)))</f>
        <v>2.532328005057856</v>
      </c>
      <c r="AH118" s="3" cm="1">
        <f t="array" ref="AH118">IF(AH$110=-1,AI118,IF(AH$110=99,AG118,IF(AH$110=0,INDEX($F99:$N99,0,AH$108),(INDEX($F99:$N99,0,AH$110+1)-INDEX($F99:$N99,0,AH$110))/(INDEX($F$4:$N$4,0,AH$110+1)-INDEX($F$4:$N$4,0,AH$110))+AG118)))</f>
        <v>2.596335262127778</v>
      </c>
      <c r="AI118" s="3" cm="1">
        <f t="array" ref="AI118">IF(AI$110=-1,AJ118,IF(AI$110=99,AH118,IF(AI$110=0,INDEX($F99:$N99,0,AI$108),(INDEX($F99:$N99,0,AI$110+1)-INDEX($F99:$N99,0,AI$110))/(INDEX($F$4:$N$4,0,AI$110+1)-INDEX($F$4:$N$4,0,AI$110))+AH118)))</f>
        <v>2.6603425191976999</v>
      </c>
      <c r="AJ118" s="3" cm="1">
        <f t="array" ref="AJ118">IF(AJ$110=-1,AK118,IF(AJ$110=99,AI118,IF(AJ$110=0,INDEX($F99:$N99,0,AJ$108),(INDEX($F99:$N99,0,AJ$110+1)-INDEX($F99:$N99,0,AJ$110))/(INDEX($F$4:$N$4,0,AJ$110+1)-INDEX($F$4:$N$4,0,AJ$110))+AI118)))</f>
        <v>2.7243497762676219</v>
      </c>
      <c r="AK118" s="3" cm="1">
        <f t="array" ref="AK118">IF(AK$110=-1,AL118,IF(AK$110=99,AJ118,IF(AK$110=0,INDEX($F99:$N99,0,AK$108),(INDEX($F99:$N99,0,AK$110+1)-INDEX($F99:$N99,0,AK$110))/(INDEX($F$4:$N$4,0,AK$110+1)-INDEX($F$4:$N$4,0,AK$110))+AJ118)))</f>
        <v>2.7883570333375438</v>
      </c>
      <c r="AL118" s="3" cm="1">
        <f t="array" ref="AL118">IF(AL$110=-1,AM118,IF(AL$110=99,AK118,IF(AL$110=0,INDEX($F99:$N99,0,AL$108),(INDEX($F99:$N99,0,AL$110+1)-INDEX($F99:$N99,0,AL$110))/(INDEX($F$4:$N$4,0,AL$110+1)-INDEX($F$4:$N$4,0,AL$110))+AK118)))</f>
        <v>2.8523642904074658</v>
      </c>
      <c r="AM118" s="3" cm="1">
        <f t="array" ref="AM118">IF(AM$110=-1,AN118,IF(AM$110=99,AL118,IF(AM$110=0,INDEX($F99:$N99,0,AM$108),(INDEX($F99:$N99,0,AM$110+1)-INDEX($F99:$N99,0,AM$110))/(INDEX($F$4:$N$4,0,AM$110+1)-INDEX($F$4:$N$4,0,AM$110))+AL118)))</f>
        <v>2.9163715474773877</v>
      </c>
      <c r="AN118" s="3" cm="1">
        <f t="array" ref="AN118">IF(AN$110=-1,AO118,IF(AN$110=99,AM118,IF(AN$110=0,INDEX($F99:$N99,0,AN$108),(INDEX($F99:$N99,0,AN$110+1)-INDEX($F99:$N99,0,AN$110))/(INDEX($F$4:$N$4,0,AN$110+1)-INDEX($F$4:$N$4,0,AN$110))+AM118)))</f>
        <v>2.9803788045473083</v>
      </c>
      <c r="AO118" s="3" cm="1">
        <f t="array" ref="AO118">IF(AO$110=-1,AP118,IF(AO$110=99,AN118,IF(AO$110=0,INDEX($F99:$N99,0,AO$108),(INDEX($F99:$N99,0,AO$110+1)-INDEX($F99:$N99,0,AO$110))/(INDEX($F$4:$N$4,0,AO$110+1)-INDEX($F$4:$N$4,0,AO$110))+AN118)))</f>
        <v>3.0607569955706611</v>
      </c>
      <c r="AP118" s="3" cm="1">
        <f t="array" ref="AP118">IF(AP$110=-1,AQ118,IF(AP$110=99,AO118,IF(AP$110=0,INDEX($F99:$N99,0,AP$108),(INDEX($F99:$N99,0,AP$110+1)-INDEX($F99:$N99,0,AP$110))/(INDEX($F$4:$N$4,0,AP$110+1)-INDEX($F$4:$N$4,0,AP$110))+AO118)))</f>
        <v>3.1411351865940138</v>
      </c>
      <c r="AQ118" s="3" cm="1">
        <f t="array" ref="AQ118">IF(AQ$110=-1,AR118,IF(AQ$110=99,AP118,IF(AQ$110=0,INDEX($F99:$N99,0,AQ$108),(INDEX($F99:$N99,0,AQ$110+1)-INDEX($F99:$N99,0,AQ$110))/(INDEX($F$4:$N$4,0,AQ$110+1)-INDEX($F$4:$N$4,0,AQ$110))+AP118)))</f>
        <v>3.2215133776173666</v>
      </c>
      <c r="AR118" s="3" cm="1">
        <f t="array" ref="AR118">IF(AR$110=-1,AS118,IF(AR$110=99,AQ118,IF(AR$110=0,INDEX($F99:$N99,0,AR$108),(INDEX($F99:$N99,0,AR$110+1)-INDEX($F99:$N99,0,AR$110))/(INDEX($F$4:$N$4,0,AR$110+1)-INDEX($F$4:$N$4,0,AR$110))+AQ118)))</f>
        <v>3.3018915686407193</v>
      </c>
      <c r="AS118" s="3" cm="1">
        <f t="array" ref="AS118">IF(AS$110=-1,AT118,IF(AS$110=99,AR118,IF(AS$110=0,INDEX($F99:$N99,0,AS$108),(INDEX($F99:$N99,0,AS$110+1)-INDEX($F99:$N99,0,AS$110))/(INDEX($F$4:$N$4,0,AS$110+1)-INDEX($F$4:$N$4,0,AS$110))+AR118)))</f>
        <v>3.3822697596640721</v>
      </c>
      <c r="AT118" s="3" cm="1">
        <f t="array" ref="AT118">IF(AT$110=-1,AU118,IF(AT$110=99,AS118,IF(AT$110=0,INDEX($F99:$N99,0,AT$108),(INDEX($F99:$N99,0,AT$110+1)-INDEX($F99:$N99,0,AT$110))/(INDEX($F$4:$N$4,0,AT$110+1)-INDEX($F$4:$N$4,0,AT$110))+AS118)))</f>
        <v>3.4626479506874248</v>
      </c>
      <c r="AU118" s="3" cm="1">
        <f t="array" ref="AU118">IF(AU$110=-1,AV118,IF(AU$110=99,AT118,IF(AU$110=0,INDEX($F99:$N99,0,AU$108),(INDEX($F99:$N99,0,AU$110+1)-INDEX($F99:$N99,0,AU$110))/(INDEX($F$4:$N$4,0,AU$110+1)-INDEX($F$4:$N$4,0,AU$110))+AT118)))</f>
        <v>3.5430261417107776</v>
      </c>
      <c r="AV118" s="3" cm="1">
        <f t="array" ref="AV118">IF(AV$110=-1,AW118,IF(AV$110=99,AU118,IF(AV$110=0,INDEX($F99:$N99,0,AV$108),(INDEX($F99:$N99,0,AV$110+1)-INDEX($F99:$N99,0,AV$110))/(INDEX($F$4:$N$4,0,AV$110+1)-INDEX($F$4:$N$4,0,AV$110))+AU118)))</f>
        <v>3.6234043327341303</v>
      </c>
      <c r="AW118" s="3" cm="1">
        <f t="array" ref="AW118">IF(AW$110=-1,AX118,IF(AW$110=99,AV118,IF(AW$110=0,INDEX($F99:$N99,0,AW$108),(INDEX($F99:$N99,0,AW$110+1)-INDEX($F99:$N99,0,AW$110))/(INDEX($F$4:$N$4,0,AW$110+1)-INDEX($F$4:$N$4,0,AW$110))+AV118)))</f>
        <v>3.7037825237574831</v>
      </c>
      <c r="AX118" s="3" cm="1">
        <f t="array" ref="AX118">IF(AX$110=-1,AY118,IF(AX$110=99,AW118,IF(AX$110=0,INDEX($F99:$N99,0,AX$108),(INDEX($F99:$N99,0,AX$110+1)-INDEX($F99:$N99,0,AX$110))/(INDEX($F$4:$N$4,0,AX$110+1)-INDEX($F$4:$N$4,0,AX$110))+AW118)))</f>
        <v>3.7841607147808358</v>
      </c>
      <c r="AY118" s="3" cm="1">
        <f t="array" ref="AY118">IF(AY$110=-1,AZ118,IF(AY$110=99,AX118,IF(AY$110=0,INDEX($F99:$N99,0,AY$108),(INDEX($F99:$N99,0,AY$110+1)-INDEX($F99:$N99,0,AY$110))/(INDEX($F$4:$N$4,0,AY$110+1)-INDEX($F$4:$N$4,0,AY$110))+AX118)))</f>
        <v>4.4717526481751984</v>
      </c>
      <c r="AZ118" s="3" cm="1">
        <f t="array" ref="AZ118">IF(AZ$110=-1,BA118,IF(AZ$110=99,AY118,IF(AZ$110=0,INDEX($F99:$N99,0,AZ$108),(INDEX($F99:$N99,0,AZ$110+1)-INDEX($F99:$N99,0,AZ$110))/(INDEX($F$4:$N$4,0,AZ$110+1)-INDEX($F$4:$N$4,0,AZ$110))+AY118)))</f>
        <v>4.5636451931179902</v>
      </c>
    </row>
    <row r="119" spans="1:52">
      <c r="A119" s="99" t="s">
        <v>16</v>
      </c>
      <c r="B119" s="15" t="str">
        <f t="shared" si="320"/>
        <v/>
      </c>
      <c r="C119" s="16" t="str">
        <f t="shared" si="321"/>
        <v/>
      </c>
      <c r="D119" s="43" t="s">
        <v>403</v>
      </c>
      <c r="E119" s="16" t="str">
        <f t="shared" si="322"/>
        <v/>
      </c>
      <c r="H119" s="16" t="str">
        <f t="shared" si="322"/>
        <v/>
      </c>
      <c r="J119" s="16" t="str">
        <f t="shared" si="322"/>
        <v/>
      </c>
      <c r="K119" s="16" t="str">
        <f t="shared" si="322"/>
        <v/>
      </c>
      <c r="L119" s="106" t="str">
        <f t="shared" si="323"/>
        <v/>
      </c>
      <c r="M119" s="3" cm="1">
        <f t="array" ref="M119">IF(M$110=-1,N119,IF(M$110=99,#REF!,IF(M$110=0,INDEX($F100:$N100,0,M$108),(INDEX($F100:$N100,0,M$110+1)-INDEX($F100:$N100,0,M$110))/(INDEX($F$4:$N$4,0,M$110+1)-INDEX($F$4:$N$4,0,M$110))+#REF!)))</f>
        <v>0.122213678849837</v>
      </c>
      <c r="N119" s="3" cm="1">
        <f t="array" ref="N119">IF(N$110=-1,O119,IF(N$110=99,M119,IF(N$110=0,INDEX($F100:$N100,0,N$108),(INDEX($F100:$N100,0,N$110+1)-INDEX($F100:$N100,0,N$110))/(INDEX($F$4:$N$4,0,N$110+1)-INDEX($F$4:$N$4,0,N$110))+M119)))</f>
        <v>0.12297430771519344</v>
      </c>
      <c r="O119" s="3" cm="1">
        <f t="array" ref="O119">IF(O$110=-1,P119,IF(O$110=99,N119,IF(O$110=0,INDEX($F100:$N100,0,O$108),(INDEX($F100:$N100,0,O$110+1)-INDEX($F100:$N100,0,O$110))/(INDEX($F$4:$N$4,0,O$110+1)-INDEX($F$4:$N$4,0,O$110))+N119)))</f>
        <v>0.12373493658054988</v>
      </c>
      <c r="P119" s="3" cm="1">
        <f t="array" ref="P119">IF(P$110=-1,S119,IF(P$110=99,O119,IF(P$110=0,INDEX($F100:$N100,0,P$108),(INDEX($F100:$N100,0,P$110+1)-INDEX($F100:$N100,0,P$110))/(INDEX($F$4:$N$4,0,P$110+1)-INDEX($F$4:$N$4,0,P$110))+O119)))</f>
        <v>0.11913641859166579</v>
      </c>
      <c r="Q119" s="3" cm="1">
        <f t="array" ref="Q119">IF(Q$110=-1,R119,IF(Q$110=99,N119,IF(Q$110=0,INDEX($F100:$N100,0,Q$108),(INDEX($F100:$N100,0,Q$110+1)-INDEX($F100:$N100,0,Q$110))/(INDEX($F$4:$N$4,0,Q$110+1)-INDEX($F$4:$N$4,0,Q$110))+N119)))</f>
        <v>0.12373493658054988</v>
      </c>
      <c r="R119" s="3" cm="1">
        <f t="array" ref="R119">IF(R$110=-1,S119,IF(R$110=99,O119,IF(R$110=0,INDEX($F100:$N100,0,R$108),(INDEX($F100:$N100,0,R$110+1)-INDEX($F100:$N100,0,R$110))/(INDEX($F$4:$N$4,0,R$110+1)-INDEX($F$4:$N$4,0,R$110))+O119)))</f>
        <v>0.11913641859166579</v>
      </c>
      <c r="S119" s="3" cm="1">
        <f t="array" ref="S119">IF(S$110=-1,T119,IF(S$110=99,P119,IF(S$110=0,INDEX($F100:$N100,0,S$108),(INDEX($F100:$N100,0,S$110+1)-INDEX($F100:$N100,0,S$110))/(INDEX($F$4:$N$4,0,S$110+1)-INDEX($F$4:$N$4,0,S$110))+P119)))</f>
        <v>0.12033839424918329</v>
      </c>
      <c r="T119" s="3" cm="1">
        <f t="array" ref="T119">IF(T$110=-1,U119,IF(T$110=99,S119,IF(T$110=0,INDEX($F100:$N100,0,T$108),(INDEX($F100:$N100,0,T$110+1)-INDEX($F100:$N100,0,T$110))/(INDEX($F$4:$N$4,0,T$110+1)-INDEX($F$4:$N$4,0,T$110))+S119)))</f>
        <v>0.12124305856529353</v>
      </c>
      <c r="U119" s="3" cm="1">
        <f t="array" ref="U119">IF(U$110=-1,V119,IF(U$110=99,T119,IF(U$110=0,INDEX($F100:$N100,0,U$108),(INDEX($F100:$N100,0,U$110+1)-INDEX($F100:$N100,0,U$110))/(INDEX($F$4:$N$4,0,U$110+1)-INDEX($F$4:$N$4,0,U$110))+T119)))</f>
        <v>0.12214772288140378</v>
      </c>
      <c r="V119" s="3" cm="1">
        <f t="array" ref="V119">IF(V$110=-1,W119,IF(V$110=99,U119,IF(V$110=0,INDEX($F100:$N100,0,V$108),(INDEX($F100:$N100,0,V$110+1)-INDEX($F100:$N100,0,V$110))/(INDEX($F$4:$N$4,0,V$110+1)-INDEX($F$4:$N$4,0,V$110))+U119)))</f>
        <v>0.12305238719751403</v>
      </c>
      <c r="W119" s="3" cm="1">
        <f t="array" ref="W119">IF(W$110=-1,X119,IF(W$110=99,V119,IF(W$110=0,INDEX($F100:$N100,0,W$108),(INDEX($F100:$N100,0,W$110+1)-INDEX($F100:$N100,0,W$110))/(INDEX($F$4:$N$4,0,W$110+1)-INDEX($F$4:$N$4,0,W$110))+V119)))</f>
        <v>0.12395705151362428</v>
      </c>
      <c r="X119" s="3" cm="1">
        <f t="array" ref="X119">IF(X$110=-1,Y119,IF(X$110=99,W119,IF(X$110=0,INDEX($F100:$N100,0,X$108),(INDEX($F100:$N100,0,X$110+1)-INDEX($F100:$N100,0,X$110))/(INDEX($F$4:$N$4,0,X$110+1)-INDEX($F$4:$N$4,0,X$110))+W119)))</f>
        <v>0.12486171582973453</v>
      </c>
      <c r="Y119" s="3" cm="1">
        <f t="array" ref="Y119">IF(Y$110=-1,Z119,IF(Y$110=99,X119,IF(Y$110=0,INDEX($F100:$N100,0,Y$108),(INDEX($F100:$N100,0,Y$110+1)-INDEX($F100:$N100,0,Y$110))/(INDEX($F$4:$N$4,0,Y$110+1)-INDEX($F$4:$N$4,0,Y$110))+X119)))</f>
        <v>0.12576638014584476</v>
      </c>
      <c r="Z119" s="3" cm="1">
        <f t="array" ref="Z119">IF(Z$110=-1,AC119,IF(Z$110=99,Y119,IF(Z$110=0,INDEX($F100:$N100,0,Z$108),(INDEX($F100:$N100,0,Z$110+1)-INDEX($F100:$N100,0,Z$110))/(INDEX($F$4:$N$4,0,Z$110+1)-INDEX($F$4:$N$4,0,Z$110))+Y119)))</f>
        <v>0.12667104446195501</v>
      </c>
      <c r="AA119" s="3" cm="1">
        <f t="array" ref="AA119">IF(AA$110=-1,AB119,IF(AA$110=99,X119,IF(AA$110=0,INDEX($F100:$N100,0,AA$108),(INDEX($F100:$N100,0,AA$110+1)-INDEX($F100:$N100,0,AA$110))/(INDEX($F$4:$N$4,0,AA$110+1)-INDEX($F$4:$N$4,0,AA$110))+X119)))</f>
        <v>0.12576638014584476</v>
      </c>
      <c r="AB119" s="3" cm="1">
        <f t="array" ref="AB119">IF(AB$110=-1,AC119,IF(AB$110=99,Y119,IF(AB$110=0,INDEX($F100:$N100,0,AB$108),(INDEX($F100:$N100,0,AB$110+1)-INDEX($F100:$N100,0,AB$110))/(INDEX($F$4:$N$4,0,AB$110+1)-INDEX($F$4:$N$4,0,AB$110))+Y119)))</f>
        <v>0.12667104446195501</v>
      </c>
      <c r="AC119" s="3" cm="1">
        <f t="array" ref="AC119">IF(AC$110=-1,AD119,IF(AC$110=99,Z119,IF(AC$110=0,INDEX($F100:$N100,0,AC$108),(INDEX($F100:$N100,0,AC$110+1)-INDEX($F100:$N100,0,AC$110))/(INDEX($F$4:$N$4,0,AC$110+1)-INDEX($F$4:$N$4,0,AC$110))+Z119)))</f>
        <v>0.12757570877806526</v>
      </c>
      <c r="AD119" s="3" cm="1">
        <f t="array" ref="AD119">IF(AD$110=-1,AE119,IF(AD$110=99,AC119,IF(AD$110=0,INDEX($F100:$N100,0,AD$108),(INDEX($F100:$N100,0,AD$110+1)-INDEX($F100:$N100,0,AD$110))/(INDEX($F$4:$N$4,0,AD$110+1)-INDEX($F$4:$N$4,0,AD$110))+AC119)))</f>
        <v>0.12848037309417548</v>
      </c>
      <c r="AE119" s="3" cm="1">
        <f t="array" ref="AE119">IF(AE$110=-1,AF119,IF(AE$110=99,AD119,IF(AE$110=0,INDEX($F100:$N100,0,AE$108),(INDEX($F100:$N100,0,AE$110+1)-INDEX($F100:$N100,0,AE$110))/(INDEX($F$4:$N$4,0,AE$110+1)-INDEX($F$4:$N$4,0,AE$110))+AD119)))</f>
        <v>0.1319943047968469</v>
      </c>
      <c r="AF119" s="3" cm="1">
        <f t="array" ref="AF119">IF(AF$110=-1,AG119,IF(AF$110=99,AE119,IF(AF$110=0,INDEX($F100:$N100,0,AF$108),(INDEX($F100:$N100,0,AF$110+1)-INDEX($F100:$N100,0,AF$110))/(INDEX($F$4:$N$4,0,AF$110+1)-INDEX($F$4:$N$4,0,AF$110))+AE119)))</f>
        <v>0.13550823649951832</v>
      </c>
      <c r="AG119" s="3" cm="1">
        <f t="array" ref="AG119">IF(AG$110=-1,AH119,IF(AG$110=99,AF119,IF(AG$110=0,INDEX($F100:$N100,0,AG$108),(INDEX($F100:$N100,0,AG$110+1)-INDEX($F100:$N100,0,AG$110))/(INDEX($F$4:$N$4,0,AG$110+1)-INDEX($F$4:$N$4,0,AG$110))+AF119)))</f>
        <v>0.13902216820218974</v>
      </c>
      <c r="AH119" s="3" cm="1">
        <f t="array" ref="AH119">IF(AH$110=-1,AI119,IF(AH$110=99,AG119,IF(AH$110=0,INDEX($F100:$N100,0,AH$108),(INDEX($F100:$N100,0,AH$110+1)-INDEX($F100:$N100,0,AH$110))/(INDEX($F$4:$N$4,0,AH$110+1)-INDEX($F$4:$N$4,0,AH$110))+AG119)))</f>
        <v>0.14253609990486116</v>
      </c>
      <c r="AI119" s="3" cm="1">
        <f t="array" ref="AI119">IF(AI$110=-1,AJ119,IF(AI$110=99,AH119,IF(AI$110=0,INDEX($F100:$N100,0,AI$108),(INDEX($F100:$N100,0,AI$110+1)-INDEX($F100:$N100,0,AI$110))/(INDEX($F$4:$N$4,0,AI$110+1)-INDEX($F$4:$N$4,0,AI$110))+AH119)))</f>
        <v>0.14605003160753258</v>
      </c>
      <c r="AJ119" s="3" cm="1">
        <f t="array" ref="AJ119">IF(AJ$110=-1,AK119,IF(AJ$110=99,AI119,IF(AJ$110=0,INDEX($F100:$N100,0,AJ$108),(INDEX($F100:$N100,0,AJ$110+1)-INDEX($F100:$N100,0,AJ$110))/(INDEX($F$4:$N$4,0,AJ$110+1)-INDEX($F$4:$N$4,0,AJ$110))+AI119)))</f>
        <v>0.149563963310204</v>
      </c>
      <c r="AK119" s="3" cm="1">
        <f t="array" ref="AK119">IF(AK$110=-1,AL119,IF(AK$110=99,AJ119,IF(AK$110=0,INDEX($F100:$N100,0,AK$108),(INDEX($F100:$N100,0,AK$110+1)-INDEX($F100:$N100,0,AK$110))/(INDEX($F$4:$N$4,0,AK$110+1)-INDEX($F$4:$N$4,0,AK$110))+AJ119)))</f>
        <v>0.15307789501287541</v>
      </c>
      <c r="AL119" s="3" cm="1">
        <f t="array" ref="AL119">IF(AL$110=-1,AM119,IF(AL$110=99,AK119,IF(AL$110=0,INDEX($F100:$N100,0,AL$108),(INDEX($F100:$N100,0,AL$110+1)-INDEX($F100:$N100,0,AL$110))/(INDEX($F$4:$N$4,0,AL$110+1)-INDEX($F$4:$N$4,0,AL$110))+AK119)))</f>
        <v>0.15659182671554683</v>
      </c>
      <c r="AM119" s="3" cm="1">
        <f t="array" ref="AM119">IF(AM$110=-1,AN119,IF(AM$110=99,AL119,IF(AM$110=0,INDEX($F100:$N100,0,AM$108),(INDEX($F100:$N100,0,AM$110+1)-INDEX($F100:$N100,0,AM$110))/(INDEX($F$4:$N$4,0,AM$110+1)-INDEX($F$4:$N$4,0,AM$110))+AL119)))</f>
        <v>0.16010575841821825</v>
      </c>
      <c r="AN119" s="3" cm="1">
        <f t="array" ref="AN119">IF(AN$110=-1,AO119,IF(AN$110=99,AM119,IF(AN$110=0,INDEX($F100:$N100,0,AN$108),(INDEX($F100:$N100,0,AN$110+1)-INDEX($F100:$N100,0,AN$110))/(INDEX($F$4:$N$4,0,AN$110+1)-INDEX($F$4:$N$4,0,AN$110))+AM119)))</f>
        <v>0.1636196901208897</v>
      </c>
      <c r="AO119" s="3" cm="1">
        <f t="array" ref="AO119">IF(AO$110=-1,AP119,IF(AO$110=99,AN119,IF(AO$110=0,INDEX($F100:$N100,0,AO$108),(INDEX($F100:$N100,0,AO$110+1)-INDEX($F100:$N100,0,AO$110))/(INDEX($F$4:$N$4,0,AO$110+1)-INDEX($F$4:$N$4,0,AO$110))+AN119)))</f>
        <v>0.16803236903527899</v>
      </c>
      <c r="AP119" s="3" cm="1">
        <f t="array" ref="AP119">IF(AP$110=-1,AQ119,IF(AP$110=99,AO119,IF(AP$110=0,INDEX($F100:$N100,0,AP$108),(INDEX($F100:$N100,0,AP$110+1)-INDEX($F100:$N100,0,AP$110))/(INDEX($F$4:$N$4,0,AP$110+1)-INDEX($F$4:$N$4,0,AP$110))+AO119)))</f>
        <v>0.17244504794966828</v>
      </c>
      <c r="AQ119" s="3" cm="1">
        <f t="array" ref="AQ119">IF(AQ$110=-1,AR119,IF(AQ$110=99,AP119,IF(AQ$110=0,INDEX($F100:$N100,0,AQ$108),(INDEX($F100:$N100,0,AQ$110+1)-INDEX($F100:$N100,0,AQ$110))/(INDEX($F$4:$N$4,0,AQ$110+1)-INDEX($F$4:$N$4,0,AQ$110))+AP119)))</f>
        <v>0.17685772686405757</v>
      </c>
      <c r="AR119" s="3" cm="1">
        <f t="array" ref="AR119">IF(AR$110=-1,AS119,IF(AR$110=99,AQ119,IF(AR$110=0,INDEX($F100:$N100,0,AR$108),(INDEX($F100:$N100,0,AR$110+1)-INDEX($F100:$N100,0,AR$110))/(INDEX($F$4:$N$4,0,AR$110+1)-INDEX($F$4:$N$4,0,AR$110))+AQ119)))</f>
        <v>0.18127040577844686</v>
      </c>
      <c r="AS119" s="3" cm="1">
        <f t="array" ref="AS119">IF(AS$110=-1,AT119,IF(AS$110=99,AR119,IF(AS$110=0,INDEX($F100:$N100,0,AS$108),(INDEX($F100:$N100,0,AS$110+1)-INDEX($F100:$N100,0,AS$110))/(INDEX($F$4:$N$4,0,AS$110+1)-INDEX($F$4:$N$4,0,AS$110))+AR119)))</f>
        <v>0.18568308469283615</v>
      </c>
      <c r="AT119" s="3" cm="1">
        <f t="array" ref="AT119">IF(AT$110=-1,AU119,IF(AT$110=99,AS119,IF(AT$110=0,INDEX($F100:$N100,0,AT$108),(INDEX($F100:$N100,0,AT$110+1)-INDEX($F100:$N100,0,AT$110))/(INDEX($F$4:$N$4,0,AT$110+1)-INDEX($F$4:$N$4,0,AT$110))+AS119)))</f>
        <v>0.19009576360722544</v>
      </c>
      <c r="AU119" s="3" cm="1">
        <f t="array" ref="AU119">IF(AU$110=-1,AV119,IF(AU$110=99,AT119,IF(AU$110=0,INDEX($F100:$N100,0,AU$108),(INDEX($F100:$N100,0,AU$110+1)-INDEX($F100:$N100,0,AU$110))/(INDEX($F$4:$N$4,0,AU$110+1)-INDEX($F$4:$N$4,0,AU$110))+AT119)))</f>
        <v>0.19450844252161473</v>
      </c>
      <c r="AV119" s="3" cm="1">
        <f t="array" ref="AV119">IF(AV$110=-1,AW119,IF(AV$110=99,AU119,IF(AV$110=0,INDEX($F100:$N100,0,AV$108),(INDEX($F100:$N100,0,AV$110+1)-INDEX($F100:$N100,0,AV$110))/(INDEX($F$4:$N$4,0,AV$110+1)-INDEX($F$4:$N$4,0,AV$110))+AU119)))</f>
        <v>0.19892112143600402</v>
      </c>
      <c r="AW119" s="3" cm="1">
        <f t="array" ref="AW119">IF(AW$110=-1,AX119,IF(AW$110=99,AV119,IF(AW$110=0,INDEX($F100:$N100,0,AW$108),(INDEX($F100:$N100,0,AW$110+1)-INDEX($F100:$N100,0,AW$110))/(INDEX($F$4:$N$4,0,AW$110+1)-INDEX($F$4:$N$4,0,AW$110))+AV119)))</f>
        <v>0.20333380035039331</v>
      </c>
      <c r="AX119" s="3" cm="1">
        <f t="array" ref="AX119">IF(AX$110=-1,AY119,IF(AX$110=99,AW119,IF(AX$110=0,INDEX($F100:$N100,0,AX$108),(INDEX($F100:$N100,0,AX$110+1)-INDEX($F100:$N100,0,AX$110))/(INDEX($F$4:$N$4,0,AX$110+1)-INDEX($F$4:$N$4,0,AX$110))+AW119)))</f>
        <v>0.20774647926478257</v>
      </c>
      <c r="AY119" s="3" cm="1">
        <f t="array" ref="AY119">IF(AY$110=-1,AZ119,IF(AY$110=99,AX119,IF(AY$110=0,INDEX($F100:$N100,0,AY$108),(INDEX($F100:$N100,0,AY$110+1)-INDEX($F100:$N100,0,AY$110))/(INDEX($F$4:$N$4,0,AY$110+1)-INDEX($F$4:$N$4,0,AY$110))+AX119)))</f>
        <v>0.24549455977721832</v>
      </c>
      <c r="AZ119" s="3" cm="1">
        <f t="array" ref="AZ119">IF(AZ$110=-1,BA119,IF(AZ$110=99,AY119,IF(AZ$110=0,INDEX($F100:$N100,0,AZ$108),(INDEX($F100:$N100,0,AZ$110+1)-INDEX($F100:$N100,0,AZ$110))/(INDEX($F$4:$N$4,0,AZ$110+1)-INDEX($F$4:$N$4,0,AZ$110))+AY119)))</f>
        <v>0.25053936472114663</v>
      </c>
    </row>
    <row r="120" spans="1:52">
      <c r="A120" s="99" t="s">
        <v>16</v>
      </c>
      <c r="B120" s="15" t="str">
        <f t="shared" si="320"/>
        <v/>
      </c>
      <c r="C120" s="16" t="str">
        <f t="shared" si="321"/>
        <v/>
      </c>
      <c r="D120" s="43" t="s">
        <v>404</v>
      </c>
      <c r="E120" s="16" t="str">
        <f t="shared" si="322"/>
        <v/>
      </c>
      <c r="H120" s="16" t="str">
        <f t="shared" si="322"/>
        <v/>
      </c>
      <c r="J120" s="16" t="str">
        <f t="shared" si="322"/>
        <v/>
      </c>
      <c r="K120" s="16" t="str">
        <f t="shared" si="322"/>
        <v/>
      </c>
      <c r="L120" s="106" t="str">
        <f t="shared" si="323"/>
        <v/>
      </c>
      <c r="M120" s="3" cm="1">
        <f t="array" ref="M120">IF(M$110=-1,N120,IF(M$110=99,#REF!,IF(M$110=0,INDEX($F101:$N101,0,M$108),(INDEX($F101:$N101,0,M$110+1)-INDEX($F101:$N101,0,M$110))/(INDEX($F$4:$N$4,0,M$110+1)-INDEX($F$4:$N$4,0,M$110))+#REF!)))</f>
        <v>2.9412068148240201E-2</v>
      </c>
      <c r="N120" s="3" cm="1">
        <f t="array" ref="N120">IF(N$110=-1,O120,IF(N$110=99,M120,IF(N$110=0,INDEX($F101:$N101,0,N$108),(INDEX($F101:$N101,0,N$110+1)-INDEX($F101:$N101,0,N$110))/(INDEX($F$4:$N$4,0,N$110+1)-INDEX($F$4:$N$4,0,N$110))+M120)))</f>
        <v>2.9595121863944723E-2</v>
      </c>
      <c r="O120" s="3" cm="1">
        <f t="array" ref="O120">IF(O$110=-1,P120,IF(O$110=99,N120,IF(O$110=0,INDEX($F101:$N101,0,O$108),(INDEX($F101:$N101,0,O$110+1)-INDEX($F101:$N101,0,O$110))/(INDEX($F$4:$N$4,0,O$110+1)-INDEX($F$4:$N$4,0,O$110))+N120)))</f>
        <v>2.9778175579649242E-2</v>
      </c>
      <c r="P120" s="3" cm="1">
        <f t="array" ref="P120">IF(P$110=-1,S120,IF(P$110=99,O120,IF(P$110=0,INDEX($F101:$N101,0,P$108),(INDEX($F101:$N101,0,P$110+1)-INDEX($F101:$N101,0,P$110))/(INDEX($F$4:$N$4,0,P$110+1)-INDEX($F$4:$N$4,0,P$110))+O120)))</f>
        <v>2.8671491567328906E-2</v>
      </c>
      <c r="Q120" s="3" cm="1">
        <f t="array" ref="Q120">IF(Q$110=-1,R120,IF(Q$110=99,N120,IF(Q$110=0,INDEX($F101:$N101,0,Q$108),(INDEX($F101:$N101,0,Q$110+1)-INDEX($F101:$N101,0,Q$110))/(INDEX($F$4:$N$4,0,Q$110+1)-INDEX($F$4:$N$4,0,Q$110))+N120)))</f>
        <v>2.9778175579649242E-2</v>
      </c>
      <c r="R120" s="3" cm="1">
        <f t="array" ref="R120">IF(R$110=-1,S120,IF(R$110=99,O120,IF(R$110=0,INDEX($F101:$N101,0,R$108),(INDEX($F101:$N101,0,R$110+1)-INDEX($F101:$N101,0,R$110))/(INDEX($F$4:$N$4,0,R$110+1)-INDEX($F$4:$N$4,0,R$110))+O120)))</f>
        <v>2.8671491567328906E-2</v>
      </c>
      <c r="S120" s="3" cm="1">
        <f t="array" ref="S120">IF(S$110=-1,T120,IF(S$110=99,P120,IF(S$110=0,INDEX($F101:$N101,0,S$108),(INDEX($F101:$N101,0,S$110+1)-INDEX($F101:$N101,0,S$110))/(INDEX($F$4:$N$4,0,S$110+1)-INDEX($F$4:$N$4,0,S$110))+P120)))</f>
        <v>2.8960760250541256E-2</v>
      </c>
      <c r="T120" s="3" cm="1">
        <f t="array" ref="T120">IF(T$110=-1,U120,IF(T$110=99,S120,IF(T$110=0,INDEX($F101:$N101,0,T$108),(INDEX($F101:$N101,0,T$110+1)-INDEX($F101:$N101,0,T$110))/(INDEX($F$4:$N$4,0,T$110+1)-INDEX($F$4:$N$4,0,T$110))+S120)))</f>
        <v>2.9178477684196198E-2</v>
      </c>
      <c r="U120" s="3" cm="1">
        <f t="array" ref="U120">IF(U$110=-1,V120,IF(U$110=99,T120,IF(U$110=0,INDEX($F101:$N101,0,U$108),(INDEX($F101:$N101,0,U$110+1)-INDEX($F101:$N101,0,U$110))/(INDEX($F$4:$N$4,0,U$110+1)-INDEX($F$4:$N$4,0,U$110))+T120)))</f>
        <v>2.9396195117851139E-2</v>
      </c>
      <c r="V120" s="3" cm="1">
        <f t="array" ref="V120">IF(V$110=-1,W120,IF(V$110=99,U120,IF(V$110=0,INDEX($F101:$N101,0,V$108),(INDEX($F101:$N101,0,V$110+1)-INDEX($F101:$N101,0,V$110))/(INDEX($F$4:$N$4,0,V$110+1)-INDEX($F$4:$N$4,0,V$110))+U120)))</f>
        <v>2.961391255150608E-2</v>
      </c>
      <c r="W120" s="3" cm="1">
        <f t="array" ref="W120">IF(W$110=-1,X120,IF(W$110=99,V120,IF(W$110=0,INDEX($F101:$N101,0,W$108),(INDEX($F101:$N101,0,W$110+1)-INDEX($F101:$N101,0,W$110))/(INDEX($F$4:$N$4,0,W$110+1)-INDEX($F$4:$N$4,0,W$110))+V120)))</f>
        <v>2.9831629985161021E-2</v>
      </c>
      <c r="X120" s="3" cm="1">
        <f t="array" ref="X120">IF(X$110=-1,Y120,IF(X$110=99,W120,IF(X$110=0,INDEX($F101:$N101,0,X$108),(INDEX($F101:$N101,0,X$110+1)-INDEX($F101:$N101,0,X$110))/(INDEX($F$4:$N$4,0,X$110+1)-INDEX($F$4:$N$4,0,X$110))+W120)))</f>
        <v>3.0049347418815962E-2</v>
      </c>
      <c r="Y120" s="3" cm="1">
        <f t="array" ref="Y120">IF(Y$110=-1,Z120,IF(Y$110=99,X120,IF(Y$110=0,INDEX($F101:$N101,0,Y$108),(INDEX($F101:$N101,0,Y$110+1)-INDEX($F101:$N101,0,Y$110))/(INDEX($F$4:$N$4,0,Y$110+1)-INDEX($F$4:$N$4,0,Y$110))+X120)))</f>
        <v>3.0267064852470903E-2</v>
      </c>
      <c r="Z120" s="3" cm="1">
        <f t="array" ref="Z120">IF(Z$110=-1,AC120,IF(Z$110=99,Y120,IF(Z$110=0,INDEX($F101:$N101,0,Z$108),(INDEX($F101:$N101,0,Z$110+1)-INDEX($F101:$N101,0,Z$110))/(INDEX($F$4:$N$4,0,Z$110+1)-INDEX($F$4:$N$4,0,Z$110))+Y120)))</f>
        <v>3.0484782286125844E-2</v>
      </c>
      <c r="AA120" s="3" cm="1">
        <f t="array" ref="AA120">IF(AA$110=-1,AB120,IF(AA$110=99,X120,IF(AA$110=0,INDEX($F101:$N101,0,AA$108),(INDEX($F101:$N101,0,AA$110+1)-INDEX($F101:$N101,0,AA$110))/(INDEX($F$4:$N$4,0,AA$110+1)-INDEX($F$4:$N$4,0,AA$110))+X120)))</f>
        <v>3.0267064852470903E-2</v>
      </c>
      <c r="AB120" s="3" cm="1">
        <f t="array" ref="AB120">IF(AB$110=-1,AC120,IF(AB$110=99,Y120,IF(AB$110=0,INDEX($F101:$N101,0,AB$108),(INDEX($F101:$N101,0,AB$110+1)-INDEX($F101:$N101,0,AB$110))/(INDEX($F$4:$N$4,0,AB$110+1)-INDEX($F$4:$N$4,0,AB$110))+Y120)))</f>
        <v>3.0484782286125844E-2</v>
      </c>
      <c r="AC120" s="3" cm="1">
        <f t="array" ref="AC120">IF(AC$110=-1,AD120,IF(AC$110=99,Z120,IF(AC$110=0,INDEX($F101:$N101,0,AC$108),(INDEX($F101:$N101,0,AC$110+1)-INDEX($F101:$N101,0,AC$110))/(INDEX($F$4:$N$4,0,AC$110+1)-INDEX($F$4:$N$4,0,AC$110))+Z120)))</f>
        <v>3.0702499719780785E-2</v>
      </c>
      <c r="AD120" s="3" cm="1">
        <f t="array" ref="AD120">IF(AD$110=-1,AE120,IF(AD$110=99,AC120,IF(AD$110=0,INDEX($F101:$N101,0,AD$108),(INDEX($F101:$N101,0,AD$110+1)-INDEX($F101:$N101,0,AD$110))/(INDEX($F$4:$N$4,0,AD$110+1)-INDEX($F$4:$N$4,0,AD$110))+AC120)))</f>
        <v>3.0920217153435729E-2</v>
      </c>
      <c r="AE120" s="3" cm="1">
        <f t="array" ref="AE120">IF(AE$110=-1,AF120,IF(AE$110=99,AD120,IF(AE$110=0,INDEX($F101:$N101,0,AE$108),(INDEX($F101:$N101,0,AE$110+1)-INDEX($F101:$N101,0,AE$110))/(INDEX($F$4:$N$4,0,AE$110+1)-INDEX($F$4:$N$4,0,AE$110))+AD120)))</f>
        <v>3.1765883527935607E-2</v>
      </c>
      <c r="AF120" s="3" cm="1">
        <f t="array" ref="AF120">IF(AF$110=-1,AG120,IF(AF$110=99,AE120,IF(AF$110=0,INDEX($F101:$N101,0,AF$108),(INDEX($F101:$N101,0,AF$110+1)-INDEX($F101:$N101,0,AF$110))/(INDEX($F$4:$N$4,0,AF$110+1)-INDEX($F$4:$N$4,0,AF$110))+AE120)))</f>
        <v>3.2611549902435477E-2</v>
      </c>
      <c r="AG120" s="3" cm="1">
        <f t="array" ref="AG120">IF(AG$110=-1,AH120,IF(AG$110=99,AF120,IF(AG$110=0,INDEX($F101:$N101,0,AG$108),(INDEX($F101:$N101,0,AG$110+1)-INDEX($F101:$N101,0,AG$110))/(INDEX($F$4:$N$4,0,AG$110+1)-INDEX($F$4:$N$4,0,AG$110))+AF120)))</f>
        <v>3.3457216276935348E-2</v>
      </c>
      <c r="AH120" s="3" cm="1">
        <f t="array" ref="AH120">IF(AH$110=-1,AI120,IF(AH$110=99,AG120,IF(AH$110=0,INDEX($F101:$N101,0,AH$108),(INDEX($F101:$N101,0,AH$110+1)-INDEX($F101:$N101,0,AH$110))/(INDEX($F$4:$N$4,0,AH$110+1)-INDEX($F$4:$N$4,0,AH$110))+AG120)))</f>
        <v>3.4302882651435218E-2</v>
      </c>
      <c r="AI120" s="3" cm="1">
        <f t="array" ref="AI120">IF(AI$110=-1,AJ120,IF(AI$110=99,AH120,IF(AI$110=0,INDEX($F101:$N101,0,AI$108),(INDEX($F101:$N101,0,AI$110+1)-INDEX($F101:$N101,0,AI$110))/(INDEX($F$4:$N$4,0,AI$110+1)-INDEX($F$4:$N$4,0,AI$110))+AH120)))</f>
        <v>3.5148549025935089E-2</v>
      </c>
      <c r="AJ120" s="3" cm="1">
        <f t="array" ref="AJ120">IF(AJ$110=-1,AK120,IF(AJ$110=99,AI120,IF(AJ$110=0,INDEX($F101:$N101,0,AJ$108),(INDEX($F101:$N101,0,AJ$110+1)-INDEX($F101:$N101,0,AJ$110))/(INDEX($F$4:$N$4,0,AJ$110+1)-INDEX($F$4:$N$4,0,AJ$110))+AI120)))</f>
        <v>3.5994215400434959E-2</v>
      </c>
      <c r="AK120" s="3" cm="1">
        <f t="array" ref="AK120">IF(AK$110=-1,AL120,IF(AK$110=99,AJ120,IF(AK$110=0,INDEX($F101:$N101,0,AK$108),(INDEX($F101:$N101,0,AK$110+1)-INDEX($F101:$N101,0,AK$110))/(INDEX($F$4:$N$4,0,AK$110+1)-INDEX($F$4:$N$4,0,AK$110))+AJ120)))</f>
        <v>3.683988177493483E-2</v>
      </c>
      <c r="AL120" s="3" cm="1">
        <f t="array" ref="AL120">IF(AL$110=-1,AM120,IF(AL$110=99,AK120,IF(AL$110=0,INDEX($F101:$N101,0,AL$108),(INDEX($F101:$N101,0,AL$110+1)-INDEX($F101:$N101,0,AL$110))/(INDEX($F$4:$N$4,0,AL$110+1)-INDEX($F$4:$N$4,0,AL$110))+AK120)))</f>
        <v>3.76855481494347E-2</v>
      </c>
      <c r="AM120" s="3" cm="1">
        <f t="array" ref="AM120">IF(AM$110=-1,AN120,IF(AM$110=99,AL120,IF(AM$110=0,INDEX($F101:$N101,0,AM$108),(INDEX($F101:$N101,0,AM$110+1)-INDEX($F101:$N101,0,AM$110))/(INDEX($F$4:$N$4,0,AM$110+1)-INDEX($F$4:$N$4,0,AM$110))+AL120)))</f>
        <v>3.853121452393457E-2</v>
      </c>
      <c r="AN120" s="3" cm="1">
        <f t="array" ref="AN120">IF(AN$110=-1,AO120,IF(AN$110=99,AM120,IF(AN$110=0,INDEX($F101:$N101,0,AN$108),(INDEX($F101:$N101,0,AN$110+1)-INDEX($F101:$N101,0,AN$110))/(INDEX($F$4:$N$4,0,AN$110+1)-INDEX($F$4:$N$4,0,AN$110))+AM120)))</f>
        <v>3.9376880898434469E-2</v>
      </c>
      <c r="AO120" s="3" cm="1">
        <f t="array" ref="AO120">IF(AO$110=-1,AP120,IF(AO$110=99,AN120,IF(AO$110=0,INDEX($F101:$N101,0,AO$108),(INDEX($F101:$N101,0,AO$110+1)-INDEX($F101:$N101,0,AO$110))/(INDEX($F$4:$N$4,0,AO$110+1)-INDEX($F$4:$N$4,0,AO$110))+AN120)))</f>
        <v>4.0438840690233117E-2</v>
      </c>
      <c r="AP120" s="3" cm="1">
        <f t="array" ref="AP120">IF(AP$110=-1,AQ120,IF(AP$110=99,AO120,IF(AP$110=0,INDEX($F101:$N101,0,AP$108),(INDEX($F101:$N101,0,AP$110+1)-INDEX($F101:$N101,0,AP$110))/(INDEX($F$4:$N$4,0,AP$110+1)-INDEX($F$4:$N$4,0,AP$110))+AO120)))</f>
        <v>4.1500800482031766E-2</v>
      </c>
      <c r="AQ120" s="3" cm="1">
        <f t="array" ref="AQ120">IF(AQ$110=-1,AR120,IF(AQ$110=99,AP120,IF(AQ$110=0,INDEX($F101:$N101,0,AQ$108),(INDEX($F101:$N101,0,AQ$110+1)-INDEX($F101:$N101,0,AQ$110))/(INDEX($F$4:$N$4,0,AQ$110+1)-INDEX($F$4:$N$4,0,AQ$110))+AP120)))</f>
        <v>4.2562760273830415E-2</v>
      </c>
      <c r="AR120" s="3" cm="1">
        <f t="array" ref="AR120">IF(AR$110=-1,AS120,IF(AR$110=99,AQ120,IF(AR$110=0,INDEX($F101:$N101,0,AR$108),(INDEX($F101:$N101,0,AR$110+1)-INDEX($F101:$N101,0,AR$110))/(INDEX($F$4:$N$4,0,AR$110+1)-INDEX($F$4:$N$4,0,AR$110))+AQ120)))</f>
        <v>4.3624720065629063E-2</v>
      </c>
      <c r="AS120" s="3" cm="1">
        <f t="array" ref="AS120">IF(AS$110=-1,AT120,IF(AS$110=99,AR120,IF(AS$110=0,INDEX($F101:$N101,0,AS$108),(INDEX($F101:$N101,0,AS$110+1)-INDEX($F101:$N101,0,AS$110))/(INDEX($F$4:$N$4,0,AS$110+1)-INDEX($F$4:$N$4,0,AS$110))+AR120)))</f>
        <v>4.4686679857427712E-2</v>
      </c>
      <c r="AT120" s="3" cm="1">
        <f t="array" ref="AT120">IF(AT$110=-1,AU120,IF(AT$110=99,AS120,IF(AT$110=0,INDEX($F101:$N101,0,AT$108),(INDEX($F101:$N101,0,AT$110+1)-INDEX($F101:$N101,0,AT$110))/(INDEX($F$4:$N$4,0,AT$110+1)-INDEX($F$4:$N$4,0,AT$110))+AS120)))</f>
        <v>4.5748639649226361E-2</v>
      </c>
      <c r="AU120" s="3" cm="1">
        <f t="array" ref="AU120">IF(AU$110=-1,AV120,IF(AU$110=99,AT120,IF(AU$110=0,INDEX($F101:$N101,0,AU$108),(INDEX($F101:$N101,0,AU$110+1)-INDEX($F101:$N101,0,AU$110))/(INDEX($F$4:$N$4,0,AU$110+1)-INDEX($F$4:$N$4,0,AU$110))+AT120)))</f>
        <v>4.681059944102501E-2</v>
      </c>
      <c r="AV120" s="3" cm="1">
        <f t="array" ref="AV120">IF(AV$110=-1,AW120,IF(AV$110=99,AU120,IF(AV$110=0,INDEX($F101:$N101,0,AV$108),(INDEX($F101:$N101,0,AV$110+1)-INDEX($F101:$N101,0,AV$110))/(INDEX($F$4:$N$4,0,AV$110+1)-INDEX($F$4:$N$4,0,AV$110))+AU120)))</f>
        <v>4.7872559232823658E-2</v>
      </c>
      <c r="AW120" s="3" cm="1">
        <f t="array" ref="AW120">IF(AW$110=-1,AX120,IF(AW$110=99,AV120,IF(AW$110=0,INDEX($F101:$N101,0,AW$108),(INDEX($F101:$N101,0,AW$110+1)-INDEX($F101:$N101,0,AW$110))/(INDEX($F$4:$N$4,0,AW$110+1)-INDEX($F$4:$N$4,0,AW$110))+AV120)))</f>
        <v>4.8934519024622307E-2</v>
      </c>
      <c r="AX120" s="3" cm="1">
        <f t="array" ref="AX120">IF(AX$110=-1,AY120,IF(AX$110=99,AW120,IF(AX$110=0,INDEX($F101:$N101,0,AX$108),(INDEX($F101:$N101,0,AX$110+1)-INDEX($F101:$N101,0,AX$110))/(INDEX($F$4:$N$4,0,AX$110+1)-INDEX($F$4:$N$4,0,AX$110))+AW120)))</f>
        <v>4.9996478816420976E-2</v>
      </c>
      <c r="AY120" s="3" cm="1">
        <f t="array" ref="AY120">IF(AY$110=-1,AZ120,IF(AY$110=99,AX120,IF(AY$110=0,INDEX($F101:$N101,0,AY$108),(INDEX($F101:$N101,0,AY$110+1)-INDEX($F101:$N101,0,AY$110))/(INDEX($F$4:$N$4,0,AY$110+1)-INDEX($F$4:$N$4,0,AY$110))+AX120)))</f>
        <v>5.9080970232976524E-2</v>
      </c>
      <c r="AZ120" s="3" cm="1">
        <f t="array" ref="AZ120">IF(AZ$110=-1,BA120,IF(AZ$110=99,AY120,IF(AZ$110=0,INDEX($F101:$N101,0,AZ$108),(INDEX($F101:$N101,0,AZ$110+1)-INDEX($F101:$N101,0,AZ$110))/(INDEX($F$4:$N$4,0,AZ$110+1)-INDEX($F$4:$N$4,0,AZ$110))+AY120)))</f>
        <v>6.0295058117424465E-2</v>
      </c>
    </row>
    <row r="121" spans="1:52">
      <c r="A121" s="99" t="s">
        <v>16</v>
      </c>
      <c r="B121" s="15" t="str">
        <f t="shared" si="320"/>
        <v/>
      </c>
      <c r="C121" s="16" t="str">
        <f t="shared" si="321"/>
        <v/>
      </c>
      <c r="D121" s="43" t="s">
        <v>366</v>
      </c>
      <c r="E121" s="16" t="str">
        <f t="shared" si="322"/>
        <v/>
      </c>
      <c r="H121" s="16" t="str">
        <f t="shared" si="322"/>
        <v/>
      </c>
      <c r="J121" s="16" t="str">
        <f t="shared" si="322"/>
        <v/>
      </c>
      <c r="K121" s="16" t="str">
        <f t="shared" si="322"/>
        <v/>
      </c>
      <c r="L121" s="106" t="str">
        <f t="shared" si="323"/>
        <v/>
      </c>
      <c r="M121" s="3" cm="1">
        <f t="array" ref="M121">IF(M$110=-1,N121,IF(M$110=99,#REF!,IF(M$110=0,INDEX($F102:$N102,0,M$108),(INDEX($F102:$N102,0,M$110+1)-INDEX($F102:$N102,0,M$110))/(INDEX($F$4:$N$4,0,M$110+1)-INDEX($F$4:$N$4,0,M$110))+#REF!)))</f>
        <v>22</v>
      </c>
      <c r="N121" s="3" cm="1">
        <f t="array" ref="N121">IF(N$110=-1,O121,IF(N$110=99,M121,IF(N$110=0,INDEX($F102:$N102,0,N$108),(INDEX($F102:$N102,0,N$110+1)-INDEX($F102:$N102,0,N$110))/(INDEX($F$4:$N$4,0,N$110+1)-INDEX($F$4:$N$4,0,N$110))+M121)))</f>
        <v>20.60902456349335</v>
      </c>
      <c r="O121" s="3" cm="1">
        <f t="array" ref="O121">IF(O$110=-1,P121,IF(O$110=99,N121,IF(O$110=0,INDEX($F102:$N102,0,O$108),(INDEX($F102:$N102,0,O$110+1)-INDEX($F102:$N102,0,O$110))/(INDEX($F$4:$N$4,0,O$110+1)-INDEX($F$4:$N$4,0,O$110))+N121)))</f>
        <v>19.218049126986699</v>
      </c>
      <c r="P121" s="3" cm="1">
        <f t="array" ref="P121">IF(P$110=-1,S121,IF(P$110=99,O121,IF(P$110=0,INDEX($F102:$N102,0,P$108),(INDEX($F102:$N102,0,P$110+1)-INDEX($F102:$N102,0,P$110))/(INDEX($F$4:$N$4,0,P$110+1)-INDEX($F$4:$N$4,0,P$110))+O121)))</f>
        <v>17.206637381742077</v>
      </c>
      <c r="Q121" s="3" cm="1">
        <f t="array" ref="Q121">IF(Q$110=-1,R121,IF(Q$110=99,N121,IF(Q$110=0,INDEX($F102:$N102,0,Q$108),(INDEX($F102:$N102,0,Q$110+1)-INDEX($F102:$N102,0,Q$110))/(INDEX($F$4:$N$4,0,Q$110+1)-INDEX($F$4:$N$4,0,Q$110))+N121)))</f>
        <v>19.218049126986699</v>
      </c>
      <c r="R121" s="3" cm="1">
        <f t="array" ref="R121">IF(R$110=-1,S121,IF(R$110=99,O121,IF(R$110=0,INDEX($F102:$N102,0,R$108),(INDEX($F102:$N102,0,R$110+1)-INDEX($F102:$N102,0,R$110))/(INDEX($F$4:$N$4,0,R$110+1)-INDEX($F$4:$N$4,0,R$110))+O121)))</f>
        <v>17.206637381742077</v>
      </c>
      <c r="S121" s="3" cm="1">
        <f t="array" ref="S121">IF(S$110=-1,T121,IF(S$110=99,P121,IF(S$110=0,INDEX($F102:$N102,0,S$108),(INDEX($F102:$N102,0,S$110+1)-INDEX($F102:$N102,0,S$110))/(INDEX($F$4:$N$4,0,S$110+1)-INDEX($F$4:$N$4,0,S$110))+P121)))</f>
        <v>16.506720027229584</v>
      </c>
      <c r="T121" s="3" cm="1">
        <f t="array" ref="T121">IF(T$110=-1,U121,IF(T$110=99,S121,IF(T$110=0,INDEX($F102:$N102,0,T$108),(INDEX($F102:$N102,0,T$110+1)-INDEX($F102:$N102,0,T$110))/(INDEX($F$4:$N$4,0,T$110+1)-INDEX($F$4:$N$4,0,T$110))+S121)))</f>
        <v>17.806373021295286</v>
      </c>
      <c r="U121" s="3" cm="1">
        <f t="array" ref="U121">IF(U$110=-1,V121,IF(U$110=99,T121,IF(U$110=0,INDEX($F102:$N102,0,U$108),(INDEX($F102:$N102,0,U$110+1)-INDEX($F102:$N102,0,U$110))/(INDEX($F$4:$N$4,0,U$110+1)-INDEX($F$4:$N$4,0,U$110))+T121)))</f>
        <v>19.106026015360989</v>
      </c>
      <c r="V121" s="3" cm="1">
        <f t="array" ref="V121">IF(V$110=-1,W121,IF(V$110=99,U121,IF(V$110=0,INDEX($F102:$N102,0,V$108),(INDEX($F102:$N102,0,V$110+1)-INDEX($F102:$N102,0,V$110))/(INDEX($F$4:$N$4,0,V$110+1)-INDEX($F$4:$N$4,0,V$110))+U121)))</f>
        <v>20.405679009426692</v>
      </c>
      <c r="W121" s="3" cm="1">
        <f t="array" ref="W121">IF(W$110=-1,X121,IF(W$110=99,V121,IF(W$110=0,INDEX($F102:$N102,0,W$108),(INDEX($F102:$N102,0,W$110+1)-INDEX($F102:$N102,0,W$110))/(INDEX($F$4:$N$4,0,W$110+1)-INDEX($F$4:$N$4,0,W$110))+V121)))</f>
        <v>21.705332003492394</v>
      </c>
      <c r="X121" s="3" cm="1">
        <f t="array" ref="X121">IF(X$110=-1,Y121,IF(X$110=99,W121,IF(X$110=0,INDEX($F102:$N102,0,X$108),(INDEX($F102:$N102,0,X$110+1)-INDEX($F102:$N102,0,X$110))/(INDEX($F$4:$N$4,0,X$110+1)-INDEX($F$4:$N$4,0,X$110))+W121)))</f>
        <v>23.004984997558097</v>
      </c>
      <c r="Y121" s="3" cm="1">
        <f t="array" ref="Y121">IF(Y$110=-1,Z121,IF(Y$110=99,X121,IF(Y$110=0,INDEX($F102:$N102,0,Y$108),(INDEX($F102:$N102,0,Y$110+1)-INDEX($F102:$N102,0,Y$110))/(INDEX($F$4:$N$4,0,Y$110+1)-INDEX($F$4:$N$4,0,Y$110))+X121)))</f>
        <v>24.3046379916238</v>
      </c>
      <c r="Z121" s="3" cm="1">
        <f t="array" ref="Z121">IF(Z$110=-1,AC121,IF(Z$110=99,Y121,IF(Z$110=0,INDEX($F102:$N102,0,Z$108),(INDEX($F102:$N102,0,Z$110+1)-INDEX($F102:$N102,0,Z$110))/(INDEX($F$4:$N$4,0,Z$110+1)-INDEX($F$4:$N$4,0,Z$110))+Y121)))</f>
        <v>25.604290985689502</v>
      </c>
      <c r="AA121" s="3" cm="1">
        <f t="array" ref="AA121">IF(AA$110=-1,AB121,IF(AA$110=99,X121,IF(AA$110=0,INDEX($F102:$N102,0,AA$108),(INDEX($F102:$N102,0,AA$110+1)-INDEX($F102:$N102,0,AA$110))/(INDEX($F$4:$N$4,0,AA$110+1)-INDEX($F$4:$N$4,0,AA$110))+X121)))</f>
        <v>24.3046379916238</v>
      </c>
      <c r="AB121" s="3" cm="1">
        <f t="array" ref="AB121">IF(AB$110=-1,AC121,IF(AB$110=99,Y121,IF(AB$110=0,INDEX($F102:$N102,0,AB$108),(INDEX($F102:$N102,0,AB$110+1)-INDEX($F102:$N102,0,AB$110))/(INDEX($F$4:$N$4,0,AB$110+1)-INDEX($F$4:$N$4,0,AB$110))+Y121)))</f>
        <v>25.604290985689502</v>
      </c>
      <c r="AC121" s="3" cm="1">
        <f t="array" ref="AC121">IF(AC$110=-1,AD121,IF(AC$110=99,Z121,IF(AC$110=0,INDEX($F102:$N102,0,AC$108),(INDEX($F102:$N102,0,AC$110+1)-INDEX($F102:$N102,0,AC$110))/(INDEX($F$4:$N$4,0,AC$110+1)-INDEX($F$4:$N$4,0,AC$110))+Z121)))</f>
        <v>26.903943979755205</v>
      </c>
      <c r="AD121" s="3" cm="1">
        <f t="array" ref="AD121">IF(AD$110=-1,AE121,IF(AD$110=99,AC121,IF(AD$110=0,INDEX($F102:$N102,0,AD$108),(INDEX($F102:$N102,0,AD$110+1)-INDEX($F102:$N102,0,AD$110))/(INDEX($F$4:$N$4,0,AD$110+1)-INDEX($F$4:$N$4,0,AD$110))+AC121)))</f>
        <v>28.203596973820897</v>
      </c>
      <c r="AE121" s="3" cm="1">
        <f t="array" ref="AE121">IF(AE$110=-1,AF121,IF(AE$110=99,AD121,IF(AE$110=0,INDEX($F102:$N102,0,AE$108),(INDEX($F102:$N102,0,AE$110+1)-INDEX($F102:$N102,0,AE$110))/(INDEX($F$4:$N$4,0,AE$110+1)-INDEX($F$4:$N$4,0,AE$110))+AD121)))</f>
        <v>31.536342249582265</v>
      </c>
      <c r="AF121" s="3" cm="1">
        <f t="array" ref="AF121">IF(AF$110=-1,AG121,IF(AF$110=99,AE121,IF(AF$110=0,INDEX($F102:$N102,0,AF$108),(INDEX($F102:$N102,0,AF$110+1)-INDEX($F102:$N102,0,AF$110))/(INDEX($F$4:$N$4,0,AF$110+1)-INDEX($F$4:$N$4,0,AF$110))+AE121)))</f>
        <v>34.86908752534363</v>
      </c>
      <c r="AG121" s="3" cm="1">
        <f t="array" ref="AG121">IF(AG$110=-1,AH121,IF(AG$110=99,AF121,IF(AG$110=0,INDEX($F102:$N102,0,AG$108),(INDEX($F102:$N102,0,AG$110+1)-INDEX($F102:$N102,0,AG$110))/(INDEX($F$4:$N$4,0,AG$110+1)-INDEX($F$4:$N$4,0,AG$110))+AF121)))</f>
        <v>38.201832801104999</v>
      </c>
      <c r="AH121" s="3" cm="1">
        <f t="array" ref="AH121">IF(AH$110=-1,AI121,IF(AH$110=99,AG121,IF(AH$110=0,INDEX($F102:$N102,0,AH$108),(INDEX($F102:$N102,0,AH$110+1)-INDEX($F102:$N102,0,AH$110))/(INDEX($F$4:$N$4,0,AH$110+1)-INDEX($F$4:$N$4,0,AH$110))+AG121)))</f>
        <v>41.534578076866367</v>
      </c>
      <c r="AI121" s="3" cm="1">
        <f t="array" ref="AI121">IF(AI$110=-1,AJ121,IF(AI$110=99,AH121,IF(AI$110=0,INDEX($F102:$N102,0,AI$108),(INDEX($F102:$N102,0,AI$110+1)-INDEX($F102:$N102,0,AI$110))/(INDEX($F$4:$N$4,0,AI$110+1)-INDEX($F$4:$N$4,0,AI$110))+AH121)))</f>
        <v>44.867323352627736</v>
      </c>
      <c r="AJ121" s="3" cm="1">
        <f t="array" ref="AJ121">IF(AJ$110=-1,AK121,IF(AJ$110=99,AI121,IF(AJ$110=0,INDEX($F102:$N102,0,AJ$108),(INDEX($F102:$N102,0,AJ$110+1)-INDEX($F102:$N102,0,AJ$110))/(INDEX($F$4:$N$4,0,AJ$110+1)-INDEX($F$4:$N$4,0,AJ$110))+AI121)))</f>
        <v>48.200068628389104</v>
      </c>
      <c r="AK121" s="3" cm="1">
        <f t="array" ref="AK121">IF(AK$110=-1,AL121,IF(AK$110=99,AJ121,IF(AK$110=0,INDEX($F102:$N102,0,AK$108),(INDEX($F102:$N102,0,AK$110+1)-INDEX($F102:$N102,0,AK$110))/(INDEX($F$4:$N$4,0,AK$110+1)-INDEX($F$4:$N$4,0,AK$110))+AJ121)))</f>
        <v>51.532813904150473</v>
      </c>
      <c r="AL121" s="3" cm="1">
        <f t="array" ref="AL121">IF(AL$110=-1,AM121,IF(AL$110=99,AK121,IF(AL$110=0,INDEX($F102:$N102,0,AL$108),(INDEX($F102:$N102,0,AL$110+1)-INDEX($F102:$N102,0,AL$110))/(INDEX($F$4:$N$4,0,AL$110+1)-INDEX($F$4:$N$4,0,AL$110))+AK121)))</f>
        <v>54.865559179911841</v>
      </c>
      <c r="AM121" s="3" cm="1">
        <f t="array" ref="AM121">IF(AM$110=-1,AN121,IF(AM$110=99,AL121,IF(AM$110=0,INDEX($F102:$N102,0,AM$108),(INDEX($F102:$N102,0,AM$110+1)-INDEX($F102:$N102,0,AM$110))/(INDEX($F$4:$N$4,0,AM$110+1)-INDEX($F$4:$N$4,0,AM$110))+AL121)))</f>
        <v>58.19830445567321</v>
      </c>
      <c r="AN121" s="3" cm="1">
        <f t="array" ref="AN121">IF(AN$110=-1,AO121,IF(AN$110=99,AM121,IF(AN$110=0,INDEX($F102:$N102,0,AN$108),(INDEX($F102:$N102,0,AN$110+1)-INDEX($F102:$N102,0,AN$110))/(INDEX($F$4:$N$4,0,AN$110+1)-INDEX($F$4:$N$4,0,AN$110))+AM121)))</f>
        <v>61.531049731434578</v>
      </c>
      <c r="AO121" s="3" cm="1">
        <f t="array" ref="AO121">IF(AO$110=-1,AP121,IF(AO$110=99,AN121,IF(AO$110=0,INDEX($F102:$N102,0,AO$108),(INDEX($F102:$N102,0,AO$110+1)-INDEX($F102:$N102,0,AO$110))/(INDEX($F$4:$N$4,0,AO$110+1)-INDEX($F$4:$N$4,0,AO$110))+AN121)))</f>
        <v>65.389054824513252</v>
      </c>
      <c r="AP121" s="3" cm="1">
        <f t="array" ref="AP121">IF(AP$110=-1,AQ121,IF(AP$110=99,AO121,IF(AP$110=0,INDEX($F102:$N102,0,AP$108),(INDEX($F102:$N102,0,AP$110+1)-INDEX($F102:$N102,0,AP$110))/(INDEX($F$4:$N$4,0,AP$110+1)-INDEX($F$4:$N$4,0,AP$110))+AO121)))</f>
        <v>69.247059917591926</v>
      </c>
      <c r="AQ121" s="3" cm="1">
        <f t="array" ref="AQ121">IF(AQ$110=-1,AR121,IF(AQ$110=99,AP121,IF(AQ$110=0,INDEX($F102:$N102,0,AQ$108),(INDEX($F102:$N102,0,AQ$110+1)-INDEX($F102:$N102,0,AQ$110))/(INDEX($F$4:$N$4,0,AQ$110+1)-INDEX($F$4:$N$4,0,AQ$110))+AP121)))</f>
        <v>73.1050650106706</v>
      </c>
      <c r="AR121" s="3" cm="1">
        <f t="array" ref="AR121">IF(AR$110=-1,AS121,IF(AR$110=99,AQ121,IF(AR$110=0,INDEX($F102:$N102,0,AR$108),(INDEX($F102:$N102,0,AR$110+1)-INDEX($F102:$N102,0,AR$110))/(INDEX($F$4:$N$4,0,AR$110+1)-INDEX($F$4:$N$4,0,AR$110))+AQ121)))</f>
        <v>76.963070103749274</v>
      </c>
      <c r="AS121" s="3" cm="1">
        <f t="array" ref="AS121">IF(AS$110=-1,AT121,IF(AS$110=99,AR121,IF(AS$110=0,INDEX($F102:$N102,0,AS$108),(INDEX($F102:$N102,0,AS$110+1)-INDEX($F102:$N102,0,AS$110))/(INDEX($F$4:$N$4,0,AS$110+1)-INDEX($F$4:$N$4,0,AS$110))+AR121)))</f>
        <v>80.821075196827948</v>
      </c>
      <c r="AT121" s="3" cm="1">
        <f t="array" ref="AT121">IF(AT$110=-1,AU121,IF(AT$110=99,AS121,IF(AT$110=0,INDEX($F102:$N102,0,AT$108),(INDEX($F102:$N102,0,AT$110+1)-INDEX($F102:$N102,0,AT$110))/(INDEX($F$4:$N$4,0,AT$110+1)-INDEX($F$4:$N$4,0,AT$110))+AS121)))</f>
        <v>84.679080289906622</v>
      </c>
      <c r="AU121" s="3" cm="1">
        <f t="array" ref="AU121">IF(AU$110=-1,AV121,IF(AU$110=99,AT121,IF(AU$110=0,INDEX($F102:$N102,0,AU$108),(INDEX($F102:$N102,0,AU$110+1)-INDEX($F102:$N102,0,AU$110))/(INDEX($F$4:$N$4,0,AU$110+1)-INDEX($F$4:$N$4,0,AU$110))+AT121)))</f>
        <v>88.537085382985296</v>
      </c>
      <c r="AV121" s="3" cm="1">
        <f t="array" ref="AV121">IF(AV$110=-1,AW121,IF(AV$110=99,AU121,IF(AV$110=0,INDEX($F102:$N102,0,AV$108),(INDEX($F102:$N102,0,AV$110+1)-INDEX($F102:$N102,0,AV$110))/(INDEX($F$4:$N$4,0,AV$110+1)-INDEX($F$4:$N$4,0,AV$110))+AU121)))</f>
        <v>92.39509047606397</v>
      </c>
      <c r="AW121" s="3" cm="1">
        <f t="array" ref="AW121">IF(AW$110=-1,AX121,IF(AW$110=99,AV121,IF(AW$110=0,INDEX($F102:$N102,0,AW$108),(INDEX($F102:$N102,0,AW$110+1)-INDEX($F102:$N102,0,AW$110))/(INDEX($F$4:$N$4,0,AW$110+1)-INDEX($F$4:$N$4,0,AW$110))+AV121)))</f>
        <v>96.253095569142644</v>
      </c>
      <c r="AX121" s="3" cm="1">
        <f t="array" ref="AX121">IF(AX$110=-1,AY121,IF(AX$110=99,AW121,IF(AX$110=0,INDEX($F102:$N102,0,AX$108),(INDEX($F102:$N102,0,AX$110+1)-INDEX($F102:$N102,0,AX$110))/(INDEX($F$4:$N$4,0,AX$110+1)-INDEX($F$4:$N$4,0,AX$110))+AW121)))</f>
        <v>100.11110066222132</v>
      </c>
      <c r="AY121" s="3" cm="1">
        <f t="array" ref="AY121">IF(AY$110=-1,AZ121,IF(AY$110=99,AX121,IF(AY$110=0,INDEX($F102:$N102,0,AY$108),(INDEX($F102:$N102,0,AY$110+1)-INDEX($F102:$N102,0,AY$110))/(INDEX($F$4:$N$4,0,AY$110+1)-INDEX($F$4:$N$4,0,AY$110))+AX121)))</f>
        <v>145.64946887396664</v>
      </c>
      <c r="AZ121" s="3" cm="1">
        <f t="array" ref="AZ121">IF(AZ$110=-1,BA121,IF(AZ$110=99,AY121,IF(AZ$110=0,INDEX($F102:$N102,0,AZ$108),(INDEX($F102:$N102,0,AZ$110+1)-INDEX($F102:$N102,0,AZ$110))/(INDEX($F$4:$N$4,0,AZ$110+1)-INDEX($F$4:$N$4,0,AZ$110))+AY121)))</f>
        <v>178.02134980359452</v>
      </c>
    </row>
    <row r="122" spans="1:52">
      <c r="A122" s="99" t="s">
        <v>16</v>
      </c>
      <c r="B122" s="15" t="str">
        <f t="shared" si="320"/>
        <v/>
      </c>
      <c r="C122" s="16" t="str">
        <f t="shared" si="321"/>
        <v/>
      </c>
      <c r="D122" s="43" t="s">
        <v>368</v>
      </c>
      <c r="E122" s="16" t="str">
        <f t="shared" si="322"/>
        <v/>
      </c>
      <c r="H122" s="16" t="str">
        <f t="shared" si="322"/>
        <v/>
      </c>
      <c r="J122" s="16" t="str">
        <f t="shared" si="322"/>
        <v/>
      </c>
      <c r="K122" s="16" t="str">
        <f t="shared" si="322"/>
        <v/>
      </c>
      <c r="L122" s="106" t="str">
        <f t="shared" si="323"/>
        <v/>
      </c>
      <c r="M122" s="3" cm="1">
        <f t="array" ref="M122">IF(M$110=-1,N122,IF(M$110=99,#REF!,IF(M$110=0,INDEX($F103:$N103,0,M$108),(INDEX($F103:$N103,0,M$110+1)-INDEX($F103:$N103,0,M$110))/(INDEX($F$4:$N$4,0,M$110+1)-INDEX($F$4:$N$4,0,M$110))+#REF!)))</f>
        <v>27.142505514316699</v>
      </c>
      <c r="N122" s="3" cm="1">
        <f t="array" ref="N122">IF(N$110=-1,O122,IF(N$110=99,M122,IF(N$110=0,INDEX($F103:$N103,0,N$108),(INDEX($F103:$N103,0,N$110+1)-INDEX($F103:$N103,0,N$110))/(INDEX($F$4:$N$4,0,N$110+1)-INDEX($F$4:$N$4,0,N$110))+M122)))</f>
        <v>26.922878309927583</v>
      </c>
      <c r="O122" s="3" cm="1">
        <f t="array" ref="O122">IF(O$110=-1,P122,IF(O$110=99,N122,IF(O$110=0,INDEX($F103:$N103,0,O$108),(INDEX($F103:$N103,0,O$110+1)-INDEX($F103:$N103,0,O$110))/(INDEX($F$4:$N$4,0,O$110+1)-INDEX($F$4:$N$4,0,O$110))+N122)))</f>
        <v>26.703251105538467</v>
      </c>
      <c r="P122" s="3" cm="1">
        <f t="array" ref="P122">IF(P$110=-1,S122,IF(P$110=99,O122,IF(P$110=0,INDEX($F103:$N103,0,P$108),(INDEX($F103:$N103,0,P$110+1)-INDEX($F103:$N103,0,P$110))/(INDEX($F$4:$N$4,0,P$110+1)-INDEX($F$4:$N$4,0,P$110))+O122)))</f>
        <v>25.710844401627732</v>
      </c>
      <c r="Q122" s="3" cm="1">
        <f t="array" ref="Q122">IF(Q$110=-1,R122,IF(Q$110=99,N122,IF(Q$110=0,INDEX($F103:$N103,0,Q$108),(INDEX($F103:$N103,0,Q$110+1)-INDEX($F103:$N103,0,Q$110))/(INDEX($F$4:$N$4,0,Q$110+1)-INDEX($F$4:$N$4,0,Q$110))+N122)))</f>
        <v>26.703251105538467</v>
      </c>
      <c r="R122" s="3" cm="1">
        <f t="array" ref="R122">IF(R$110=-1,S122,IF(R$110=99,O122,IF(R$110=0,INDEX($F103:$N103,0,R$108),(INDEX($F103:$N103,0,R$110+1)-INDEX($F103:$N103,0,R$110))/(INDEX($F$4:$N$4,0,R$110+1)-INDEX($F$4:$N$4,0,R$110))+O122)))</f>
        <v>25.710844401627732</v>
      </c>
      <c r="S122" s="3" cm="1">
        <f t="array" ref="S122">IF(S$110=-1,T122,IF(S$110=99,P122,IF(S$110=0,INDEX($F103:$N103,0,S$108),(INDEX($F103:$N103,0,S$110+1)-INDEX($F103:$N103,0,S$110))/(INDEX($F$4:$N$4,0,S$110+1)-INDEX($F$4:$N$4,0,S$110))+P122)))</f>
        <v>25.970242908568729</v>
      </c>
      <c r="T122" s="3" cm="1">
        <f t="array" ref="T122">IF(T$110=-1,U122,IF(T$110=99,S122,IF(T$110=0,INDEX($F103:$N103,0,T$108),(INDEX($F103:$N103,0,T$110+1)-INDEX($F103:$N103,0,T$110))/(INDEX($F$4:$N$4,0,T$110+1)-INDEX($F$4:$N$4,0,T$110))+S122)))</f>
        <v>26.327626949537315</v>
      </c>
      <c r="U122" s="3" cm="1">
        <f t="array" ref="U122">IF(U$110=-1,V122,IF(U$110=99,T122,IF(U$110=0,INDEX($F103:$N103,0,U$108),(INDEX($F103:$N103,0,U$110+1)-INDEX($F103:$N103,0,U$110))/(INDEX($F$4:$N$4,0,U$110+1)-INDEX($F$4:$N$4,0,U$110))+T122)))</f>
        <v>26.685010990505901</v>
      </c>
      <c r="V122" s="3" cm="1">
        <f t="array" ref="V122">IF(V$110=-1,W122,IF(V$110=99,U122,IF(V$110=0,INDEX($F103:$N103,0,V$108),(INDEX($F103:$N103,0,V$110+1)-INDEX($F103:$N103,0,V$110))/(INDEX($F$4:$N$4,0,V$110+1)-INDEX($F$4:$N$4,0,V$110))+U122)))</f>
        <v>27.042395031474488</v>
      </c>
      <c r="W122" s="3" cm="1">
        <f t="array" ref="W122">IF(W$110=-1,X122,IF(W$110=99,V122,IF(W$110=0,INDEX($F103:$N103,0,W$108),(INDEX($F103:$N103,0,W$110+1)-INDEX($F103:$N103,0,W$110))/(INDEX($F$4:$N$4,0,W$110+1)-INDEX($F$4:$N$4,0,W$110))+V122)))</f>
        <v>27.399779072443074</v>
      </c>
      <c r="X122" s="3" cm="1">
        <f t="array" ref="X122">IF(X$110=-1,Y122,IF(X$110=99,W122,IF(X$110=0,INDEX($F103:$N103,0,X$108),(INDEX($F103:$N103,0,X$110+1)-INDEX($F103:$N103,0,X$110))/(INDEX($F$4:$N$4,0,X$110+1)-INDEX($F$4:$N$4,0,X$110))+W122)))</f>
        <v>27.757163113411661</v>
      </c>
      <c r="Y122" s="3" cm="1">
        <f t="array" ref="Y122">IF(Y$110=-1,Z122,IF(Y$110=99,X122,IF(Y$110=0,INDEX($F103:$N103,0,Y$108),(INDEX($F103:$N103,0,Y$110+1)-INDEX($F103:$N103,0,Y$110))/(INDEX($F$4:$N$4,0,Y$110+1)-INDEX($F$4:$N$4,0,Y$110))+X122)))</f>
        <v>28.114547154380247</v>
      </c>
      <c r="Z122" s="3" cm="1">
        <f t="array" ref="Z122">IF(Z$110=-1,AC122,IF(Z$110=99,Y122,IF(Z$110=0,INDEX($F103:$N103,0,Z$108),(INDEX($F103:$N103,0,Z$110+1)-INDEX($F103:$N103,0,Z$110))/(INDEX($F$4:$N$4,0,Z$110+1)-INDEX($F$4:$N$4,0,Z$110))+Y122)))</f>
        <v>28.471931195348834</v>
      </c>
      <c r="AA122" s="3" cm="1">
        <f t="array" ref="AA122">IF(AA$110=-1,AB122,IF(AA$110=99,X122,IF(AA$110=0,INDEX($F103:$N103,0,AA$108),(INDEX($F103:$N103,0,AA$110+1)-INDEX($F103:$N103,0,AA$110))/(INDEX($F$4:$N$4,0,AA$110+1)-INDEX($F$4:$N$4,0,AA$110))+X122)))</f>
        <v>28.114547154380247</v>
      </c>
      <c r="AB122" s="3" cm="1">
        <f t="array" ref="AB122">IF(AB$110=-1,AC122,IF(AB$110=99,Y122,IF(AB$110=0,INDEX($F103:$N103,0,AB$108),(INDEX($F103:$N103,0,AB$110+1)-INDEX($F103:$N103,0,AB$110))/(INDEX($F$4:$N$4,0,AB$110+1)-INDEX($F$4:$N$4,0,AB$110))+Y122)))</f>
        <v>28.471931195348834</v>
      </c>
      <c r="AC122" s="3" cm="1">
        <f t="array" ref="AC122">IF(AC$110=-1,AD122,IF(AC$110=99,Z122,IF(AC$110=0,INDEX($F103:$N103,0,AC$108),(INDEX($F103:$N103,0,AC$110+1)-INDEX($F103:$N103,0,AC$110))/(INDEX($F$4:$N$4,0,AC$110+1)-INDEX($F$4:$N$4,0,AC$110))+Z122)))</f>
        <v>28.82931523631742</v>
      </c>
      <c r="AD122" s="3" cm="1">
        <f t="array" ref="AD122">IF(AD$110=-1,AE122,IF(AD$110=99,AC122,IF(AD$110=0,INDEX($F103:$N103,0,AD$108),(INDEX($F103:$N103,0,AD$110+1)-INDEX($F103:$N103,0,AD$110))/(INDEX($F$4:$N$4,0,AD$110+1)-INDEX($F$4:$N$4,0,AD$110))+AC122)))</f>
        <v>29.186699277286003</v>
      </c>
      <c r="AE122" s="3" cm="1">
        <f t="array" ref="AE122">IF(AE$110=-1,AF122,IF(AE$110=99,AD122,IF(AE$110=0,INDEX($F103:$N103,0,AE$108),(INDEX($F103:$N103,0,AE$110+1)-INDEX($F103:$N103,0,AE$110))/(INDEX($F$4:$N$4,0,AE$110+1)-INDEX($F$4:$N$4,0,AE$110))+AD122)))</f>
        <v>30.270063160100765</v>
      </c>
      <c r="AF122" s="3" cm="1">
        <f t="array" ref="AF122">IF(AF$110=-1,AG122,IF(AF$110=99,AE122,IF(AF$110=0,INDEX($F103:$N103,0,AF$108),(INDEX($F103:$N103,0,AF$110+1)-INDEX($F103:$N103,0,AF$110))/(INDEX($F$4:$N$4,0,AF$110+1)-INDEX($F$4:$N$4,0,AF$110))+AE122)))</f>
        <v>31.353427042915527</v>
      </c>
      <c r="AG122" s="3" cm="1">
        <f t="array" ref="AG122">IF(AG$110=-1,AH122,IF(AG$110=99,AF122,IF(AG$110=0,INDEX($F103:$N103,0,AG$108),(INDEX($F103:$N103,0,AG$110+1)-INDEX($F103:$N103,0,AG$110))/(INDEX($F$4:$N$4,0,AG$110+1)-INDEX($F$4:$N$4,0,AG$110))+AF122)))</f>
        <v>32.436790925730286</v>
      </c>
      <c r="AH122" s="3" cm="1">
        <f t="array" ref="AH122">IF(AH$110=-1,AI122,IF(AH$110=99,AG122,IF(AH$110=0,INDEX($F103:$N103,0,AH$108),(INDEX($F103:$N103,0,AH$110+1)-INDEX($F103:$N103,0,AH$110))/(INDEX($F$4:$N$4,0,AH$110+1)-INDEX($F$4:$N$4,0,AH$110))+AG122)))</f>
        <v>33.520154808545044</v>
      </c>
      <c r="AI122" s="3" cm="1">
        <f t="array" ref="AI122">IF(AI$110=-1,AJ122,IF(AI$110=99,AH122,IF(AI$110=0,INDEX($F103:$N103,0,AI$108),(INDEX($F103:$N103,0,AI$110+1)-INDEX($F103:$N103,0,AI$110))/(INDEX($F$4:$N$4,0,AI$110+1)-INDEX($F$4:$N$4,0,AI$110))+AH122)))</f>
        <v>34.603518691359803</v>
      </c>
      <c r="AJ122" s="3" cm="1">
        <f t="array" ref="AJ122">IF(AJ$110=-1,AK122,IF(AJ$110=99,AI122,IF(AJ$110=0,INDEX($F103:$N103,0,AJ$108),(INDEX($F103:$N103,0,AJ$110+1)-INDEX($F103:$N103,0,AJ$110))/(INDEX($F$4:$N$4,0,AJ$110+1)-INDEX($F$4:$N$4,0,AJ$110))+AI122)))</f>
        <v>35.686882574174561</v>
      </c>
      <c r="AK122" s="3" cm="1">
        <f t="array" ref="AK122">IF(AK$110=-1,AL122,IF(AK$110=99,AJ122,IF(AK$110=0,INDEX($F103:$N103,0,AK$108),(INDEX($F103:$N103,0,AK$110+1)-INDEX($F103:$N103,0,AK$110))/(INDEX($F$4:$N$4,0,AK$110+1)-INDEX($F$4:$N$4,0,AK$110))+AJ122)))</f>
        <v>36.770246456989319</v>
      </c>
      <c r="AL122" s="3" cm="1">
        <f t="array" ref="AL122">IF(AL$110=-1,AM122,IF(AL$110=99,AK122,IF(AL$110=0,INDEX($F103:$N103,0,AL$108),(INDEX($F103:$N103,0,AL$110+1)-INDEX($F103:$N103,0,AL$110))/(INDEX($F$4:$N$4,0,AL$110+1)-INDEX($F$4:$N$4,0,AL$110))+AK122)))</f>
        <v>37.853610339804078</v>
      </c>
      <c r="AM122" s="3" cm="1">
        <f t="array" ref="AM122">IF(AM$110=-1,AN122,IF(AM$110=99,AL122,IF(AM$110=0,INDEX($F103:$N103,0,AM$108),(INDEX($F103:$N103,0,AM$110+1)-INDEX($F103:$N103,0,AM$110))/(INDEX($F$4:$N$4,0,AM$110+1)-INDEX($F$4:$N$4,0,AM$110))+AL122)))</f>
        <v>38.936974222618836</v>
      </c>
      <c r="AN122" s="3" cm="1">
        <f t="array" ref="AN122">IF(AN$110=-1,AO122,IF(AN$110=99,AM122,IF(AN$110=0,INDEX($F103:$N103,0,AN$108),(INDEX($F103:$N103,0,AN$110+1)-INDEX($F103:$N103,0,AN$110))/(INDEX($F$4:$N$4,0,AN$110+1)-INDEX($F$4:$N$4,0,AN$110))+AM122)))</f>
        <v>40.020338105433609</v>
      </c>
      <c r="AO122" s="3" cm="1">
        <f t="array" ref="AO122">IF(AO$110=-1,AP122,IF(AO$110=99,AN122,IF(AO$110=0,INDEX($F103:$N103,0,AO$108),(INDEX($F103:$N103,0,AO$110+1)-INDEX($F103:$N103,0,AO$110))/(INDEX($F$4:$N$4,0,AO$110+1)-INDEX($F$4:$N$4,0,AO$110))+AN122)))</f>
        <v>41.422441051529155</v>
      </c>
      <c r="AP122" s="3" cm="1">
        <f t="array" ref="AP122">IF(AP$110=-1,AQ122,IF(AP$110=99,AO122,IF(AP$110=0,INDEX($F103:$N103,0,AP$108),(INDEX($F103:$N103,0,AP$110+1)-INDEX($F103:$N103,0,AP$110))/(INDEX($F$4:$N$4,0,AP$110+1)-INDEX($F$4:$N$4,0,AP$110))+AO122)))</f>
        <v>42.824543997624701</v>
      </c>
      <c r="AQ122" s="3" cm="1">
        <f t="array" ref="AQ122">IF(AQ$110=-1,AR122,IF(AQ$110=99,AP122,IF(AQ$110=0,INDEX($F103:$N103,0,AQ$108),(INDEX($F103:$N103,0,AQ$110+1)-INDEX($F103:$N103,0,AQ$110))/(INDEX($F$4:$N$4,0,AQ$110+1)-INDEX($F$4:$N$4,0,AQ$110))+AP122)))</f>
        <v>44.226646943720247</v>
      </c>
      <c r="AR122" s="3" cm="1">
        <f t="array" ref="AR122">IF(AR$110=-1,AS122,IF(AR$110=99,AQ122,IF(AR$110=0,INDEX($F103:$N103,0,AR$108),(INDEX($F103:$N103,0,AR$110+1)-INDEX($F103:$N103,0,AR$110))/(INDEX($F$4:$N$4,0,AR$110+1)-INDEX($F$4:$N$4,0,AR$110))+AQ122)))</f>
        <v>45.628749889815793</v>
      </c>
      <c r="AS122" s="3" cm="1">
        <f t="array" ref="AS122">IF(AS$110=-1,AT122,IF(AS$110=99,AR122,IF(AS$110=0,INDEX($F103:$N103,0,AS$108),(INDEX($F103:$N103,0,AS$110+1)-INDEX($F103:$N103,0,AS$110))/(INDEX($F$4:$N$4,0,AS$110+1)-INDEX($F$4:$N$4,0,AS$110))+AR122)))</f>
        <v>47.03085283591134</v>
      </c>
      <c r="AT122" s="3" cm="1">
        <f t="array" ref="AT122">IF(AT$110=-1,AU122,IF(AT$110=99,AS122,IF(AT$110=0,INDEX($F103:$N103,0,AT$108),(INDEX($F103:$N103,0,AT$110+1)-INDEX($F103:$N103,0,AT$110))/(INDEX($F$4:$N$4,0,AT$110+1)-INDEX($F$4:$N$4,0,AT$110))+AS122)))</f>
        <v>48.432955782006886</v>
      </c>
      <c r="AU122" s="3" cm="1">
        <f t="array" ref="AU122">IF(AU$110=-1,AV122,IF(AU$110=99,AT122,IF(AU$110=0,INDEX($F103:$N103,0,AU$108),(INDEX($F103:$N103,0,AU$110+1)-INDEX($F103:$N103,0,AU$110))/(INDEX($F$4:$N$4,0,AU$110+1)-INDEX($F$4:$N$4,0,AU$110))+AT122)))</f>
        <v>49.835058728102432</v>
      </c>
      <c r="AV122" s="3" cm="1">
        <f t="array" ref="AV122">IF(AV$110=-1,AW122,IF(AV$110=99,AU122,IF(AV$110=0,INDEX($F103:$N103,0,AV$108),(INDEX($F103:$N103,0,AV$110+1)-INDEX($F103:$N103,0,AV$110))/(INDEX($F$4:$N$4,0,AV$110+1)-INDEX($F$4:$N$4,0,AV$110))+AU122)))</f>
        <v>51.237161674197978</v>
      </c>
      <c r="AW122" s="3" cm="1">
        <f t="array" ref="AW122">IF(AW$110=-1,AX122,IF(AW$110=99,AV122,IF(AW$110=0,INDEX($F103:$N103,0,AW$108),(INDEX($F103:$N103,0,AW$110+1)-INDEX($F103:$N103,0,AW$110))/(INDEX($F$4:$N$4,0,AW$110+1)-INDEX($F$4:$N$4,0,AW$110))+AV122)))</f>
        <v>52.639264620293524</v>
      </c>
      <c r="AX122" s="3" cm="1">
        <f t="array" ref="AX122">IF(AX$110=-1,AY122,IF(AX$110=99,AW122,IF(AX$110=0,INDEX($F103:$N103,0,AX$108),(INDEX($F103:$N103,0,AX$110+1)-INDEX($F103:$N103,0,AX$110))/(INDEX($F$4:$N$4,0,AX$110+1)-INDEX($F$4:$N$4,0,AX$110))+AW122)))</f>
        <v>54.041367566389084</v>
      </c>
      <c r="AY122" s="3" cm="1">
        <f t="array" ref="AY122">IF(AY$110=-1,AZ122,IF(AY$110=99,AX122,IF(AY$110=0,INDEX($F103:$N103,0,AY$108),(INDEX($F103:$N103,0,AY$110+1)-INDEX($F103:$N103,0,AY$110))/(INDEX($F$4:$N$4,0,AY$110+1)-INDEX($F$4:$N$4,0,AY$110))+AX122)))</f>
        <v>67.875998645520468</v>
      </c>
      <c r="AZ122" s="3" cm="1">
        <f t="array" ref="AZ122">IF(AZ$110=-1,BA122,IF(AZ$110=99,AY122,IF(AZ$110=0,INDEX($F103:$N103,0,AZ$108),(INDEX($F103:$N103,0,AZ$110+1)-INDEX($F103:$N103,0,AZ$110))/(INDEX($F$4:$N$4,0,AZ$110+1)-INDEX($F$4:$N$4,0,AZ$110))+AY122)))</f>
        <v>73.584170791170493</v>
      </c>
    </row>
    <row r="123" spans="1:52">
      <c r="A123" s="31" t="s">
        <v>16</v>
      </c>
      <c r="B123" s="15" t="str">
        <f t="shared" si="320"/>
        <v/>
      </c>
      <c r="C123" s="16" t="str">
        <f t="shared" si="321"/>
        <v/>
      </c>
      <c r="D123" s="43" t="s">
        <v>367</v>
      </c>
      <c r="E123" s="16" t="str">
        <f t="shared" si="322"/>
        <v/>
      </c>
      <c r="H123" s="16" t="str">
        <f t="shared" si="322"/>
        <v/>
      </c>
      <c r="J123" s="16" t="str">
        <f t="shared" si="322"/>
        <v/>
      </c>
      <c r="K123" s="16" t="str">
        <f t="shared" si="322"/>
        <v/>
      </c>
      <c r="L123" s="106" t="str">
        <f t="shared" si="323"/>
        <v/>
      </c>
      <c r="M123" s="3" cm="1">
        <f t="array" ref="M123">IF(M$110=-1,N123,IF(M$110=99,#REF!,IF(M$110=0,INDEX($F104:$N104,0,M$108),(INDEX($F104:$N104,0,M$110+1)-INDEX($F104:$N104,0,M$110))/(INDEX($F$4:$N$4,0,M$110+1)-INDEX($F$4:$N$4,0,M$110))+#REF!)))</f>
        <v>88.672727178245694</v>
      </c>
      <c r="N123" s="3" cm="1">
        <f t="array" ref="N123">IF(N$110=-1,O123,IF(N$110=99,M123,IF(N$110=0,INDEX($F104:$N104,0,N$108),(INDEX($F104:$N104,0,N$110+1)-INDEX($F104:$N104,0,N$110))/(INDEX($F$4:$N$4,0,N$110+1)-INDEX($F$4:$N$4,0,N$110))+M123)))</f>
        <v>88.015304929890732</v>
      </c>
      <c r="O123" s="3" cm="1">
        <f t="array" ref="O123">IF(O$110=-1,P123,IF(O$110=99,N123,IF(O$110=0,INDEX($F104:$N104,0,O$108),(INDEX($F104:$N104,0,O$110+1)-INDEX($F104:$N104,0,O$110))/(INDEX($F$4:$N$4,0,O$110+1)-INDEX($F$4:$N$4,0,O$110))+N123)))</f>
        <v>87.357882681535756</v>
      </c>
      <c r="P123" s="3" cm="1">
        <f t="array" ref="P123">IF(P$110=-1,S123,IF(P$110=99,O123,IF(P$110=0,INDEX($F104:$N104,0,P$108),(INDEX($F104:$N104,0,P$110+1)-INDEX($F104:$N104,0,P$110))/(INDEX($F$4:$N$4,0,P$110+1)-INDEX($F$4:$N$4,0,P$110))+O123)))</f>
        <v>84.559607459462228</v>
      </c>
      <c r="Q123" s="3" cm="1">
        <f t="array" ref="Q123">IF(Q$110=-1,R123,IF(Q$110=99,N123,IF(Q$110=0,INDEX($F104:$N104,0,Q$108),(INDEX($F104:$N104,0,Q$110+1)-INDEX($F104:$N104,0,Q$110))/(INDEX($F$4:$N$4,0,Q$110+1)-INDEX($F$4:$N$4,0,Q$110))+N123)))</f>
        <v>87.357882681535756</v>
      </c>
      <c r="R123" s="3" cm="1">
        <f t="array" ref="R123">IF(R$110=-1,S123,IF(R$110=99,O123,IF(R$110=0,INDEX($F104:$N104,0,R$108),(INDEX($F104:$N104,0,R$110+1)-INDEX($F104:$N104,0,R$110))/(INDEX($F$4:$N$4,0,R$110+1)-INDEX($F$4:$N$4,0,R$110))+O123)))</f>
        <v>84.559607459462228</v>
      </c>
      <c r="S123" s="3" cm="1">
        <f t="array" ref="S123">IF(S$110=-1,T123,IF(S$110=99,P123,IF(S$110=0,INDEX($F104:$N104,0,S$108),(INDEX($F104:$N104,0,S$110+1)-INDEX($F104:$N104,0,S$110))/(INDEX($F$4:$N$4,0,S$110+1)-INDEX($F$4:$N$4,0,S$110))+P123)))</f>
        <v>86.9457419513449</v>
      </c>
      <c r="T123" s="3" cm="1">
        <f t="array" ref="T123">IF(T$110=-1,U123,IF(T$110=99,S123,IF(T$110=0,INDEX($F104:$N104,0,T$108),(INDEX($F104:$N104,0,T$110+1)-INDEX($F104:$N104,0,T$110))/(INDEX($F$4:$N$4,0,T$110+1)-INDEX($F$4:$N$4,0,T$110))+S123)))</f>
        <v>87.492893650053077</v>
      </c>
      <c r="U123" s="3" cm="1">
        <f t="array" ref="U123">IF(U$110=-1,V123,IF(U$110=99,T123,IF(U$110=0,INDEX($F104:$N104,0,U$108),(INDEX($F104:$N104,0,U$110+1)-INDEX($F104:$N104,0,U$110))/(INDEX($F$4:$N$4,0,U$110+1)-INDEX($F$4:$N$4,0,U$110))+T123)))</f>
        <v>88.040045348761254</v>
      </c>
      <c r="V123" s="3" cm="1">
        <f t="array" ref="V123">IF(V$110=-1,W123,IF(V$110=99,U123,IF(V$110=0,INDEX($F104:$N104,0,V$108),(INDEX($F104:$N104,0,V$110+1)-INDEX($F104:$N104,0,V$110))/(INDEX($F$4:$N$4,0,V$110+1)-INDEX($F$4:$N$4,0,V$110))+U123)))</f>
        <v>88.587197047469431</v>
      </c>
      <c r="W123" s="3" cm="1">
        <f t="array" ref="W123">IF(W$110=-1,X123,IF(W$110=99,V123,IF(W$110=0,INDEX($F104:$N104,0,W$108),(INDEX($F104:$N104,0,W$110+1)-INDEX($F104:$N104,0,W$110))/(INDEX($F$4:$N$4,0,W$110+1)-INDEX($F$4:$N$4,0,W$110))+V123)))</f>
        <v>89.134348746177608</v>
      </c>
      <c r="X123" s="3" cm="1">
        <f t="array" ref="X123">IF(X$110=-1,Y123,IF(X$110=99,W123,IF(X$110=0,INDEX($F104:$N104,0,X$108),(INDEX($F104:$N104,0,X$110+1)-INDEX($F104:$N104,0,X$110))/(INDEX($F$4:$N$4,0,X$110+1)-INDEX($F$4:$N$4,0,X$110))+W123)))</f>
        <v>89.681500444885785</v>
      </c>
      <c r="Y123" s="3" cm="1">
        <f t="array" ref="Y123">IF(Y$110=-1,Z123,IF(Y$110=99,X123,IF(Y$110=0,INDEX($F104:$N104,0,Y$108),(INDEX($F104:$N104,0,Y$110+1)-INDEX($F104:$N104,0,Y$110))/(INDEX($F$4:$N$4,0,Y$110+1)-INDEX($F$4:$N$4,0,Y$110))+X123)))</f>
        <v>90.228652143593962</v>
      </c>
      <c r="Z123" s="3" cm="1">
        <f t="array" ref="Z123">IF(Z$110=-1,AC123,IF(Z$110=99,Y123,IF(Z$110=0,INDEX($F104:$N104,0,Z$108),(INDEX($F104:$N104,0,Z$110+1)-INDEX($F104:$N104,0,Z$110))/(INDEX($F$4:$N$4,0,Z$110+1)-INDEX($F$4:$N$4,0,Z$110))+Y123)))</f>
        <v>90.775803842302139</v>
      </c>
      <c r="AA123" s="3" cm="1">
        <f t="array" ref="AA123">IF(AA$110=-1,AB123,IF(AA$110=99,X123,IF(AA$110=0,INDEX($F104:$N104,0,AA$108),(INDEX($F104:$N104,0,AA$110+1)-INDEX($F104:$N104,0,AA$110))/(INDEX($F$4:$N$4,0,AA$110+1)-INDEX($F$4:$N$4,0,AA$110))+X123)))</f>
        <v>90.228652143593962</v>
      </c>
      <c r="AB123" s="3" cm="1">
        <f t="array" ref="AB123">IF(AB$110=-1,AC123,IF(AB$110=99,Y123,IF(AB$110=0,INDEX($F104:$N104,0,AB$108),(INDEX($F104:$N104,0,AB$110+1)-INDEX($F104:$N104,0,AB$110))/(INDEX($F$4:$N$4,0,AB$110+1)-INDEX($F$4:$N$4,0,AB$110))+Y123)))</f>
        <v>90.775803842302139</v>
      </c>
      <c r="AC123" s="3" cm="1">
        <f t="array" ref="AC123">IF(AC$110=-1,AD123,IF(AC$110=99,Z123,IF(AC$110=0,INDEX($F104:$N104,0,AC$108),(INDEX($F104:$N104,0,AC$110+1)-INDEX($F104:$N104,0,AC$110))/(INDEX($F$4:$N$4,0,AC$110+1)-INDEX($F$4:$N$4,0,AC$110))+Z123)))</f>
        <v>91.322955541010316</v>
      </c>
      <c r="AD123" s="3" cm="1">
        <f t="array" ref="AD123">IF(AD$110=-1,AE123,IF(AD$110=99,AC123,IF(AD$110=0,INDEX($F104:$N104,0,AD$108),(INDEX($F104:$N104,0,AD$110+1)-INDEX($F104:$N104,0,AD$110))/(INDEX($F$4:$N$4,0,AD$110+1)-INDEX($F$4:$N$4,0,AD$110))+AC123)))</f>
        <v>91.870107239718436</v>
      </c>
      <c r="AE123" s="3" cm="1">
        <f t="array" ref="AE123">IF(AE$110=-1,AF123,IF(AE$110=99,AD123,IF(AE$110=0,INDEX($F104:$N104,0,AE$108),(INDEX($F104:$N104,0,AE$110+1)-INDEX($F104:$N104,0,AE$110))/(INDEX($F$4:$N$4,0,AE$110+1)-INDEX($F$4:$N$4,0,AE$110))+AD123)))</f>
        <v>93.941525788489685</v>
      </c>
      <c r="AF123" s="3" cm="1">
        <f t="array" ref="AF123">IF(AF$110=-1,AG123,IF(AF$110=99,AE123,IF(AF$110=0,INDEX($F104:$N104,0,AF$108),(INDEX($F104:$N104,0,AF$110+1)-INDEX($F104:$N104,0,AF$110))/(INDEX($F$4:$N$4,0,AF$110+1)-INDEX($F$4:$N$4,0,AF$110))+AE123)))</f>
        <v>96.012944337260933</v>
      </c>
      <c r="AG123" s="3" cm="1">
        <f t="array" ref="AG123">IF(AG$110=-1,AH123,IF(AG$110=99,AF123,IF(AG$110=0,INDEX($F104:$N104,0,AG$108),(INDEX($F104:$N104,0,AG$110+1)-INDEX($F104:$N104,0,AG$110))/(INDEX($F$4:$N$4,0,AG$110+1)-INDEX($F$4:$N$4,0,AG$110))+AF123)))</f>
        <v>98.084362886032181</v>
      </c>
      <c r="AH123" s="3" cm="1">
        <f t="array" ref="AH123">IF(AH$110=-1,AI123,IF(AH$110=99,AG123,IF(AH$110=0,INDEX($F104:$N104,0,AH$108),(INDEX($F104:$N104,0,AH$110+1)-INDEX($F104:$N104,0,AH$110))/(INDEX($F$4:$N$4,0,AH$110+1)-INDEX($F$4:$N$4,0,AH$110))+AG123)))</f>
        <v>100.15578143480343</v>
      </c>
      <c r="AI123" s="3" cm="1">
        <f t="array" ref="AI123">IF(AI$110=-1,AJ123,IF(AI$110=99,AH123,IF(AI$110=0,INDEX($F104:$N104,0,AI$108),(INDEX($F104:$N104,0,AI$110+1)-INDEX($F104:$N104,0,AI$110))/(INDEX($F$4:$N$4,0,AI$110+1)-INDEX($F$4:$N$4,0,AI$110))+AH123)))</f>
        <v>102.22719998357468</v>
      </c>
      <c r="AJ123" s="3" cm="1">
        <f t="array" ref="AJ123">IF(AJ$110=-1,AK123,IF(AJ$110=99,AI123,IF(AJ$110=0,INDEX($F104:$N104,0,AJ$108),(INDEX($F104:$N104,0,AJ$110+1)-INDEX($F104:$N104,0,AJ$110))/(INDEX($F$4:$N$4,0,AJ$110+1)-INDEX($F$4:$N$4,0,AJ$110))+AI123)))</f>
        <v>104.29861853234593</v>
      </c>
      <c r="AK123" s="3" cm="1">
        <f t="array" ref="AK123">IF(AK$110=-1,AL123,IF(AK$110=99,AJ123,IF(AK$110=0,INDEX($F104:$N104,0,AK$108),(INDEX($F104:$N104,0,AK$110+1)-INDEX($F104:$N104,0,AK$110))/(INDEX($F$4:$N$4,0,AK$110+1)-INDEX($F$4:$N$4,0,AK$110))+AJ123)))</f>
        <v>106.37003708111718</v>
      </c>
      <c r="AL123" s="3" cm="1">
        <f t="array" ref="AL123">IF(AL$110=-1,AM123,IF(AL$110=99,AK123,IF(AL$110=0,INDEX($F104:$N104,0,AL$108),(INDEX($F104:$N104,0,AL$110+1)-INDEX($F104:$N104,0,AL$110))/(INDEX($F$4:$N$4,0,AL$110+1)-INDEX($F$4:$N$4,0,AL$110))+AK123)))</f>
        <v>108.44145562988842</v>
      </c>
      <c r="AM123" s="3" cm="1">
        <f t="array" ref="AM123">IF(AM$110=-1,AN123,IF(AM$110=99,AL123,IF(AM$110=0,INDEX($F104:$N104,0,AM$108),(INDEX($F104:$N104,0,AM$110+1)-INDEX($F104:$N104,0,AM$110))/(INDEX($F$4:$N$4,0,AM$110+1)-INDEX($F$4:$N$4,0,AM$110))+AL123)))</f>
        <v>110.51287417865967</v>
      </c>
      <c r="AN123" s="3" cm="1">
        <f t="array" ref="AN123">IF(AN$110=-1,AO123,IF(AN$110=99,AM123,IF(AN$110=0,INDEX($F104:$N104,0,AN$108),(INDEX($F104:$N104,0,AN$110+1)-INDEX($F104:$N104,0,AN$110))/(INDEX($F$4:$N$4,0,AN$110+1)-INDEX($F$4:$N$4,0,AN$110))+AM123)))</f>
        <v>112.58429272743091</v>
      </c>
      <c r="AO123" s="3" cm="1">
        <f t="array" ref="AO123">IF(AO$110=-1,AP123,IF(AO$110=99,AN123,IF(AO$110=0,INDEX($F104:$N104,0,AO$108),(INDEX($F104:$N104,0,AO$110+1)-INDEX($F104:$N104,0,AO$110))/(INDEX($F$4:$N$4,0,AO$110+1)-INDEX($F$4:$N$4,0,AO$110))+AN123)))</f>
        <v>116.16694746836296</v>
      </c>
      <c r="AP123" s="3" cm="1">
        <f t="array" ref="AP123">IF(AP$110=-1,AQ123,IF(AP$110=99,AO123,IF(AP$110=0,INDEX($F104:$N104,0,AP$108),(INDEX($F104:$N104,0,AP$110+1)-INDEX($F104:$N104,0,AP$110))/(INDEX($F$4:$N$4,0,AP$110+1)-INDEX($F$4:$N$4,0,AP$110))+AO123)))</f>
        <v>119.74960220929502</v>
      </c>
      <c r="AQ123" s="3" cm="1">
        <f t="array" ref="AQ123">IF(AQ$110=-1,AR123,IF(AQ$110=99,AP123,IF(AQ$110=0,INDEX($F104:$N104,0,AQ$108),(INDEX($F104:$N104,0,AQ$110+1)-INDEX($F104:$N104,0,AQ$110))/(INDEX($F$4:$N$4,0,AQ$110+1)-INDEX($F$4:$N$4,0,AQ$110))+AP123)))</f>
        <v>123.33225695022708</v>
      </c>
      <c r="AR123" s="3" cm="1">
        <f t="array" ref="AR123">IF(AR$110=-1,AS123,IF(AR$110=99,AQ123,IF(AR$110=0,INDEX($F104:$N104,0,AR$108),(INDEX($F104:$N104,0,AR$110+1)-INDEX($F104:$N104,0,AR$110))/(INDEX($F$4:$N$4,0,AR$110+1)-INDEX($F$4:$N$4,0,AR$110))+AQ123)))</f>
        <v>126.91491169115913</v>
      </c>
      <c r="AS123" s="3" cm="1">
        <f t="array" ref="AS123">IF(AS$110=-1,AT123,IF(AS$110=99,AR123,IF(AS$110=0,INDEX($F104:$N104,0,AS$108),(INDEX($F104:$N104,0,AS$110+1)-INDEX($F104:$N104,0,AS$110))/(INDEX($F$4:$N$4,0,AS$110+1)-INDEX($F$4:$N$4,0,AS$110))+AR123)))</f>
        <v>130.49756643209119</v>
      </c>
      <c r="AT123" s="3" cm="1">
        <f t="array" ref="AT123">IF(AT$110=-1,AU123,IF(AT$110=99,AS123,IF(AT$110=0,INDEX($F104:$N104,0,AT$108),(INDEX($F104:$N104,0,AT$110+1)-INDEX($F104:$N104,0,AT$110))/(INDEX($F$4:$N$4,0,AT$110+1)-INDEX($F$4:$N$4,0,AT$110))+AS123)))</f>
        <v>134.08022117302323</v>
      </c>
      <c r="AU123" s="3" cm="1">
        <f t="array" ref="AU123">IF(AU$110=-1,AV123,IF(AU$110=99,AT123,IF(AU$110=0,INDEX($F104:$N104,0,AU$108),(INDEX($F104:$N104,0,AU$110+1)-INDEX($F104:$N104,0,AU$110))/(INDEX($F$4:$N$4,0,AU$110+1)-INDEX($F$4:$N$4,0,AU$110))+AT123)))</f>
        <v>137.66287591395528</v>
      </c>
      <c r="AV123" s="3" cm="1">
        <f t="array" ref="AV123">IF(AV$110=-1,AW123,IF(AV$110=99,AU123,IF(AV$110=0,INDEX($F104:$N104,0,AV$108),(INDEX($F104:$N104,0,AV$110+1)-INDEX($F104:$N104,0,AV$110))/(INDEX($F$4:$N$4,0,AV$110+1)-INDEX($F$4:$N$4,0,AV$110))+AU123)))</f>
        <v>141.24553065488732</v>
      </c>
      <c r="AW123" s="3" cm="1">
        <f t="array" ref="AW123">IF(AW$110=-1,AX123,IF(AW$110=99,AV123,IF(AW$110=0,INDEX($F104:$N104,0,AW$108),(INDEX($F104:$N104,0,AW$110+1)-INDEX($F104:$N104,0,AW$110))/(INDEX($F$4:$N$4,0,AW$110+1)-INDEX($F$4:$N$4,0,AW$110))+AV123)))</f>
        <v>144.82818539581936</v>
      </c>
      <c r="AX123" s="3" cm="1">
        <f t="array" ref="AX123">IF(AX$110=-1,AY123,IF(AX$110=99,AW123,IF(AX$110=0,INDEX($F104:$N104,0,AX$108),(INDEX($F104:$N104,0,AX$110+1)-INDEX($F104:$N104,0,AX$110))/(INDEX($F$4:$N$4,0,AX$110+1)-INDEX($F$4:$N$4,0,AX$110))+AW123)))</f>
        <v>148.41084013675146</v>
      </c>
      <c r="AY123" s="3" cm="1">
        <f t="array" ref="AY123">IF(AY$110=-1,AZ123,IF(AY$110=99,AX123,IF(AY$110=0,INDEX($F104:$N104,0,AY$108),(INDEX($F104:$N104,0,AY$110+1)-INDEX($F104:$N104,0,AY$110))/(INDEX($F$4:$N$4,0,AY$110+1)-INDEX($F$4:$N$4,0,AY$110))+AX123)))</f>
        <v>183.24497714602427</v>
      </c>
      <c r="AZ123" s="3" cm="1">
        <f t="array" ref="AZ123">IF(AZ$110=-1,BA123,IF(AZ$110=99,AY123,IF(AZ$110=0,INDEX($F104:$N104,0,AZ$108),(INDEX($F104:$N104,0,AZ$110+1)-INDEX($F104:$N104,0,AZ$110))/(INDEX($F$4:$N$4,0,AZ$110+1)-INDEX($F$4:$N$4,0,AZ$110))+AY123)))</f>
        <v>196.27767980712804</v>
      </c>
    </row>
    <row r="124" spans="1:52">
      <c r="A124" t="s">
        <v>16</v>
      </c>
      <c r="B124" s="3"/>
      <c r="C124" s="3"/>
      <c r="J124" s="6"/>
      <c r="K124" s="6"/>
      <c r="L124" s="6"/>
      <c r="M124" s="6"/>
      <c r="N124" s="6"/>
      <c r="O124" s="6"/>
      <c r="P124" s="6"/>
      <c r="R124" s="6"/>
    </row>
    <row r="125" spans="1:52">
      <c r="A125" t="s">
        <v>16</v>
      </c>
      <c r="B125" s="3"/>
      <c r="C125" s="3"/>
      <c r="H125" s="6"/>
      <c r="I125" s="6"/>
      <c r="J125" s="6"/>
      <c r="K125" s="6"/>
      <c r="L125" s="6"/>
      <c r="N125" s="6"/>
      <c r="O125" s="6"/>
      <c r="P125" s="6"/>
    </row>
    <row r="126" spans="1:52">
      <c r="A126" t="s">
        <v>16</v>
      </c>
      <c r="B126" s="3"/>
      <c r="C126" s="3"/>
      <c r="H126" s="6"/>
      <c r="I126" s="6"/>
      <c r="J126" s="6"/>
      <c r="K126" s="6"/>
      <c r="L126" s="6"/>
      <c r="N126" s="6"/>
      <c r="O126" s="6"/>
      <c r="P126" s="6"/>
    </row>
    <row r="127" spans="1:52" ht="23.25">
      <c r="A127" s="97" t="s">
        <v>16</v>
      </c>
      <c r="B127" s="101" t="s">
        <v>19</v>
      </c>
      <c r="C127" s="101" t="s">
        <v>20</v>
      </c>
      <c r="D127" s="101" t="s">
        <v>21</v>
      </c>
      <c r="E127" s="101" t="s">
        <v>22</v>
      </c>
      <c r="F127" s="101" t="s">
        <v>23</v>
      </c>
      <c r="G127" s="101" t="s">
        <v>24</v>
      </c>
      <c r="H127" s="101" t="s">
        <v>594</v>
      </c>
      <c r="I127" s="101" t="s">
        <v>594</v>
      </c>
      <c r="J127" s="101" t="s">
        <v>623</v>
      </c>
      <c r="K127" s="102" t="s">
        <v>25</v>
      </c>
      <c r="L127" s="6"/>
      <c r="N127" s="6"/>
      <c r="O127" s="6"/>
      <c r="P127" s="6"/>
      <c r="U127" s="3"/>
      <c r="V127" s="3"/>
    </row>
    <row r="128" spans="1:52">
      <c r="A128" s="97" t="s">
        <v>16</v>
      </c>
      <c r="B128" s="98">
        <v>1</v>
      </c>
      <c r="C128" s="98">
        <v>2017</v>
      </c>
      <c r="D128" s="98">
        <v>2019</v>
      </c>
      <c r="E128" s="98">
        <v>2020</v>
      </c>
      <c r="F128" s="98">
        <v>2021</v>
      </c>
      <c r="G128" s="98">
        <v>2030</v>
      </c>
      <c r="H128" s="98">
        <v>2040</v>
      </c>
      <c r="I128" s="103">
        <v>2050</v>
      </c>
      <c r="J128" s="98">
        <v>2060</v>
      </c>
      <c r="K128" s="103">
        <v>2070</v>
      </c>
      <c r="L128" s="6"/>
      <c r="N128" s="6"/>
      <c r="O128" s="6"/>
      <c r="P128" s="6"/>
    </row>
    <row r="129" spans="1:75">
      <c r="A129" s="31"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6"/>
      <c r="N129" s="6"/>
      <c r="O129" s="6"/>
      <c r="P129" s="6"/>
    </row>
    <row r="130" spans="1:75">
      <c r="A130" s="31" t="s">
        <v>16</v>
      </c>
      <c r="B130">
        <v>-1</v>
      </c>
      <c r="C130">
        <v>0</v>
      </c>
      <c r="D130">
        <v>1</v>
      </c>
      <c r="E130">
        <v>2</v>
      </c>
      <c r="F130">
        <v>3</v>
      </c>
      <c r="G130">
        <v>4</v>
      </c>
      <c r="H130">
        <v>5</v>
      </c>
      <c r="I130">
        <v>6</v>
      </c>
      <c r="J130">
        <v>7</v>
      </c>
      <c r="K130">
        <v>8</v>
      </c>
      <c r="L130" s="6"/>
      <c r="N130" s="6"/>
      <c r="O130" s="6"/>
      <c r="P130" s="6"/>
    </row>
    <row r="131" spans="1:75">
      <c r="A131" s="99" t="s">
        <v>16</v>
      </c>
      <c r="B131" s="100"/>
      <c r="C131" s="100"/>
      <c r="D131" s="100"/>
      <c r="E131" s="100"/>
      <c r="F131" s="100"/>
      <c r="G131" s="100"/>
      <c r="H131" s="100"/>
      <c r="I131" s="100"/>
      <c r="J131" s="100"/>
      <c r="K131" s="105"/>
      <c r="L131" s="6"/>
      <c r="N131" s="6"/>
      <c r="O131" s="6"/>
      <c r="P131" s="6"/>
    </row>
    <row r="132" spans="1:75">
      <c r="A132" s="31"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24">MATCH(J$132,$C$128:$K$128,$B128)</f>
        <v>1</v>
      </c>
      <c r="K133" s="98">
        <f t="shared" si="324"/>
        <v>1</v>
      </c>
      <c r="L133" s="98">
        <f t="shared" si="324"/>
        <v>2</v>
      </c>
      <c r="M133" s="98">
        <f t="shared" si="324"/>
        <v>3</v>
      </c>
      <c r="N133" s="98">
        <f t="shared" si="324"/>
        <v>4</v>
      </c>
      <c r="O133" s="98">
        <f t="shared" si="324"/>
        <v>4</v>
      </c>
      <c r="P133" s="98">
        <f t="shared" si="324"/>
        <v>4</v>
      </c>
      <c r="Q133" s="98">
        <f t="shared" si="324"/>
        <v>4</v>
      </c>
      <c r="R133" s="98">
        <f t="shared" si="324"/>
        <v>4</v>
      </c>
      <c r="S133" s="98">
        <f t="shared" si="324"/>
        <v>4</v>
      </c>
      <c r="T133" s="98">
        <f t="shared" si="324"/>
        <v>4</v>
      </c>
      <c r="U133" s="98">
        <f t="shared" si="324"/>
        <v>4</v>
      </c>
      <c r="V133" s="98">
        <f t="shared" si="324"/>
        <v>4</v>
      </c>
      <c r="W133" s="98">
        <f t="shared" si="324"/>
        <v>4</v>
      </c>
      <c r="X133" s="98">
        <f t="shared" si="324"/>
        <v>4</v>
      </c>
      <c r="Y133" s="98">
        <f t="shared" si="324"/>
        <v>5</v>
      </c>
      <c r="Z133" s="98">
        <f t="shared" si="324"/>
        <v>5</v>
      </c>
      <c r="AA133" s="98">
        <f t="shared" si="324"/>
        <v>5</v>
      </c>
      <c r="AB133" s="98">
        <f t="shared" si="324"/>
        <v>5</v>
      </c>
      <c r="AC133" s="98">
        <f t="shared" si="324"/>
        <v>5</v>
      </c>
      <c r="AD133" s="98">
        <f t="shared" si="324"/>
        <v>5</v>
      </c>
      <c r="AE133" s="98">
        <f t="shared" si="324"/>
        <v>5</v>
      </c>
      <c r="AF133" s="98">
        <f t="shared" si="324"/>
        <v>5</v>
      </c>
      <c r="AG133" s="98">
        <f t="shared" si="324"/>
        <v>5</v>
      </c>
      <c r="AH133" s="98">
        <f t="shared" si="324"/>
        <v>5</v>
      </c>
      <c r="AI133" s="98">
        <f t="shared" si="324"/>
        <v>5</v>
      </c>
      <c r="AJ133" s="98">
        <f t="shared" si="324"/>
        <v>5</v>
      </c>
      <c r="AK133" s="98">
        <f t="shared" si="324"/>
        <v>6</v>
      </c>
      <c r="AL133" s="98">
        <f t="shared" si="324"/>
        <v>6</v>
      </c>
      <c r="AM133" s="98">
        <f t="shared" si="324"/>
        <v>7</v>
      </c>
      <c r="AN133" s="98">
        <f t="shared" si="324"/>
        <v>8</v>
      </c>
      <c r="AO133" s="98">
        <f t="shared" si="324"/>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25">MATCH(J$132,$C$128:$K$128,$B129)</f>
        <v>1</v>
      </c>
      <c r="K134" t="e">
        <f t="shared" si="325"/>
        <v>#N/A</v>
      </c>
      <c r="L134">
        <f t="shared" si="325"/>
        <v>2</v>
      </c>
      <c r="M134">
        <f t="shared" si="325"/>
        <v>3</v>
      </c>
      <c r="N134">
        <f t="shared" si="325"/>
        <v>4</v>
      </c>
      <c r="O134" t="e">
        <f t="shared" si="325"/>
        <v>#N/A</v>
      </c>
      <c r="P134" t="e">
        <f t="shared" si="325"/>
        <v>#N/A</v>
      </c>
      <c r="Q134" t="e">
        <f t="shared" si="325"/>
        <v>#N/A</v>
      </c>
      <c r="R134" t="e">
        <f t="shared" si="325"/>
        <v>#N/A</v>
      </c>
      <c r="S134" t="e">
        <f t="shared" si="325"/>
        <v>#N/A</v>
      </c>
      <c r="T134" t="e">
        <f t="shared" si="325"/>
        <v>#N/A</v>
      </c>
      <c r="U134" t="e">
        <f t="shared" si="325"/>
        <v>#N/A</v>
      </c>
      <c r="V134" t="e">
        <f t="shared" si="325"/>
        <v>#N/A</v>
      </c>
      <c r="W134" t="e">
        <f t="shared" si="325"/>
        <v>#N/A</v>
      </c>
      <c r="X134" t="e">
        <f t="shared" si="325"/>
        <v>#N/A</v>
      </c>
      <c r="Y134">
        <f t="shared" si="325"/>
        <v>5</v>
      </c>
      <c r="Z134" t="e">
        <f t="shared" si="325"/>
        <v>#N/A</v>
      </c>
      <c r="AA134" t="e">
        <f t="shared" si="325"/>
        <v>#N/A</v>
      </c>
      <c r="AB134" t="e">
        <f t="shared" si="325"/>
        <v>#N/A</v>
      </c>
      <c r="AC134" t="e">
        <f t="shared" si="325"/>
        <v>#N/A</v>
      </c>
      <c r="AD134" t="e">
        <f t="shared" si="325"/>
        <v>#N/A</v>
      </c>
      <c r="AE134" t="e">
        <f t="shared" si="325"/>
        <v>#N/A</v>
      </c>
      <c r="AF134" t="e">
        <f t="shared" si="325"/>
        <v>#N/A</v>
      </c>
      <c r="AG134" t="e">
        <f t="shared" si="325"/>
        <v>#N/A</v>
      </c>
      <c r="AH134" t="e">
        <f t="shared" si="325"/>
        <v>#N/A</v>
      </c>
      <c r="AI134" t="e">
        <f t="shared" si="325"/>
        <v>#N/A</v>
      </c>
      <c r="AJ134" t="e">
        <f t="shared" si="325"/>
        <v>#N/A</v>
      </c>
      <c r="AK134">
        <f t="shared" si="325"/>
        <v>6</v>
      </c>
      <c r="AL134" t="e">
        <f t="shared" si="325"/>
        <v>#N/A</v>
      </c>
      <c r="AM134">
        <f t="shared" si="325"/>
        <v>7</v>
      </c>
      <c r="AN134">
        <f t="shared" si="325"/>
        <v>8</v>
      </c>
      <c r="AO134">
        <f t="shared" si="325"/>
        <v>9</v>
      </c>
    </row>
    <row r="135" spans="1:75">
      <c r="A135" t="s">
        <v>16</v>
      </c>
      <c r="J135">
        <f t="shared" ref="J135:AO135" si="326">MATCH(J$132,$C$129:$K$129,$B130)</f>
        <v>9</v>
      </c>
      <c r="K135">
        <f t="shared" si="326"/>
        <v>8</v>
      </c>
      <c r="L135">
        <f t="shared" si="326"/>
        <v>8</v>
      </c>
      <c r="M135">
        <f t="shared" si="326"/>
        <v>7</v>
      </c>
      <c r="N135">
        <f t="shared" si="326"/>
        <v>6</v>
      </c>
      <c r="O135">
        <f t="shared" si="326"/>
        <v>5</v>
      </c>
      <c r="P135">
        <f t="shared" si="326"/>
        <v>5</v>
      </c>
      <c r="Q135">
        <f t="shared" si="326"/>
        <v>5</v>
      </c>
      <c r="R135">
        <f t="shared" si="326"/>
        <v>5</v>
      </c>
      <c r="S135">
        <f t="shared" si="326"/>
        <v>5</v>
      </c>
      <c r="T135">
        <f t="shared" si="326"/>
        <v>5</v>
      </c>
      <c r="U135">
        <f t="shared" si="326"/>
        <v>5</v>
      </c>
      <c r="V135">
        <f t="shared" si="326"/>
        <v>5</v>
      </c>
      <c r="W135">
        <f t="shared" si="326"/>
        <v>5</v>
      </c>
      <c r="X135">
        <f t="shared" si="326"/>
        <v>5</v>
      </c>
      <c r="Y135">
        <f t="shared" si="326"/>
        <v>5</v>
      </c>
      <c r="Z135">
        <f t="shared" si="326"/>
        <v>4</v>
      </c>
      <c r="AA135">
        <f t="shared" si="326"/>
        <v>4</v>
      </c>
      <c r="AB135">
        <f t="shared" si="326"/>
        <v>4</v>
      </c>
      <c r="AC135">
        <f t="shared" si="326"/>
        <v>4</v>
      </c>
      <c r="AD135">
        <f t="shared" si="326"/>
        <v>4</v>
      </c>
      <c r="AE135">
        <f t="shared" si="326"/>
        <v>4</v>
      </c>
      <c r="AF135">
        <f t="shared" si="326"/>
        <v>4</v>
      </c>
      <c r="AG135">
        <f t="shared" si="326"/>
        <v>4</v>
      </c>
      <c r="AH135">
        <f t="shared" si="326"/>
        <v>4</v>
      </c>
      <c r="AI135">
        <f t="shared" si="326"/>
        <v>4</v>
      </c>
      <c r="AJ135">
        <f t="shared" si="326"/>
        <v>4</v>
      </c>
      <c r="AK135">
        <f t="shared" si="326"/>
        <v>4</v>
      </c>
      <c r="AL135">
        <f t="shared" si="326"/>
        <v>3</v>
      </c>
      <c r="AM135">
        <f t="shared" si="326"/>
        <v>3</v>
      </c>
      <c r="AN135">
        <f t="shared" si="326"/>
        <v>2</v>
      </c>
      <c r="AO135">
        <f t="shared" si="326"/>
        <v>1</v>
      </c>
    </row>
    <row r="136" spans="1:75" s="100" customFormat="1">
      <c r="A136" s="100" t="s">
        <v>16</v>
      </c>
      <c r="J136" s="66">
        <f t="shared" ref="J136:AO136" si="327">IF(ISNA(J133),-1,IF(ISNA(J135),99,IF(ISNA(J134),J133,0)))</f>
        <v>0</v>
      </c>
      <c r="K136" s="66">
        <f t="shared" si="327"/>
        <v>1</v>
      </c>
      <c r="L136" s="66">
        <f t="shared" si="327"/>
        <v>0</v>
      </c>
      <c r="M136" s="66">
        <f t="shared" si="327"/>
        <v>0</v>
      </c>
      <c r="N136" s="66">
        <f t="shared" si="327"/>
        <v>0</v>
      </c>
      <c r="O136" s="66">
        <f t="shared" si="327"/>
        <v>4</v>
      </c>
      <c r="P136" s="66">
        <f t="shared" si="327"/>
        <v>4</v>
      </c>
      <c r="Q136" s="66">
        <f t="shared" ref="Q136:R136" si="328">IF(ISNA(Q133),-1,IF(ISNA(Q135),99,IF(ISNA(Q134),Q133,0)))</f>
        <v>4</v>
      </c>
      <c r="R136" s="66">
        <f t="shared" si="328"/>
        <v>4</v>
      </c>
      <c r="S136" s="66">
        <f t="shared" si="327"/>
        <v>4</v>
      </c>
      <c r="T136" s="66">
        <f t="shared" si="327"/>
        <v>4</v>
      </c>
      <c r="U136" s="66">
        <f t="shared" si="327"/>
        <v>4</v>
      </c>
      <c r="V136" s="66">
        <f t="shared" si="327"/>
        <v>4</v>
      </c>
      <c r="W136" s="66">
        <f t="shared" si="327"/>
        <v>4</v>
      </c>
      <c r="X136" s="66">
        <f t="shared" si="327"/>
        <v>4</v>
      </c>
      <c r="Y136" s="66">
        <f t="shared" si="327"/>
        <v>0</v>
      </c>
      <c r="Z136" s="66">
        <f t="shared" si="327"/>
        <v>5</v>
      </c>
      <c r="AA136" s="66">
        <f t="shared" ref="AA136:AB136" si="329">IF(ISNA(AA133),-1,IF(ISNA(AA135),99,IF(ISNA(AA134),AA133,0)))</f>
        <v>5</v>
      </c>
      <c r="AB136" s="66">
        <f t="shared" si="329"/>
        <v>5</v>
      </c>
      <c r="AC136" s="66">
        <f t="shared" si="327"/>
        <v>5</v>
      </c>
      <c r="AD136" s="66">
        <f t="shared" si="327"/>
        <v>5</v>
      </c>
      <c r="AE136" s="66">
        <f t="shared" si="327"/>
        <v>5</v>
      </c>
      <c r="AF136" s="66">
        <f t="shared" si="327"/>
        <v>5</v>
      </c>
      <c r="AG136" s="66">
        <f t="shared" si="327"/>
        <v>5</v>
      </c>
      <c r="AH136" s="66">
        <f t="shared" si="327"/>
        <v>5</v>
      </c>
      <c r="AI136" s="66">
        <f t="shared" si="327"/>
        <v>5</v>
      </c>
      <c r="AJ136" s="66">
        <f t="shared" si="327"/>
        <v>5</v>
      </c>
      <c r="AK136" s="66">
        <f t="shared" si="327"/>
        <v>0</v>
      </c>
      <c r="AL136" s="66">
        <f t="shared" si="327"/>
        <v>6</v>
      </c>
      <c r="AM136" s="66">
        <f t="shared" si="327"/>
        <v>0</v>
      </c>
      <c r="AN136" s="66">
        <f t="shared" si="327"/>
        <v>0</v>
      </c>
      <c r="AO136" s="66">
        <f t="shared" si="327"/>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1" t="s">
        <v>113</v>
      </c>
      <c r="B137" s="15" t="str">
        <f t="shared" ref="B137:B149" si="330">IF(A137="*","","COM_PROJ")</f>
        <v>COM_PROJ</v>
      </c>
      <c r="C137" s="16" t="str">
        <f t="shared" ref="C137:C149" si="331">IF($A137="*","","-")</f>
        <v>-</v>
      </c>
      <c r="D137" s="43" t="s">
        <v>139</v>
      </c>
      <c r="E137" s="16" t="str">
        <f t="shared" ref="E137:H149" si="332">IF($A137="*","","-")</f>
        <v>-</v>
      </c>
      <c r="F137" s="16" t="str">
        <f t="shared" si="332"/>
        <v>-</v>
      </c>
      <c r="G137" s="16" t="str">
        <f t="shared" si="332"/>
        <v>-</v>
      </c>
      <c r="H137" s="16" t="str">
        <f t="shared" si="332"/>
        <v>-</v>
      </c>
      <c r="I137" s="106">
        <f t="shared" ref="I137:I149" si="333">IF(A137="*","",0)</f>
        <v>0</v>
      </c>
      <c r="J137" s="3">
        <f t="shared" ref="J137:AO137" si="334">INDEX($M111:$AZ111,MATCH(J$132,$M$106:$AZ$106,0))</f>
        <v>47.584820585749902</v>
      </c>
      <c r="K137" s="3">
        <f t="shared" si="334"/>
        <v>47.880977189748378</v>
      </c>
      <c r="L137" s="3">
        <f t="shared" si="334"/>
        <v>48.177133793746854</v>
      </c>
      <c r="M137" s="3">
        <f t="shared" si="334"/>
        <v>46.38666602024783</v>
      </c>
      <c r="N137" s="3">
        <f t="shared" si="334"/>
        <v>46.854664337209421</v>
      </c>
      <c r="O137" s="3">
        <f t="shared" si="334"/>
        <v>47.499444955473628</v>
      </c>
      <c r="P137" s="3">
        <f t="shared" si="334"/>
        <v>48.144225573737835</v>
      </c>
      <c r="Q137" s="3">
        <f t="shared" si="334"/>
        <v>48.789006192002041</v>
      </c>
      <c r="R137" s="3">
        <f t="shared" si="334"/>
        <v>48.789006192002041</v>
      </c>
      <c r="S137" s="3">
        <f t="shared" si="334"/>
        <v>48.789006192002041</v>
      </c>
      <c r="T137" s="3">
        <f t="shared" si="334"/>
        <v>49.433786810266248</v>
      </c>
      <c r="U137" s="3">
        <f t="shared" si="334"/>
        <v>50.078567428530455</v>
      </c>
      <c r="V137" s="3">
        <f t="shared" si="334"/>
        <v>50.723348046794662</v>
      </c>
      <c r="W137" s="3">
        <f t="shared" si="334"/>
        <v>51.368128665058869</v>
      </c>
      <c r="X137" s="3">
        <f t="shared" si="334"/>
        <v>52.012909283323076</v>
      </c>
      <c r="Y137" s="3">
        <f t="shared" si="334"/>
        <v>52.65768990158729</v>
      </c>
      <c r="Z137" s="3">
        <f t="shared" si="334"/>
        <v>54.450820010739768</v>
      </c>
      <c r="AA137" s="3">
        <f t="shared" si="334"/>
        <v>56.243950119892247</v>
      </c>
      <c r="AB137" s="3">
        <f t="shared" si="334"/>
        <v>56.243950119892247</v>
      </c>
      <c r="AC137" s="3">
        <f t="shared" si="334"/>
        <v>56.243950119892247</v>
      </c>
      <c r="AD137" s="3">
        <f t="shared" si="334"/>
        <v>58.037080229044726</v>
      </c>
      <c r="AE137" s="3">
        <f t="shared" si="334"/>
        <v>59.830210338197205</v>
      </c>
      <c r="AF137" s="3">
        <f t="shared" si="334"/>
        <v>61.623340447349683</v>
      </c>
      <c r="AG137" s="3">
        <f t="shared" si="334"/>
        <v>63.416470556502162</v>
      </c>
      <c r="AH137" s="3">
        <f t="shared" si="334"/>
        <v>65.209600665654648</v>
      </c>
      <c r="AI137" s="3">
        <f t="shared" si="334"/>
        <v>67.002730774807134</v>
      </c>
      <c r="AJ137" s="3">
        <f t="shared" si="334"/>
        <v>68.79586088395962</v>
      </c>
      <c r="AK137" s="3">
        <f t="shared" si="334"/>
        <v>70.588990993112105</v>
      </c>
      <c r="AL137" s="3">
        <f t="shared" si="334"/>
        <v>82.466190267385201</v>
      </c>
      <c r="AM137" s="3">
        <f t="shared" si="334"/>
        <v>94.343389541658269</v>
      </c>
      <c r="AN137" s="3">
        <f t="shared" si="334"/>
        <v>117.35350634244885</v>
      </c>
      <c r="AO137" s="3">
        <f t="shared" si="334"/>
        <v>126.06849383854137</v>
      </c>
    </row>
    <row r="138" spans="1:75">
      <c r="A138" s="31"/>
      <c r="B138" s="15" t="str">
        <f t="shared" si="330"/>
        <v>COM_PROJ</v>
      </c>
      <c r="C138" s="16" t="str">
        <f t="shared" si="331"/>
        <v>-</v>
      </c>
      <c r="D138" s="43" t="s">
        <v>396</v>
      </c>
      <c r="E138" s="16" t="str">
        <f t="shared" si="332"/>
        <v>-</v>
      </c>
      <c r="F138" s="16" t="str">
        <f t="shared" si="332"/>
        <v>-</v>
      </c>
      <c r="G138" s="16" t="str">
        <f t="shared" si="332"/>
        <v>-</v>
      </c>
      <c r="H138" s="16" t="str">
        <f t="shared" si="332"/>
        <v>-</v>
      </c>
      <c r="I138" s="106">
        <f t="shared" si="333"/>
        <v>0</v>
      </c>
      <c r="J138" s="3">
        <f t="shared" ref="J138:AO138" si="335">INDEX($M112:$AZ112,MATCH(J$132,$M$106:$AZ$106,0))</f>
        <v>3.6514783707452798</v>
      </c>
      <c r="K138" s="3">
        <f t="shared" si="335"/>
        <v>3.9360166491438862</v>
      </c>
      <c r="L138" s="3">
        <f t="shared" si="335"/>
        <v>4.2205549275424925</v>
      </c>
      <c r="M138" s="3">
        <f t="shared" si="335"/>
        <v>4.0637011052209129</v>
      </c>
      <c r="N138" s="3">
        <f t="shared" si="335"/>
        <v>4.1047000698166478</v>
      </c>
      <c r="O138" s="3">
        <f t="shared" si="335"/>
        <v>4.1611860373557157</v>
      </c>
      <c r="P138" s="3">
        <f t="shared" si="335"/>
        <v>4.2176720048947836</v>
      </c>
      <c r="Q138" s="3">
        <f t="shared" si="335"/>
        <v>4.2741579724338514</v>
      </c>
      <c r="R138" s="3">
        <f t="shared" si="335"/>
        <v>4.2741579724338514</v>
      </c>
      <c r="S138" s="3">
        <f t="shared" si="335"/>
        <v>4.2741579724338514</v>
      </c>
      <c r="T138" s="3">
        <f t="shared" si="335"/>
        <v>4.3306439399729193</v>
      </c>
      <c r="U138" s="3">
        <f t="shared" si="335"/>
        <v>4.3871299075119872</v>
      </c>
      <c r="V138" s="3">
        <f t="shared" si="335"/>
        <v>4.443615875051055</v>
      </c>
      <c r="W138" s="3">
        <f t="shared" si="335"/>
        <v>4.5001018425901229</v>
      </c>
      <c r="X138" s="3">
        <f t="shared" si="335"/>
        <v>4.5565878101291908</v>
      </c>
      <c r="Y138" s="3">
        <f t="shared" si="335"/>
        <v>4.6130737776682551</v>
      </c>
      <c r="Z138" s="3">
        <f t="shared" si="335"/>
        <v>4.7098673764458727</v>
      </c>
      <c r="AA138" s="3">
        <f t="shared" si="335"/>
        <v>4.8066609752234903</v>
      </c>
      <c r="AB138" s="3">
        <f t="shared" si="335"/>
        <v>4.8066609752234903</v>
      </c>
      <c r="AC138" s="3">
        <f t="shared" si="335"/>
        <v>4.8066609752234903</v>
      </c>
      <c r="AD138" s="3">
        <f t="shared" si="335"/>
        <v>4.903454574001108</v>
      </c>
      <c r="AE138" s="3">
        <f t="shared" si="335"/>
        <v>5.0002481727787256</v>
      </c>
      <c r="AF138" s="3">
        <f t="shared" si="335"/>
        <v>5.0970417715563432</v>
      </c>
      <c r="AG138" s="3">
        <f t="shared" si="335"/>
        <v>5.1938353703339608</v>
      </c>
      <c r="AH138" s="3">
        <f t="shared" si="335"/>
        <v>5.2906289691115784</v>
      </c>
      <c r="AI138" s="3">
        <f t="shared" si="335"/>
        <v>5.387422567889196</v>
      </c>
      <c r="AJ138" s="3">
        <f t="shared" si="335"/>
        <v>5.4842161666668137</v>
      </c>
      <c r="AK138" s="3">
        <f t="shared" si="335"/>
        <v>5.5810097654444339</v>
      </c>
      <c r="AL138" s="3">
        <f t="shared" si="335"/>
        <v>6.3335843515098915</v>
      </c>
      <c r="AM138" s="3">
        <f t="shared" si="335"/>
        <v>7.0861589375753464</v>
      </c>
      <c r="AN138" s="3">
        <f t="shared" si="335"/>
        <v>8.3737326141361095</v>
      </c>
      <c r="AO138" s="3">
        <f t="shared" si="335"/>
        <v>8.5458091266635687</v>
      </c>
    </row>
    <row r="139" spans="1:75">
      <c r="A139" s="31"/>
      <c r="B139" s="15" t="str">
        <f t="shared" si="330"/>
        <v>COM_PROJ</v>
      </c>
      <c r="C139" s="16" t="str">
        <f t="shared" si="331"/>
        <v>-</v>
      </c>
      <c r="D139" s="43" t="s">
        <v>397</v>
      </c>
      <c r="E139" s="16" t="str">
        <f t="shared" si="332"/>
        <v>-</v>
      </c>
      <c r="F139" s="16" t="str">
        <f t="shared" si="332"/>
        <v>-</v>
      </c>
      <c r="G139" s="16" t="str">
        <f t="shared" si="332"/>
        <v>-</v>
      </c>
      <c r="H139" s="16" t="str">
        <f t="shared" si="332"/>
        <v>-</v>
      </c>
      <c r="I139" s="106">
        <f t="shared" si="333"/>
        <v>0</v>
      </c>
      <c r="J139" s="3">
        <f t="shared" ref="J139:AO139" si="336">INDEX($M113:$AZ113,MATCH(J$132,$M$106:$AZ$106,0))</f>
        <v>1.0030192144974699</v>
      </c>
      <c r="K139" s="3">
        <f t="shared" si="336"/>
        <v>1.009261767493451</v>
      </c>
      <c r="L139" s="3">
        <f t="shared" si="336"/>
        <v>1.0155043204894318</v>
      </c>
      <c r="M139" s="3">
        <f t="shared" si="336"/>
        <v>0.97776384868242405</v>
      </c>
      <c r="N139" s="3">
        <f t="shared" si="336"/>
        <v>0.98762857651971914</v>
      </c>
      <c r="O139" s="3">
        <f t="shared" si="336"/>
        <v>0.99505324207490387</v>
      </c>
      <c r="P139" s="3">
        <f t="shared" si="336"/>
        <v>1.0024779076300885</v>
      </c>
      <c r="Q139" s="3">
        <f t="shared" si="336"/>
        <v>1.0099025731852731</v>
      </c>
      <c r="R139" s="3">
        <f t="shared" si="336"/>
        <v>1.0099025731852731</v>
      </c>
      <c r="S139" s="3">
        <f t="shared" si="336"/>
        <v>1.0099025731852731</v>
      </c>
      <c r="T139" s="3">
        <f t="shared" si="336"/>
        <v>1.0173272387404577</v>
      </c>
      <c r="U139" s="3">
        <f t="shared" si="336"/>
        <v>1.0247519042956423</v>
      </c>
      <c r="V139" s="3">
        <f t="shared" si="336"/>
        <v>1.032176569850827</v>
      </c>
      <c r="W139" s="3">
        <f t="shared" si="336"/>
        <v>1.0396012354060116</v>
      </c>
      <c r="X139" s="3">
        <f t="shared" si="336"/>
        <v>1.0470259009611962</v>
      </c>
      <c r="Y139" s="3">
        <f t="shared" si="336"/>
        <v>1.0544505665163815</v>
      </c>
      <c r="Z139" s="3">
        <f t="shared" si="336"/>
        <v>1.0832897361525546</v>
      </c>
      <c r="AA139" s="3">
        <f t="shared" si="336"/>
        <v>1.1121289057887278</v>
      </c>
      <c r="AB139" s="3">
        <f t="shared" si="336"/>
        <v>1.1121289057887278</v>
      </c>
      <c r="AC139" s="3">
        <f t="shared" si="336"/>
        <v>1.1121289057887278</v>
      </c>
      <c r="AD139" s="3">
        <f t="shared" si="336"/>
        <v>1.140968075424901</v>
      </c>
      <c r="AE139" s="3">
        <f t="shared" si="336"/>
        <v>1.1698072450610741</v>
      </c>
      <c r="AF139" s="3">
        <f t="shared" si="336"/>
        <v>1.1986464146972473</v>
      </c>
      <c r="AG139" s="3">
        <f t="shared" si="336"/>
        <v>1.2274855843334205</v>
      </c>
      <c r="AH139" s="3">
        <f t="shared" si="336"/>
        <v>1.2563247539695936</v>
      </c>
      <c r="AI139" s="3">
        <f t="shared" si="336"/>
        <v>1.2851639236057668</v>
      </c>
      <c r="AJ139" s="3">
        <f t="shared" si="336"/>
        <v>1.31400309324194</v>
      </c>
      <c r="AK139" s="3">
        <f t="shared" si="336"/>
        <v>1.3428422628781138</v>
      </c>
      <c r="AL139" s="3">
        <f t="shared" si="336"/>
        <v>1.5239186276596077</v>
      </c>
      <c r="AM139" s="3">
        <f t="shared" si="336"/>
        <v>1.7049949924411019</v>
      </c>
      <c r="AN139" s="3">
        <f t="shared" si="336"/>
        <v>2.0147970573220011</v>
      </c>
      <c r="AO139" s="3">
        <f t="shared" si="336"/>
        <v>2.056200248354072</v>
      </c>
    </row>
    <row r="140" spans="1:75">
      <c r="A140" s="31"/>
      <c r="B140" s="15" t="str">
        <f t="shared" si="330"/>
        <v>COM_PROJ</v>
      </c>
      <c r="C140" s="16" t="str">
        <f t="shared" si="331"/>
        <v>-</v>
      </c>
      <c r="D140" s="43" t="s">
        <v>398</v>
      </c>
      <c r="E140" s="16" t="str">
        <f t="shared" si="332"/>
        <v>-</v>
      </c>
      <c r="F140" s="16" t="str">
        <f t="shared" si="332"/>
        <v>-</v>
      </c>
      <c r="G140" s="16" t="str">
        <f t="shared" si="332"/>
        <v>-</v>
      </c>
      <c r="H140" s="16" t="str">
        <f t="shared" si="332"/>
        <v>-</v>
      </c>
      <c r="I140" s="106">
        <f t="shared" si="333"/>
        <v>0</v>
      </c>
      <c r="J140" s="3">
        <f t="shared" ref="J140:AO140" si="337">INDEX($M114:$AZ114,MATCH(J$132,$M$106:$AZ$106,0))</f>
        <v>3.29935437842208</v>
      </c>
      <c r="K140" s="3">
        <f t="shared" si="337"/>
        <v>3.3198887752333528</v>
      </c>
      <c r="L140" s="3">
        <f t="shared" si="337"/>
        <v>3.3404231720446251</v>
      </c>
      <c r="M140" s="3">
        <f t="shared" si="337"/>
        <v>3.2162787996334212</v>
      </c>
      <c r="N140" s="3">
        <f t="shared" si="337"/>
        <v>3.2487280613339848</v>
      </c>
      <c r="O140" s="3">
        <f t="shared" si="337"/>
        <v>3.2731509262739067</v>
      </c>
      <c r="P140" s="3">
        <f t="shared" si="337"/>
        <v>3.2975737912138285</v>
      </c>
      <c r="Q140" s="3">
        <f t="shared" si="337"/>
        <v>3.3219966561537504</v>
      </c>
      <c r="R140" s="3">
        <f t="shared" si="337"/>
        <v>3.3219966561537504</v>
      </c>
      <c r="S140" s="3">
        <f t="shared" si="337"/>
        <v>3.3219966561537504</v>
      </c>
      <c r="T140" s="3">
        <f t="shared" si="337"/>
        <v>3.3464195210936722</v>
      </c>
      <c r="U140" s="3">
        <f t="shared" si="337"/>
        <v>3.3708423860335941</v>
      </c>
      <c r="V140" s="3">
        <f t="shared" si="337"/>
        <v>3.3952652509735159</v>
      </c>
      <c r="W140" s="3">
        <f t="shared" si="337"/>
        <v>3.4196881159134378</v>
      </c>
      <c r="X140" s="3">
        <f t="shared" si="337"/>
        <v>3.4441109808533596</v>
      </c>
      <c r="Y140" s="3">
        <f t="shared" si="337"/>
        <v>3.4685338457932815</v>
      </c>
      <c r="Z140" s="3">
        <f t="shared" si="337"/>
        <v>3.5633980709585367</v>
      </c>
      <c r="AA140" s="3">
        <f t="shared" si="337"/>
        <v>3.6582622961237918</v>
      </c>
      <c r="AB140" s="3">
        <f t="shared" si="337"/>
        <v>3.6582622961237918</v>
      </c>
      <c r="AC140" s="3">
        <f t="shared" si="337"/>
        <v>3.6582622961237918</v>
      </c>
      <c r="AD140" s="3">
        <f t="shared" si="337"/>
        <v>3.753126521289047</v>
      </c>
      <c r="AE140" s="3">
        <f t="shared" si="337"/>
        <v>3.8479907464543022</v>
      </c>
      <c r="AF140" s="3">
        <f t="shared" si="337"/>
        <v>3.9428549716195573</v>
      </c>
      <c r="AG140" s="3">
        <f t="shared" si="337"/>
        <v>4.0377191967848125</v>
      </c>
      <c r="AH140" s="3">
        <f t="shared" si="337"/>
        <v>4.1325834219500672</v>
      </c>
      <c r="AI140" s="3">
        <f t="shared" si="337"/>
        <v>4.2274476471153219</v>
      </c>
      <c r="AJ140" s="3">
        <f t="shared" si="337"/>
        <v>4.3223118722805767</v>
      </c>
      <c r="AK140" s="3">
        <f t="shared" si="337"/>
        <v>4.4171760974458323</v>
      </c>
      <c r="AL140" s="3">
        <f t="shared" si="337"/>
        <v>5.0128128393300857</v>
      </c>
      <c r="AM140" s="3">
        <f t="shared" si="337"/>
        <v>5.6084495812143391</v>
      </c>
      <c r="AN140" s="3">
        <f t="shared" si="337"/>
        <v>6.6275195894804417</v>
      </c>
      <c r="AO140" s="3">
        <f t="shared" si="337"/>
        <v>6.7637121944055139</v>
      </c>
    </row>
    <row r="141" spans="1:75">
      <c r="A141" s="31"/>
      <c r="B141" s="15" t="str">
        <f t="shared" si="330"/>
        <v>COM_PROJ</v>
      </c>
      <c r="C141" s="16" t="str">
        <f t="shared" si="331"/>
        <v>-</v>
      </c>
      <c r="D141" s="43" t="s">
        <v>399</v>
      </c>
      <c r="E141" s="16" t="str">
        <f t="shared" si="332"/>
        <v>-</v>
      </c>
      <c r="F141" s="16" t="str">
        <f t="shared" si="332"/>
        <v>-</v>
      </c>
      <c r="G141" s="16" t="str">
        <f t="shared" si="332"/>
        <v>-</v>
      </c>
      <c r="H141" s="16" t="str">
        <f t="shared" si="332"/>
        <v>-</v>
      </c>
      <c r="I141" s="106">
        <f t="shared" si="333"/>
        <v>0</v>
      </c>
      <c r="J141" s="3">
        <f t="shared" ref="J141:AO141" si="338">INDEX($M115:$AZ115,MATCH(J$132,$M$106:$AZ$106,0))</f>
        <v>0.59840698910616097</v>
      </c>
      <c r="K141" s="3">
        <f t="shared" si="338"/>
        <v>0.6021313318591881</v>
      </c>
      <c r="L141" s="3">
        <f t="shared" si="338"/>
        <v>0.60585567461221534</v>
      </c>
      <c r="M141" s="3">
        <f t="shared" si="338"/>
        <v>0.58333949369060389</v>
      </c>
      <c r="N141" s="3">
        <f t="shared" si="338"/>
        <v>0.5892248466311506</v>
      </c>
      <c r="O141" s="3">
        <f t="shared" si="338"/>
        <v>0.5936544444850903</v>
      </c>
      <c r="P141" s="3">
        <f t="shared" si="338"/>
        <v>0.59808404233903001</v>
      </c>
      <c r="Q141" s="3">
        <f t="shared" si="338"/>
        <v>0.60251364019296971</v>
      </c>
      <c r="R141" s="3">
        <f t="shared" si="338"/>
        <v>0.60251364019296971</v>
      </c>
      <c r="S141" s="3">
        <f t="shared" si="338"/>
        <v>0.60251364019296971</v>
      </c>
      <c r="T141" s="3">
        <f t="shared" si="338"/>
        <v>0.60694323804690942</v>
      </c>
      <c r="U141" s="3">
        <f t="shared" si="338"/>
        <v>0.61137283590084912</v>
      </c>
      <c r="V141" s="3">
        <f t="shared" si="338"/>
        <v>0.61580243375478882</v>
      </c>
      <c r="W141" s="3">
        <f t="shared" si="338"/>
        <v>0.62023203160872853</v>
      </c>
      <c r="X141" s="3">
        <f t="shared" si="338"/>
        <v>0.62466162946266823</v>
      </c>
      <c r="Y141" s="3">
        <f t="shared" si="338"/>
        <v>0.62909122731660805</v>
      </c>
      <c r="Z141" s="3">
        <f t="shared" si="338"/>
        <v>0.64629684055000014</v>
      </c>
      <c r="AA141" s="3">
        <f t="shared" si="338"/>
        <v>0.66350245378339223</v>
      </c>
      <c r="AB141" s="3">
        <f t="shared" si="338"/>
        <v>0.66350245378339223</v>
      </c>
      <c r="AC141" s="3">
        <f t="shared" si="338"/>
        <v>0.66350245378339223</v>
      </c>
      <c r="AD141" s="3">
        <f t="shared" si="338"/>
        <v>0.68070806701678432</v>
      </c>
      <c r="AE141" s="3">
        <f t="shared" si="338"/>
        <v>0.69791368025017642</v>
      </c>
      <c r="AF141" s="3">
        <f t="shared" si="338"/>
        <v>0.71511929348356851</v>
      </c>
      <c r="AG141" s="3">
        <f t="shared" si="338"/>
        <v>0.7323249067169606</v>
      </c>
      <c r="AH141" s="3">
        <f t="shared" si="338"/>
        <v>0.74953051995035269</v>
      </c>
      <c r="AI141" s="3">
        <f t="shared" si="338"/>
        <v>0.76673613318374478</v>
      </c>
      <c r="AJ141" s="3">
        <f t="shared" si="338"/>
        <v>0.78394174641713688</v>
      </c>
      <c r="AK141" s="3">
        <f t="shared" si="338"/>
        <v>0.8011473596505293</v>
      </c>
      <c r="AL141" s="3">
        <f t="shared" si="338"/>
        <v>0.90917855255391933</v>
      </c>
      <c r="AM141" s="3">
        <f t="shared" si="338"/>
        <v>1.017209745457309</v>
      </c>
      <c r="AN141" s="3">
        <f t="shared" si="338"/>
        <v>1.2020394258708922</v>
      </c>
      <c r="AO141" s="3">
        <f t="shared" si="338"/>
        <v>1.2267408059908154</v>
      </c>
    </row>
    <row r="142" spans="1:75">
      <c r="A142" s="31"/>
      <c r="B142" s="15" t="str">
        <f t="shared" si="330"/>
        <v>COM_PROJ</v>
      </c>
      <c r="C142" s="16" t="str">
        <f t="shared" si="331"/>
        <v>-</v>
      </c>
      <c r="D142" s="43" t="s">
        <v>400</v>
      </c>
      <c r="E142" s="16" t="str">
        <f t="shared" si="332"/>
        <v>-</v>
      </c>
      <c r="F142" s="16" t="str">
        <f t="shared" si="332"/>
        <v>-</v>
      </c>
      <c r="G142" s="16" t="str">
        <f t="shared" si="332"/>
        <v>-</v>
      </c>
      <c r="H142" s="16" t="str">
        <f t="shared" si="332"/>
        <v>-</v>
      </c>
      <c r="I142" s="106">
        <f t="shared" si="333"/>
        <v>0</v>
      </c>
      <c r="J142" s="3">
        <f t="shared" ref="J142:AO142" si="339">INDEX($M116:$AZ116,MATCH(J$132,$M$106:$AZ$106,0))</f>
        <v>0.29798809605332599</v>
      </c>
      <c r="K142" s="3">
        <f t="shared" si="339"/>
        <v>0.29984270307869226</v>
      </c>
      <c r="L142" s="3">
        <f t="shared" si="339"/>
        <v>0.30169731010405854</v>
      </c>
      <c r="M142" s="3">
        <f t="shared" si="339"/>
        <v>0.29048495128243912</v>
      </c>
      <c r="N142" s="3">
        <f t="shared" si="339"/>
        <v>0.29341567426743453</v>
      </c>
      <c r="O142" s="3">
        <f t="shared" si="339"/>
        <v>0.29562147643018838</v>
      </c>
      <c r="P142" s="3">
        <f t="shared" si="339"/>
        <v>0.29782727859294222</v>
      </c>
      <c r="Q142" s="3">
        <f t="shared" si="339"/>
        <v>0.30003308075569607</v>
      </c>
      <c r="R142" s="3">
        <f t="shared" si="339"/>
        <v>0.30003308075569607</v>
      </c>
      <c r="S142" s="3">
        <f t="shared" si="339"/>
        <v>0.30003308075569607</v>
      </c>
      <c r="T142" s="3">
        <f t="shared" si="339"/>
        <v>0.30223888291844991</v>
      </c>
      <c r="U142" s="3">
        <f t="shared" si="339"/>
        <v>0.30444468508120376</v>
      </c>
      <c r="V142" s="3">
        <f t="shared" si="339"/>
        <v>0.3066504872439576</v>
      </c>
      <c r="W142" s="3">
        <f t="shared" si="339"/>
        <v>0.30885628940671145</v>
      </c>
      <c r="X142" s="3">
        <f t="shared" si="339"/>
        <v>0.31106209156946529</v>
      </c>
      <c r="Y142" s="3">
        <f t="shared" si="339"/>
        <v>0.3132678937322193</v>
      </c>
      <c r="Z142" s="3">
        <f t="shared" si="339"/>
        <v>0.32183575477359305</v>
      </c>
      <c r="AA142" s="3">
        <f t="shared" si="339"/>
        <v>0.3304036158149668</v>
      </c>
      <c r="AB142" s="3">
        <f t="shared" si="339"/>
        <v>0.3304036158149668</v>
      </c>
      <c r="AC142" s="3">
        <f t="shared" si="339"/>
        <v>0.3304036158149668</v>
      </c>
      <c r="AD142" s="3">
        <f t="shared" si="339"/>
        <v>0.33897147685634055</v>
      </c>
      <c r="AE142" s="3">
        <f t="shared" si="339"/>
        <v>0.3475393378977143</v>
      </c>
      <c r="AF142" s="3">
        <f t="shared" si="339"/>
        <v>0.35610719893908804</v>
      </c>
      <c r="AG142" s="3">
        <f t="shared" si="339"/>
        <v>0.36467505998046179</v>
      </c>
      <c r="AH142" s="3">
        <f t="shared" si="339"/>
        <v>0.37324292102183554</v>
      </c>
      <c r="AI142" s="3">
        <f t="shared" si="339"/>
        <v>0.38181078206320929</v>
      </c>
      <c r="AJ142" s="3">
        <f t="shared" si="339"/>
        <v>0.39037864310458303</v>
      </c>
      <c r="AK142" s="3">
        <f t="shared" si="339"/>
        <v>0.39894650414595656</v>
      </c>
      <c r="AL142" s="3">
        <f t="shared" si="339"/>
        <v>0.4527426831239727</v>
      </c>
      <c r="AM142" s="3">
        <f t="shared" si="339"/>
        <v>0.50653886210198873</v>
      </c>
      <c r="AN142" s="3">
        <f t="shared" si="339"/>
        <v>0.59857830275567625</v>
      </c>
      <c r="AO142" s="3">
        <f t="shared" si="339"/>
        <v>0.61087882291306961</v>
      </c>
    </row>
    <row r="143" spans="1:75">
      <c r="A143" s="31"/>
      <c r="B143" s="15" t="str">
        <f t="shared" si="330"/>
        <v>COM_PROJ</v>
      </c>
      <c r="C143" s="16" t="str">
        <f t="shared" si="331"/>
        <v>-</v>
      </c>
      <c r="D143" s="43" t="s">
        <v>401</v>
      </c>
      <c r="E143" s="16" t="str">
        <f t="shared" si="332"/>
        <v>-</v>
      </c>
      <c r="F143" s="16" t="str">
        <f t="shared" si="332"/>
        <v>-</v>
      </c>
      <c r="G143" s="16" t="str">
        <f t="shared" si="332"/>
        <v>-</v>
      </c>
      <c r="H143" s="16" t="str">
        <f t="shared" si="332"/>
        <v>-</v>
      </c>
      <c r="I143" s="106">
        <f t="shared" si="333"/>
        <v>0</v>
      </c>
      <c r="J143" s="3">
        <f t="shared" ref="J143:AO143" si="340">INDEX($M117:$AZ117,MATCH(J$132,$M$106:$AZ$106,0))</f>
        <v>6.6621877646371201</v>
      </c>
      <c r="K143" s="3">
        <f t="shared" si="340"/>
        <v>6.7819219966270463</v>
      </c>
      <c r="L143" s="3">
        <f t="shared" si="340"/>
        <v>6.9016562286169734</v>
      </c>
      <c r="M143" s="3">
        <f t="shared" si="340"/>
        <v>6.7116128591697501</v>
      </c>
      <c r="N143" s="3">
        <f t="shared" si="340"/>
        <v>6.8240748222214735</v>
      </c>
      <c r="O143" s="3">
        <f t="shared" si="340"/>
        <v>6.8850023780075267</v>
      </c>
      <c r="P143" s="3">
        <f t="shared" si="340"/>
        <v>6.9459299337935798</v>
      </c>
      <c r="Q143" s="3">
        <f t="shared" si="340"/>
        <v>7.0068574895796329</v>
      </c>
      <c r="R143" s="3">
        <f t="shared" si="340"/>
        <v>7.0068574895796329</v>
      </c>
      <c r="S143" s="3">
        <f t="shared" si="340"/>
        <v>7.0068574895796329</v>
      </c>
      <c r="T143" s="3">
        <f t="shared" si="340"/>
        <v>7.0677850453656861</v>
      </c>
      <c r="U143" s="3">
        <f t="shared" si="340"/>
        <v>7.1287126011517392</v>
      </c>
      <c r="V143" s="3">
        <f t="shared" si="340"/>
        <v>7.1896401569377923</v>
      </c>
      <c r="W143" s="3">
        <f t="shared" si="340"/>
        <v>7.2505677127238455</v>
      </c>
      <c r="X143" s="3">
        <f t="shared" si="340"/>
        <v>7.3114952685098986</v>
      </c>
      <c r="Y143" s="3">
        <f t="shared" si="340"/>
        <v>7.3724228242959535</v>
      </c>
      <c r="Z143" s="3">
        <f t="shared" si="340"/>
        <v>7.5271143317954401</v>
      </c>
      <c r="AA143" s="3">
        <f t="shared" si="340"/>
        <v>7.6818058392949267</v>
      </c>
      <c r="AB143" s="3">
        <f t="shared" si="340"/>
        <v>7.6818058392949267</v>
      </c>
      <c r="AC143" s="3">
        <f t="shared" si="340"/>
        <v>7.6818058392949267</v>
      </c>
      <c r="AD143" s="3">
        <f t="shared" si="340"/>
        <v>7.8364973467944132</v>
      </c>
      <c r="AE143" s="3">
        <f t="shared" si="340"/>
        <v>7.9911888542938998</v>
      </c>
      <c r="AF143" s="3">
        <f t="shared" si="340"/>
        <v>8.1458803617933864</v>
      </c>
      <c r="AG143" s="3">
        <f t="shared" si="340"/>
        <v>8.3005718692928738</v>
      </c>
      <c r="AH143" s="3">
        <f t="shared" si="340"/>
        <v>8.4552633767923613</v>
      </c>
      <c r="AI143" s="3">
        <f t="shared" si="340"/>
        <v>8.6099548842918487</v>
      </c>
      <c r="AJ143" s="3">
        <f t="shared" si="340"/>
        <v>8.7646463917913362</v>
      </c>
      <c r="AK143" s="3">
        <f t="shared" si="340"/>
        <v>8.9193378992908219</v>
      </c>
      <c r="AL143" s="3">
        <f t="shared" si="340"/>
        <v>10.122071330989481</v>
      </c>
      <c r="AM143" s="3">
        <f t="shared" si="340"/>
        <v>11.324804762688142</v>
      </c>
      <c r="AN143" s="3">
        <f t="shared" si="340"/>
        <v>13.382551509985426</v>
      </c>
      <c r="AO143" s="3">
        <f t="shared" si="340"/>
        <v>13.657557042007054</v>
      </c>
    </row>
    <row r="144" spans="1:75">
      <c r="A144" s="31"/>
      <c r="B144" s="15" t="str">
        <f t="shared" si="330"/>
        <v>COM_PROJ</v>
      </c>
      <c r="C144" s="16" t="str">
        <f t="shared" si="331"/>
        <v>-</v>
      </c>
      <c r="D144" s="43" t="s">
        <v>402</v>
      </c>
      <c r="E144" s="16" t="str">
        <f t="shared" si="332"/>
        <v>-</v>
      </c>
      <c r="F144" s="16" t="str">
        <f t="shared" si="332"/>
        <v>-</v>
      </c>
      <c r="G144" s="16" t="str">
        <f t="shared" si="332"/>
        <v>-</v>
      </c>
      <c r="H144" s="16" t="str">
        <f t="shared" si="332"/>
        <v>-</v>
      </c>
      <c r="I144" s="106">
        <f t="shared" si="333"/>
        <v>0</v>
      </c>
      <c r="J144" s="3">
        <f t="shared" ref="J144:AO144" si="341">INDEX($M118:$AZ118,MATCH(J$132,$M$106:$AZ$106,0))</f>
        <v>2.2261566306639899</v>
      </c>
      <c r="K144" s="3">
        <f t="shared" si="341"/>
        <v>2.2400116999821158</v>
      </c>
      <c r="L144" s="3">
        <f t="shared" si="341"/>
        <v>2.2538667693002417</v>
      </c>
      <c r="M144" s="3">
        <f t="shared" si="341"/>
        <v>2.1701034671189854</v>
      </c>
      <c r="N144" s="3">
        <f t="shared" si="341"/>
        <v>2.1919977927383534</v>
      </c>
      <c r="O144" s="3">
        <f t="shared" si="341"/>
        <v>2.2084765084172129</v>
      </c>
      <c r="P144" s="3">
        <f t="shared" si="341"/>
        <v>2.2249552240960724</v>
      </c>
      <c r="Q144" s="3">
        <f t="shared" si="341"/>
        <v>2.2414339397749319</v>
      </c>
      <c r="R144" s="3">
        <f t="shared" si="341"/>
        <v>2.2414339397749319</v>
      </c>
      <c r="S144" s="3">
        <f t="shared" si="341"/>
        <v>2.2414339397749319</v>
      </c>
      <c r="T144" s="3">
        <f t="shared" si="341"/>
        <v>2.2579126554537914</v>
      </c>
      <c r="U144" s="3">
        <f t="shared" si="341"/>
        <v>2.2743913711326509</v>
      </c>
      <c r="V144" s="3">
        <f t="shared" si="341"/>
        <v>2.2908700868115104</v>
      </c>
      <c r="W144" s="3">
        <f t="shared" si="341"/>
        <v>2.3073488024903699</v>
      </c>
      <c r="X144" s="3">
        <f t="shared" si="341"/>
        <v>2.3238275181692294</v>
      </c>
      <c r="Y144" s="3">
        <f t="shared" si="341"/>
        <v>2.3403062338480902</v>
      </c>
      <c r="Z144" s="3">
        <f t="shared" si="341"/>
        <v>2.4043134909180122</v>
      </c>
      <c r="AA144" s="3">
        <f t="shared" si="341"/>
        <v>2.4683207479879341</v>
      </c>
      <c r="AB144" s="3">
        <f t="shared" si="341"/>
        <v>2.4683207479879341</v>
      </c>
      <c r="AC144" s="3">
        <f t="shared" si="341"/>
        <v>2.4683207479879341</v>
      </c>
      <c r="AD144" s="3">
        <f t="shared" si="341"/>
        <v>2.532328005057856</v>
      </c>
      <c r="AE144" s="3">
        <f t="shared" si="341"/>
        <v>2.596335262127778</v>
      </c>
      <c r="AF144" s="3">
        <f t="shared" si="341"/>
        <v>2.6603425191976999</v>
      </c>
      <c r="AG144" s="3">
        <f t="shared" si="341"/>
        <v>2.7243497762676219</v>
      </c>
      <c r="AH144" s="3">
        <f t="shared" si="341"/>
        <v>2.7883570333375438</v>
      </c>
      <c r="AI144" s="3">
        <f t="shared" si="341"/>
        <v>2.8523642904074658</v>
      </c>
      <c r="AJ144" s="3">
        <f t="shared" si="341"/>
        <v>2.9163715474773877</v>
      </c>
      <c r="AK144" s="3">
        <f t="shared" si="341"/>
        <v>2.9803788045473083</v>
      </c>
      <c r="AL144" s="3">
        <f t="shared" si="341"/>
        <v>3.3822697596640721</v>
      </c>
      <c r="AM144" s="3">
        <f t="shared" si="341"/>
        <v>3.7841607147808358</v>
      </c>
      <c r="AN144" s="3">
        <f t="shared" si="341"/>
        <v>4.4717526481751984</v>
      </c>
      <c r="AO144" s="3">
        <f t="shared" si="341"/>
        <v>4.5636451931179902</v>
      </c>
    </row>
    <row r="145" spans="1:57">
      <c r="A145" s="31" t="s">
        <v>113</v>
      </c>
      <c r="B145" s="15" t="str">
        <f t="shared" si="330"/>
        <v>COM_PROJ</v>
      </c>
      <c r="C145" s="16" t="str">
        <f t="shared" si="331"/>
        <v>-</v>
      </c>
      <c r="D145" s="43" t="s">
        <v>403</v>
      </c>
      <c r="E145" s="16" t="str">
        <f t="shared" si="332"/>
        <v>-</v>
      </c>
      <c r="F145" s="16" t="str">
        <f t="shared" si="332"/>
        <v>-</v>
      </c>
      <c r="G145" s="16" t="str">
        <f t="shared" si="332"/>
        <v>-</v>
      </c>
      <c r="H145" s="16" t="str">
        <f t="shared" si="332"/>
        <v>-</v>
      </c>
      <c r="I145" s="106">
        <f t="shared" si="333"/>
        <v>0</v>
      </c>
      <c r="J145" s="3">
        <f t="shared" ref="J145:AO145" si="342">INDEX($M119:$AZ119,MATCH(J$132,$M$106:$AZ$106,0))</f>
        <v>0.122213678849837</v>
      </c>
      <c r="K145" s="3">
        <f t="shared" si="342"/>
        <v>0.12297430771519344</v>
      </c>
      <c r="L145" s="3">
        <f t="shared" si="342"/>
        <v>0.12373493658054988</v>
      </c>
      <c r="M145" s="3">
        <f t="shared" si="342"/>
        <v>0.11913641859166579</v>
      </c>
      <c r="N145" s="3">
        <f t="shared" si="342"/>
        <v>0.12033839424918329</v>
      </c>
      <c r="O145" s="3">
        <f t="shared" si="342"/>
        <v>0.12124305856529353</v>
      </c>
      <c r="P145" s="3">
        <f t="shared" si="342"/>
        <v>0.12214772288140378</v>
      </c>
      <c r="Q145" s="3">
        <f t="shared" si="342"/>
        <v>0.12305238719751403</v>
      </c>
      <c r="R145" s="3">
        <f t="shared" si="342"/>
        <v>0.12305238719751403</v>
      </c>
      <c r="S145" s="3">
        <f t="shared" si="342"/>
        <v>0.12305238719751403</v>
      </c>
      <c r="T145" s="3">
        <f t="shared" si="342"/>
        <v>0.12395705151362428</v>
      </c>
      <c r="U145" s="3">
        <f t="shared" si="342"/>
        <v>0.12486171582973453</v>
      </c>
      <c r="V145" s="3">
        <f t="shared" si="342"/>
        <v>0.12576638014584476</v>
      </c>
      <c r="W145" s="3">
        <f t="shared" si="342"/>
        <v>0.12667104446195501</v>
      </c>
      <c r="X145" s="3">
        <f t="shared" si="342"/>
        <v>0.12757570877806526</v>
      </c>
      <c r="Y145" s="3">
        <f t="shared" si="342"/>
        <v>0.12848037309417548</v>
      </c>
      <c r="Z145" s="3">
        <f t="shared" si="342"/>
        <v>0.1319943047968469</v>
      </c>
      <c r="AA145" s="3">
        <f t="shared" si="342"/>
        <v>0.13550823649951832</v>
      </c>
      <c r="AB145" s="3">
        <f t="shared" si="342"/>
        <v>0.13550823649951832</v>
      </c>
      <c r="AC145" s="3">
        <f t="shared" si="342"/>
        <v>0.13550823649951832</v>
      </c>
      <c r="AD145" s="3">
        <f t="shared" si="342"/>
        <v>0.13902216820218974</v>
      </c>
      <c r="AE145" s="3">
        <f t="shared" si="342"/>
        <v>0.14253609990486116</v>
      </c>
      <c r="AF145" s="3">
        <f t="shared" si="342"/>
        <v>0.14605003160753258</v>
      </c>
      <c r="AG145" s="3">
        <f t="shared" si="342"/>
        <v>0.149563963310204</v>
      </c>
      <c r="AH145" s="3">
        <f t="shared" si="342"/>
        <v>0.15307789501287541</v>
      </c>
      <c r="AI145" s="3">
        <f t="shared" si="342"/>
        <v>0.15659182671554683</v>
      </c>
      <c r="AJ145" s="3">
        <f t="shared" si="342"/>
        <v>0.16010575841821825</v>
      </c>
      <c r="AK145" s="3">
        <f t="shared" si="342"/>
        <v>0.1636196901208897</v>
      </c>
      <c r="AL145" s="3">
        <f t="shared" si="342"/>
        <v>0.18568308469283615</v>
      </c>
      <c r="AM145" s="3">
        <f t="shared" si="342"/>
        <v>0.20774647926478257</v>
      </c>
      <c r="AN145" s="3">
        <f t="shared" si="342"/>
        <v>0.24549455977721832</v>
      </c>
      <c r="AO145" s="3">
        <f t="shared" si="342"/>
        <v>0.25053936472114663</v>
      </c>
    </row>
    <row r="146" spans="1:57">
      <c r="A146" s="31" t="s">
        <v>113</v>
      </c>
      <c r="B146" s="15" t="str">
        <f t="shared" si="330"/>
        <v>COM_PROJ</v>
      </c>
      <c r="C146" s="16" t="str">
        <f t="shared" si="331"/>
        <v>-</v>
      </c>
      <c r="D146" s="43" t="s">
        <v>404</v>
      </c>
      <c r="E146" s="16" t="str">
        <f t="shared" si="332"/>
        <v>-</v>
      </c>
      <c r="F146" s="16" t="str">
        <f t="shared" si="332"/>
        <v>-</v>
      </c>
      <c r="G146" s="16" t="str">
        <f t="shared" si="332"/>
        <v>-</v>
      </c>
      <c r="H146" s="16" t="str">
        <f t="shared" si="332"/>
        <v>-</v>
      </c>
      <c r="I146" s="106">
        <f t="shared" si="333"/>
        <v>0</v>
      </c>
      <c r="J146" s="3">
        <f t="shared" ref="J146:AO146" si="343">INDEX($M120:$AZ120,MATCH(J$132,$M$106:$AZ$106,0))</f>
        <v>2.9412068148240201E-2</v>
      </c>
      <c r="K146" s="3">
        <f t="shared" si="343"/>
        <v>2.9595121863944723E-2</v>
      </c>
      <c r="L146" s="3">
        <f t="shared" si="343"/>
        <v>2.9778175579649242E-2</v>
      </c>
      <c r="M146" s="3">
        <f t="shared" si="343"/>
        <v>2.8671491567328906E-2</v>
      </c>
      <c r="N146" s="3">
        <f t="shared" si="343"/>
        <v>2.8960760250541256E-2</v>
      </c>
      <c r="O146" s="3">
        <f t="shared" si="343"/>
        <v>2.9178477684196198E-2</v>
      </c>
      <c r="P146" s="3">
        <f t="shared" si="343"/>
        <v>2.9396195117851139E-2</v>
      </c>
      <c r="Q146" s="3">
        <f t="shared" si="343"/>
        <v>2.961391255150608E-2</v>
      </c>
      <c r="R146" s="3">
        <f t="shared" si="343"/>
        <v>2.961391255150608E-2</v>
      </c>
      <c r="S146" s="3">
        <f t="shared" si="343"/>
        <v>2.961391255150608E-2</v>
      </c>
      <c r="T146" s="3">
        <f t="shared" si="343"/>
        <v>2.9831629985161021E-2</v>
      </c>
      <c r="U146" s="3">
        <f t="shared" si="343"/>
        <v>3.0049347418815962E-2</v>
      </c>
      <c r="V146" s="3">
        <f t="shared" si="343"/>
        <v>3.0267064852470903E-2</v>
      </c>
      <c r="W146" s="3">
        <f t="shared" si="343"/>
        <v>3.0484782286125844E-2</v>
      </c>
      <c r="X146" s="3">
        <f t="shared" si="343"/>
        <v>3.0702499719780785E-2</v>
      </c>
      <c r="Y146" s="3">
        <f t="shared" si="343"/>
        <v>3.0920217153435729E-2</v>
      </c>
      <c r="Z146" s="3">
        <f t="shared" si="343"/>
        <v>3.1765883527935607E-2</v>
      </c>
      <c r="AA146" s="3">
        <f t="shared" si="343"/>
        <v>3.2611549902435477E-2</v>
      </c>
      <c r="AB146" s="3">
        <f t="shared" si="343"/>
        <v>3.2611549902435477E-2</v>
      </c>
      <c r="AC146" s="3">
        <f t="shared" si="343"/>
        <v>3.2611549902435477E-2</v>
      </c>
      <c r="AD146" s="3">
        <f t="shared" si="343"/>
        <v>3.3457216276935348E-2</v>
      </c>
      <c r="AE146" s="3">
        <f t="shared" si="343"/>
        <v>3.4302882651435218E-2</v>
      </c>
      <c r="AF146" s="3">
        <f t="shared" si="343"/>
        <v>3.5148549025935089E-2</v>
      </c>
      <c r="AG146" s="3">
        <f t="shared" si="343"/>
        <v>3.5994215400434959E-2</v>
      </c>
      <c r="AH146" s="3">
        <f t="shared" si="343"/>
        <v>3.683988177493483E-2</v>
      </c>
      <c r="AI146" s="3">
        <f t="shared" si="343"/>
        <v>3.76855481494347E-2</v>
      </c>
      <c r="AJ146" s="3">
        <f t="shared" si="343"/>
        <v>3.853121452393457E-2</v>
      </c>
      <c r="AK146" s="3">
        <f t="shared" si="343"/>
        <v>3.9376880898434469E-2</v>
      </c>
      <c r="AL146" s="3">
        <f t="shared" si="343"/>
        <v>4.4686679857427712E-2</v>
      </c>
      <c r="AM146" s="3">
        <f t="shared" si="343"/>
        <v>4.9996478816420976E-2</v>
      </c>
      <c r="AN146" s="3">
        <f t="shared" si="343"/>
        <v>5.9080970232976524E-2</v>
      </c>
      <c r="AO146" s="3">
        <f t="shared" si="343"/>
        <v>6.0295058117424465E-2</v>
      </c>
    </row>
    <row r="147" spans="1:57">
      <c r="A147" s="31" t="s">
        <v>113</v>
      </c>
      <c r="B147" s="15" t="str">
        <f t="shared" si="330"/>
        <v>COM_PROJ</v>
      </c>
      <c r="C147" s="16" t="str">
        <f t="shared" si="331"/>
        <v>-</v>
      </c>
      <c r="D147" s="43" t="s">
        <v>366</v>
      </c>
      <c r="E147" s="16" t="str">
        <f t="shared" si="332"/>
        <v>-</v>
      </c>
      <c r="F147" s="16" t="str">
        <f t="shared" si="332"/>
        <v>-</v>
      </c>
      <c r="G147" s="16" t="str">
        <f t="shared" si="332"/>
        <v>-</v>
      </c>
      <c r="H147" s="16" t="str">
        <f t="shared" si="332"/>
        <v>-</v>
      </c>
      <c r="I147" s="106">
        <f t="shared" si="333"/>
        <v>0</v>
      </c>
      <c r="J147" s="3">
        <f t="shared" ref="J147:AO147" si="344">INDEX($M121:$AZ121,MATCH(J$132,$M$106:$AZ$106,0))</f>
        <v>22</v>
      </c>
      <c r="K147" s="3">
        <f t="shared" si="344"/>
        <v>20.60902456349335</v>
      </c>
      <c r="L147" s="3">
        <f t="shared" si="344"/>
        <v>19.218049126986699</v>
      </c>
      <c r="M147" s="3">
        <f t="shared" si="344"/>
        <v>17.206637381742077</v>
      </c>
      <c r="N147" s="3">
        <f t="shared" si="344"/>
        <v>16.506720027229584</v>
      </c>
      <c r="O147" s="3">
        <f t="shared" si="344"/>
        <v>17.806373021295286</v>
      </c>
      <c r="P147" s="3">
        <f t="shared" si="344"/>
        <v>19.106026015360989</v>
      </c>
      <c r="Q147" s="3">
        <f t="shared" si="344"/>
        <v>20.405679009426692</v>
      </c>
      <c r="R147" s="3">
        <f t="shared" si="344"/>
        <v>20.405679009426692</v>
      </c>
      <c r="S147" s="3">
        <f t="shared" si="344"/>
        <v>20.405679009426692</v>
      </c>
      <c r="T147" s="3">
        <f t="shared" si="344"/>
        <v>21.705332003492394</v>
      </c>
      <c r="U147" s="3">
        <f t="shared" si="344"/>
        <v>23.004984997558097</v>
      </c>
      <c r="V147" s="3">
        <f t="shared" si="344"/>
        <v>24.3046379916238</v>
      </c>
      <c r="W147" s="3">
        <f t="shared" si="344"/>
        <v>25.604290985689502</v>
      </c>
      <c r="X147" s="3">
        <f t="shared" si="344"/>
        <v>26.903943979755205</v>
      </c>
      <c r="Y147" s="3">
        <f t="shared" si="344"/>
        <v>28.203596973820897</v>
      </c>
      <c r="Z147" s="3">
        <f t="shared" si="344"/>
        <v>31.536342249582265</v>
      </c>
      <c r="AA147" s="3">
        <f t="shared" si="344"/>
        <v>34.86908752534363</v>
      </c>
      <c r="AB147" s="3">
        <f t="shared" si="344"/>
        <v>34.86908752534363</v>
      </c>
      <c r="AC147" s="3">
        <f t="shared" si="344"/>
        <v>34.86908752534363</v>
      </c>
      <c r="AD147" s="3">
        <f t="shared" si="344"/>
        <v>38.201832801104999</v>
      </c>
      <c r="AE147" s="3">
        <f t="shared" si="344"/>
        <v>41.534578076866367</v>
      </c>
      <c r="AF147" s="3">
        <f t="shared" si="344"/>
        <v>44.867323352627736</v>
      </c>
      <c r="AG147" s="3">
        <f t="shared" si="344"/>
        <v>48.200068628389104</v>
      </c>
      <c r="AH147" s="3">
        <f t="shared" si="344"/>
        <v>51.532813904150473</v>
      </c>
      <c r="AI147" s="3">
        <f t="shared" si="344"/>
        <v>54.865559179911841</v>
      </c>
      <c r="AJ147" s="3">
        <f t="shared" si="344"/>
        <v>58.19830445567321</v>
      </c>
      <c r="AK147" s="3">
        <f t="shared" si="344"/>
        <v>61.531049731434578</v>
      </c>
      <c r="AL147" s="3">
        <f t="shared" si="344"/>
        <v>80.821075196827948</v>
      </c>
      <c r="AM147" s="3">
        <f t="shared" si="344"/>
        <v>100.11110066222132</v>
      </c>
      <c r="AN147" s="3">
        <f t="shared" si="344"/>
        <v>145.64946887396664</v>
      </c>
      <c r="AO147" s="3">
        <f t="shared" si="344"/>
        <v>178.02134980359452</v>
      </c>
    </row>
    <row r="148" spans="1:57">
      <c r="A148" s="31"/>
      <c r="B148" s="15" t="str">
        <f t="shared" si="330"/>
        <v>COM_PROJ</v>
      </c>
      <c r="C148" s="16" t="str">
        <f t="shared" si="331"/>
        <v>-</v>
      </c>
      <c r="D148" s="43" t="s">
        <v>368</v>
      </c>
      <c r="E148" s="16" t="str">
        <f t="shared" si="332"/>
        <v>-</v>
      </c>
      <c r="F148" s="16" t="str">
        <f t="shared" si="332"/>
        <v>-</v>
      </c>
      <c r="G148" s="16" t="str">
        <f t="shared" si="332"/>
        <v>-</v>
      </c>
      <c r="H148" s="16" t="str">
        <f t="shared" si="332"/>
        <v>-</v>
      </c>
      <c r="I148" s="106">
        <f t="shared" si="333"/>
        <v>0</v>
      </c>
      <c r="J148" s="3">
        <f t="shared" ref="J148:AO148" si="345">INDEX($M122:$AZ122,MATCH(J$132,$M$106:$AZ$106,0))</f>
        <v>27.142505514316699</v>
      </c>
      <c r="K148" s="3">
        <f t="shared" si="345"/>
        <v>26.922878309927583</v>
      </c>
      <c r="L148" s="3">
        <f t="shared" si="345"/>
        <v>26.703251105538467</v>
      </c>
      <c r="M148" s="3">
        <f t="shared" si="345"/>
        <v>25.710844401627732</v>
      </c>
      <c r="N148" s="3">
        <f t="shared" si="345"/>
        <v>25.970242908568729</v>
      </c>
      <c r="O148" s="3">
        <f t="shared" si="345"/>
        <v>26.327626949537315</v>
      </c>
      <c r="P148" s="3">
        <f t="shared" si="345"/>
        <v>26.685010990505901</v>
      </c>
      <c r="Q148" s="3">
        <f t="shared" si="345"/>
        <v>27.042395031474488</v>
      </c>
      <c r="R148" s="3">
        <f t="shared" si="345"/>
        <v>27.042395031474488</v>
      </c>
      <c r="S148" s="3">
        <f t="shared" si="345"/>
        <v>27.042395031474488</v>
      </c>
      <c r="T148" s="3">
        <f t="shared" si="345"/>
        <v>27.399779072443074</v>
      </c>
      <c r="U148" s="3">
        <f t="shared" si="345"/>
        <v>27.757163113411661</v>
      </c>
      <c r="V148" s="3">
        <f t="shared" si="345"/>
        <v>28.114547154380247</v>
      </c>
      <c r="W148" s="3">
        <f t="shared" si="345"/>
        <v>28.471931195348834</v>
      </c>
      <c r="X148" s="3">
        <f t="shared" si="345"/>
        <v>28.82931523631742</v>
      </c>
      <c r="Y148" s="3">
        <f t="shared" si="345"/>
        <v>29.186699277286003</v>
      </c>
      <c r="Z148" s="3">
        <f t="shared" si="345"/>
        <v>30.270063160100765</v>
      </c>
      <c r="AA148" s="3">
        <f t="shared" si="345"/>
        <v>31.353427042915527</v>
      </c>
      <c r="AB148" s="3">
        <f t="shared" si="345"/>
        <v>31.353427042915527</v>
      </c>
      <c r="AC148" s="3">
        <f t="shared" si="345"/>
        <v>31.353427042915527</v>
      </c>
      <c r="AD148" s="3">
        <f t="shared" si="345"/>
        <v>32.436790925730286</v>
      </c>
      <c r="AE148" s="3">
        <f t="shared" si="345"/>
        <v>33.520154808545044</v>
      </c>
      <c r="AF148" s="3">
        <f t="shared" si="345"/>
        <v>34.603518691359803</v>
      </c>
      <c r="AG148" s="3">
        <f t="shared" si="345"/>
        <v>35.686882574174561</v>
      </c>
      <c r="AH148" s="3">
        <f t="shared" si="345"/>
        <v>36.770246456989319</v>
      </c>
      <c r="AI148" s="3">
        <f t="shared" si="345"/>
        <v>37.853610339804078</v>
      </c>
      <c r="AJ148" s="3">
        <f t="shared" si="345"/>
        <v>38.936974222618836</v>
      </c>
      <c r="AK148" s="3">
        <f t="shared" si="345"/>
        <v>40.020338105433609</v>
      </c>
      <c r="AL148" s="3">
        <f t="shared" si="345"/>
        <v>47.03085283591134</v>
      </c>
      <c r="AM148" s="3">
        <f t="shared" si="345"/>
        <v>54.041367566389084</v>
      </c>
      <c r="AN148" s="3">
        <f t="shared" si="345"/>
        <v>67.875998645520468</v>
      </c>
      <c r="AO148" s="3">
        <f t="shared" si="345"/>
        <v>73.584170791170493</v>
      </c>
    </row>
    <row r="149" spans="1:57">
      <c r="A149" s="31"/>
      <c r="B149" s="15" t="str">
        <f t="shared" si="330"/>
        <v>COM_PROJ</v>
      </c>
      <c r="C149" s="16" t="str">
        <f t="shared" si="331"/>
        <v>-</v>
      </c>
      <c r="D149" s="43" t="s">
        <v>367</v>
      </c>
      <c r="E149" s="16" t="str">
        <f t="shared" si="332"/>
        <v>-</v>
      </c>
      <c r="F149" s="16" t="str">
        <f t="shared" si="332"/>
        <v>-</v>
      </c>
      <c r="G149" s="16" t="str">
        <f t="shared" si="332"/>
        <v>-</v>
      </c>
      <c r="H149" s="16" t="str">
        <f t="shared" si="332"/>
        <v>-</v>
      </c>
      <c r="I149" s="106">
        <f t="shared" si="333"/>
        <v>0</v>
      </c>
      <c r="J149" s="3">
        <f t="shared" ref="J149:AO149" si="346">INDEX($M123:$AZ123,MATCH(J$132,$M$106:$AZ$106,0))</f>
        <v>88.672727178245694</v>
      </c>
      <c r="K149" s="3">
        <f t="shared" si="346"/>
        <v>88.015304929890732</v>
      </c>
      <c r="L149" s="3">
        <f t="shared" si="346"/>
        <v>87.357882681535756</v>
      </c>
      <c r="M149" s="3">
        <f t="shared" si="346"/>
        <v>84.559607459462228</v>
      </c>
      <c r="N149" s="3">
        <f t="shared" si="346"/>
        <v>86.9457419513449</v>
      </c>
      <c r="O149" s="3">
        <f t="shared" si="346"/>
        <v>87.492893650053077</v>
      </c>
      <c r="P149" s="3">
        <f t="shared" si="346"/>
        <v>88.040045348761254</v>
      </c>
      <c r="Q149" s="3">
        <f t="shared" si="346"/>
        <v>88.587197047469431</v>
      </c>
      <c r="R149" s="3">
        <f t="shared" si="346"/>
        <v>88.587197047469431</v>
      </c>
      <c r="S149" s="3">
        <f t="shared" si="346"/>
        <v>88.587197047469431</v>
      </c>
      <c r="T149" s="3">
        <f t="shared" si="346"/>
        <v>89.134348746177608</v>
      </c>
      <c r="U149" s="3">
        <f t="shared" si="346"/>
        <v>89.681500444885785</v>
      </c>
      <c r="V149" s="3">
        <f t="shared" si="346"/>
        <v>90.228652143593962</v>
      </c>
      <c r="W149" s="3">
        <f t="shared" si="346"/>
        <v>90.775803842302139</v>
      </c>
      <c r="X149" s="3">
        <f t="shared" si="346"/>
        <v>91.322955541010316</v>
      </c>
      <c r="Y149" s="3">
        <f t="shared" si="346"/>
        <v>91.870107239718436</v>
      </c>
      <c r="Z149" s="3">
        <f t="shared" si="346"/>
        <v>93.941525788489685</v>
      </c>
      <c r="AA149" s="3">
        <f t="shared" si="346"/>
        <v>96.012944337260933</v>
      </c>
      <c r="AB149" s="3">
        <f t="shared" si="346"/>
        <v>96.012944337260933</v>
      </c>
      <c r="AC149" s="3">
        <f t="shared" si="346"/>
        <v>96.012944337260933</v>
      </c>
      <c r="AD149" s="3">
        <f t="shared" si="346"/>
        <v>98.084362886032181</v>
      </c>
      <c r="AE149" s="3">
        <f t="shared" si="346"/>
        <v>100.15578143480343</v>
      </c>
      <c r="AF149" s="3">
        <f t="shared" si="346"/>
        <v>102.22719998357468</v>
      </c>
      <c r="AG149" s="3">
        <f t="shared" si="346"/>
        <v>104.29861853234593</v>
      </c>
      <c r="AH149" s="3">
        <f t="shared" si="346"/>
        <v>106.37003708111718</v>
      </c>
      <c r="AI149" s="3">
        <f t="shared" si="346"/>
        <v>108.44145562988842</v>
      </c>
      <c r="AJ149" s="3">
        <f t="shared" si="346"/>
        <v>110.51287417865967</v>
      </c>
      <c r="AK149" s="3">
        <f t="shared" si="346"/>
        <v>112.58429272743091</v>
      </c>
      <c r="AL149" s="3">
        <f t="shared" si="346"/>
        <v>130.49756643209119</v>
      </c>
      <c r="AM149" s="3">
        <f t="shared" si="346"/>
        <v>148.41084013675146</v>
      </c>
      <c r="AN149" s="3">
        <f t="shared" si="346"/>
        <v>183.24497714602427</v>
      </c>
      <c r="AO149" s="3">
        <f t="shared" si="346"/>
        <v>196.27767980712804</v>
      </c>
    </row>
    <row r="150" spans="1:57">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row>
    <row r="151" spans="1:57">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row>
    <row r="152" spans="1:57">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row>
    <row r="153" spans="1:57">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row>
    <row r="154" spans="1:57">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row>
    <row r="155" spans="1:57">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row>
    <row r="156" spans="1:57">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row>
    <row r="157" spans="1:57">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row>
    <row r="158" spans="1:57">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row>
    <row r="159" spans="1:57">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row>
    <row r="160" spans="1:57">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row>
    <row r="161" spans="1:84">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row>
    <row r="162" spans="1:84">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row>
    <row r="163" spans="1:84">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row>
    <row r="164" spans="1:84">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row>
    <row r="165" spans="1:84">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row>
    <row r="166" spans="1:84">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row>
    <row r="167" spans="1:84">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row>
    <row r="168" spans="1:84">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row>
    <row r="169" spans="1:84">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row>
    <row r="170" spans="1:84" ht="23.25">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376</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47">MATCH(J$132,$C$128:$K$128,$C171)</f>
        <v>1</v>
      </c>
      <c r="S171" s="98">
        <f t="shared" si="347"/>
        <v>1</v>
      </c>
      <c r="T171" s="98">
        <f t="shared" si="347"/>
        <v>2</v>
      </c>
      <c r="U171" s="98">
        <f t="shared" si="347"/>
        <v>3</v>
      </c>
      <c r="V171" s="98">
        <f t="shared" si="347"/>
        <v>4</v>
      </c>
      <c r="W171" s="98">
        <f t="shared" si="347"/>
        <v>4</v>
      </c>
      <c r="X171" s="98">
        <f t="shared" ref="X171:Z172" si="348">MATCH(N$132,$C$128:$K$128,$C171)</f>
        <v>4</v>
      </c>
      <c r="Y171" s="98">
        <f t="shared" si="348"/>
        <v>4</v>
      </c>
      <c r="Z171" s="98">
        <f t="shared" si="348"/>
        <v>4</v>
      </c>
      <c r="AA171" s="98">
        <f t="shared" ref="AA171:AG172" si="349">MATCH(S$132,$C$128:$K$128,$C171)</f>
        <v>4</v>
      </c>
      <c r="AB171" s="98">
        <f t="shared" si="349"/>
        <v>4</v>
      </c>
      <c r="AC171" s="98">
        <f t="shared" si="349"/>
        <v>4</v>
      </c>
      <c r="AD171" s="98">
        <f t="shared" si="349"/>
        <v>4</v>
      </c>
      <c r="AE171" s="98">
        <f t="shared" si="349"/>
        <v>4</v>
      </c>
      <c r="AF171" s="98">
        <f t="shared" si="349"/>
        <v>4</v>
      </c>
      <c r="AG171" s="98">
        <f t="shared" si="349"/>
        <v>5</v>
      </c>
      <c r="AH171" s="98">
        <f t="shared" ref="AH171:AJ172" si="350">MATCH(X$132,$C$128:$K$128,$C171)</f>
        <v>4</v>
      </c>
      <c r="AI171" s="98">
        <f t="shared" si="350"/>
        <v>5</v>
      </c>
      <c r="AJ171" s="98">
        <f t="shared" si="350"/>
        <v>5</v>
      </c>
      <c r="AK171" s="98">
        <f t="shared" ref="AK171:AW172" si="351">MATCH(AC$132,$C$128:$K$128,$C171)</f>
        <v>5</v>
      </c>
      <c r="AL171" s="98">
        <f t="shared" si="351"/>
        <v>5</v>
      </c>
      <c r="AM171" s="98">
        <f t="shared" si="351"/>
        <v>5</v>
      </c>
      <c r="AN171" s="98">
        <f t="shared" si="351"/>
        <v>5</v>
      </c>
      <c r="AO171" s="98">
        <f t="shared" si="351"/>
        <v>5</v>
      </c>
      <c r="AP171" s="98">
        <f t="shared" si="351"/>
        <v>5</v>
      </c>
      <c r="AQ171" s="98">
        <f t="shared" si="351"/>
        <v>5</v>
      </c>
      <c r="AR171" s="98">
        <f t="shared" si="351"/>
        <v>5</v>
      </c>
      <c r="AS171" s="98">
        <f t="shared" si="351"/>
        <v>6</v>
      </c>
      <c r="AT171" s="98">
        <f t="shared" si="351"/>
        <v>6</v>
      </c>
      <c r="AU171" s="98">
        <f t="shared" si="351"/>
        <v>7</v>
      </c>
      <c r="AV171" s="98">
        <f t="shared" si="351"/>
        <v>8</v>
      </c>
      <c r="AW171" s="98">
        <f t="shared" si="351"/>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1" t="s">
        <v>16</v>
      </c>
      <c r="B172" t="s">
        <v>377</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1"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7"/>
        <v>1</v>
      </c>
      <c r="S172" t="e">
        <f t="shared" si="347"/>
        <v>#N/A</v>
      </c>
      <c r="T172">
        <f t="shared" si="347"/>
        <v>2</v>
      </c>
      <c r="U172">
        <f t="shared" si="347"/>
        <v>3</v>
      </c>
      <c r="V172">
        <f t="shared" si="347"/>
        <v>4</v>
      </c>
      <c r="W172" t="e">
        <f t="shared" si="347"/>
        <v>#N/A</v>
      </c>
      <c r="X172">
        <f t="shared" si="348"/>
        <v>4</v>
      </c>
      <c r="Y172" t="e">
        <f t="shared" si="348"/>
        <v>#N/A</v>
      </c>
      <c r="Z172" t="e">
        <f t="shared" si="348"/>
        <v>#N/A</v>
      </c>
      <c r="AA172" t="e">
        <f t="shared" si="349"/>
        <v>#N/A</v>
      </c>
      <c r="AB172" t="e">
        <f t="shared" si="349"/>
        <v>#N/A</v>
      </c>
      <c r="AC172" t="e">
        <f t="shared" si="349"/>
        <v>#N/A</v>
      </c>
      <c r="AD172" t="e">
        <f t="shared" si="349"/>
        <v>#N/A</v>
      </c>
      <c r="AE172" t="e">
        <f t="shared" si="349"/>
        <v>#N/A</v>
      </c>
      <c r="AF172" t="e">
        <f t="shared" si="349"/>
        <v>#N/A</v>
      </c>
      <c r="AG172">
        <f t="shared" si="349"/>
        <v>5</v>
      </c>
      <c r="AH172" t="e">
        <f t="shared" si="350"/>
        <v>#N/A</v>
      </c>
      <c r="AI172">
        <f t="shared" si="350"/>
        <v>5</v>
      </c>
      <c r="AJ172" t="e">
        <f t="shared" si="350"/>
        <v>#N/A</v>
      </c>
      <c r="AK172" t="e">
        <f t="shared" si="351"/>
        <v>#N/A</v>
      </c>
      <c r="AL172" t="e">
        <f t="shared" si="351"/>
        <v>#N/A</v>
      </c>
      <c r="AM172" t="e">
        <f t="shared" si="351"/>
        <v>#N/A</v>
      </c>
      <c r="AN172" t="e">
        <f t="shared" si="351"/>
        <v>#N/A</v>
      </c>
      <c r="AO172" t="e">
        <f t="shared" si="351"/>
        <v>#N/A</v>
      </c>
      <c r="AP172" t="e">
        <f t="shared" si="351"/>
        <v>#N/A</v>
      </c>
      <c r="AQ172" t="e">
        <f t="shared" si="351"/>
        <v>#N/A</v>
      </c>
      <c r="AR172" t="e">
        <f t="shared" si="351"/>
        <v>#N/A</v>
      </c>
      <c r="AS172">
        <f t="shared" si="351"/>
        <v>6</v>
      </c>
      <c r="AT172" t="e">
        <f t="shared" si="351"/>
        <v>#N/A</v>
      </c>
      <c r="AU172">
        <f t="shared" si="351"/>
        <v>7</v>
      </c>
      <c r="AV172">
        <f t="shared" si="351"/>
        <v>8</v>
      </c>
      <c r="AW172">
        <f t="shared" si="351"/>
        <v>9</v>
      </c>
    </row>
    <row r="173" spans="1:84">
      <c r="A173" s="31" t="s">
        <v>16</v>
      </c>
      <c r="B173" t="s">
        <v>375</v>
      </c>
      <c r="C173">
        <v>-1</v>
      </c>
      <c r="D173">
        <v>0</v>
      </c>
      <c r="E173">
        <v>1</v>
      </c>
      <c r="F173">
        <v>2</v>
      </c>
      <c r="G173">
        <v>3</v>
      </c>
      <c r="I173">
        <v>4</v>
      </c>
      <c r="J173">
        <v>5</v>
      </c>
      <c r="K173" s="31"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52">MATCH(J$132,$C$129:$K$129,$C173)</f>
        <v>9</v>
      </c>
      <c r="S173">
        <f t="shared" si="352"/>
        <v>8</v>
      </c>
      <c r="T173">
        <f t="shared" si="352"/>
        <v>8</v>
      </c>
      <c r="U173">
        <f t="shared" si="352"/>
        <v>7</v>
      </c>
      <c r="V173">
        <f t="shared" si="352"/>
        <v>6</v>
      </c>
      <c r="W173">
        <f t="shared" si="352"/>
        <v>5</v>
      </c>
      <c r="X173">
        <f>MATCH(N$132,$C$129:$K$129,$C173)</f>
        <v>6</v>
      </c>
      <c r="Y173">
        <f>MATCH(O$132,$C$129:$K$129,$C173)</f>
        <v>5</v>
      </c>
      <c r="Z173">
        <f>MATCH(P$132,$C$129:$K$129,$C173)</f>
        <v>5</v>
      </c>
      <c r="AA173">
        <f t="shared" ref="AA173:AG173" si="353">MATCH(S$132,$C$129:$K$129,$C173)</f>
        <v>5</v>
      </c>
      <c r="AB173">
        <f t="shared" si="353"/>
        <v>5</v>
      </c>
      <c r="AC173">
        <f t="shared" si="353"/>
        <v>5</v>
      </c>
      <c r="AD173">
        <f t="shared" si="353"/>
        <v>5</v>
      </c>
      <c r="AE173">
        <f t="shared" si="353"/>
        <v>5</v>
      </c>
      <c r="AF173">
        <f t="shared" si="353"/>
        <v>5</v>
      </c>
      <c r="AG173">
        <f t="shared" si="353"/>
        <v>5</v>
      </c>
      <c r="AH173">
        <f>MATCH(X$132,$C$129:$K$129,$C173)</f>
        <v>5</v>
      </c>
      <c r="AI173">
        <f>MATCH(Y$132,$C$129:$K$129,$C173)</f>
        <v>5</v>
      </c>
      <c r="AJ173">
        <f>MATCH(Z$132,$C$129:$K$129,$C173)</f>
        <v>4</v>
      </c>
      <c r="AK173">
        <f t="shared" ref="AK173:AW173" si="354">MATCH(AC$132,$C$129:$K$129,$C173)</f>
        <v>4</v>
      </c>
      <c r="AL173">
        <f t="shared" si="354"/>
        <v>4</v>
      </c>
      <c r="AM173">
        <f t="shared" si="354"/>
        <v>4</v>
      </c>
      <c r="AN173">
        <f t="shared" si="354"/>
        <v>4</v>
      </c>
      <c r="AO173">
        <f t="shared" si="354"/>
        <v>4</v>
      </c>
      <c r="AP173">
        <f t="shared" si="354"/>
        <v>4</v>
      </c>
      <c r="AQ173">
        <f t="shared" si="354"/>
        <v>4</v>
      </c>
      <c r="AR173">
        <f t="shared" si="354"/>
        <v>4</v>
      </c>
      <c r="AS173">
        <f t="shared" si="354"/>
        <v>4</v>
      </c>
      <c r="AT173">
        <f t="shared" si="354"/>
        <v>3</v>
      </c>
      <c r="AU173">
        <f t="shared" si="354"/>
        <v>3</v>
      </c>
      <c r="AV173">
        <f t="shared" si="354"/>
        <v>2</v>
      </c>
      <c r="AW173">
        <f t="shared" si="354"/>
        <v>1</v>
      </c>
    </row>
    <row r="174" spans="1:84" s="100" customFormat="1">
      <c r="A174" s="31" t="s">
        <v>16</v>
      </c>
      <c r="B174" t="s">
        <v>378</v>
      </c>
      <c r="C174"/>
      <c r="D174"/>
      <c r="E174"/>
      <c r="F174"/>
      <c r="G174"/>
      <c r="H174"/>
      <c r="I174"/>
      <c r="J174" s="105"/>
      <c r="K174" s="66">
        <f>IF(ISNA(K171),-1,IF(ISNA(K173),99,IF(ISNA(K172),K171,0)))</f>
        <v>0</v>
      </c>
      <c r="L174" s="66">
        <f t="shared" ref="L174:AW174" si="355">IF(ISNA(L171),-1,IF(ISNA(L173),99,IF(ISNA(L172),L171,0)))</f>
        <v>0</v>
      </c>
      <c r="M174" s="66">
        <f t="shared" si="355"/>
        <v>0</v>
      </c>
      <c r="N174" s="66">
        <f t="shared" ref="N174:O174" si="356">IF(ISNA(N171),-1,IF(ISNA(N173),99,IF(ISNA(N172),N171,0)))</f>
        <v>0</v>
      </c>
      <c r="O174" s="66">
        <f t="shared" si="356"/>
        <v>0</v>
      </c>
      <c r="P174" s="66">
        <f t="shared" si="355"/>
        <v>0</v>
      </c>
      <c r="Q174" s="66">
        <f t="shared" si="355"/>
        <v>0</v>
      </c>
      <c r="R174" s="66">
        <f t="shared" si="355"/>
        <v>0</v>
      </c>
      <c r="S174" s="66">
        <f t="shared" si="355"/>
        <v>1</v>
      </c>
      <c r="T174" s="66">
        <f t="shared" si="355"/>
        <v>0</v>
      </c>
      <c r="U174" s="66">
        <f t="shared" si="355"/>
        <v>0</v>
      </c>
      <c r="V174" s="66">
        <f t="shared" si="355"/>
        <v>0</v>
      </c>
      <c r="W174" s="66">
        <f t="shared" si="355"/>
        <v>4</v>
      </c>
      <c r="X174" s="66">
        <f t="shared" ref="X174:Y174" si="357">IF(ISNA(X171),-1,IF(ISNA(X173),99,IF(ISNA(X172),X171,0)))</f>
        <v>0</v>
      </c>
      <c r="Y174" s="66">
        <f t="shared" si="357"/>
        <v>4</v>
      </c>
      <c r="Z174" s="66">
        <f t="shared" si="355"/>
        <v>4</v>
      </c>
      <c r="AA174" s="66">
        <f t="shared" si="355"/>
        <v>4</v>
      </c>
      <c r="AB174" s="66">
        <f t="shared" si="355"/>
        <v>4</v>
      </c>
      <c r="AC174" s="66">
        <f t="shared" si="355"/>
        <v>4</v>
      </c>
      <c r="AD174" s="66">
        <f t="shared" si="355"/>
        <v>4</v>
      </c>
      <c r="AE174" s="66">
        <f t="shared" si="355"/>
        <v>4</v>
      </c>
      <c r="AF174" s="66">
        <f t="shared" si="355"/>
        <v>4</v>
      </c>
      <c r="AG174" s="66">
        <f t="shared" si="355"/>
        <v>0</v>
      </c>
      <c r="AH174" s="66">
        <f t="shared" ref="AH174:AI174" si="358">IF(ISNA(AH171),-1,IF(ISNA(AH173),99,IF(ISNA(AH172),AH171,0)))</f>
        <v>4</v>
      </c>
      <c r="AI174" s="66">
        <f t="shared" si="358"/>
        <v>0</v>
      </c>
      <c r="AJ174" s="66">
        <f t="shared" si="355"/>
        <v>5</v>
      </c>
      <c r="AK174" s="66">
        <f t="shared" si="355"/>
        <v>5</v>
      </c>
      <c r="AL174" s="66">
        <f t="shared" si="355"/>
        <v>5</v>
      </c>
      <c r="AM174" s="66">
        <f t="shared" si="355"/>
        <v>5</v>
      </c>
      <c r="AN174" s="66">
        <f t="shared" si="355"/>
        <v>5</v>
      </c>
      <c r="AO174" s="66">
        <f t="shared" si="355"/>
        <v>5</v>
      </c>
      <c r="AP174" s="66">
        <f t="shared" si="355"/>
        <v>5</v>
      </c>
      <c r="AQ174" s="66">
        <f t="shared" si="355"/>
        <v>5</v>
      </c>
      <c r="AR174" s="66">
        <f t="shared" si="355"/>
        <v>5</v>
      </c>
      <c r="AS174" s="66">
        <f t="shared" si="355"/>
        <v>0</v>
      </c>
      <c r="AT174" s="66">
        <f t="shared" si="355"/>
        <v>6</v>
      </c>
      <c r="AU174" s="66">
        <f t="shared" si="355"/>
        <v>0</v>
      </c>
      <c r="AV174" s="66">
        <f t="shared" si="355"/>
        <v>0</v>
      </c>
      <c r="AW174" s="66">
        <f t="shared" si="355"/>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5" t="str">
        <f t="shared" ref="B175:B184" si="359">IF(A175="*","","COM_PROJ")</f>
        <v/>
      </c>
      <c r="C175" s="16" t="str">
        <f t="shared" ref="C175:C184" si="360">IF($A175="*","","-")</f>
        <v/>
      </c>
      <c r="D175" s="43"/>
      <c r="E175" s="16" t="str">
        <f t="shared" ref="E175:I184" si="361">IF($A175="*","","-")</f>
        <v/>
      </c>
      <c r="F175" s="16" t="str">
        <f t="shared" si="361"/>
        <v/>
      </c>
      <c r="G175" s="16" t="str">
        <f t="shared" si="361"/>
        <v/>
      </c>
      <c r="H175" s="16"/>
      <c r="I175" s="16" t="str">
        <f t="shared" si="361"/>
        <v/>
      </c>
      <c r="K175" s="16">
        <f>K170</f>
        <v>2012</v>
      </c>
      <c r="L175" s="16">
        <f t="shared" ref="L175:AW175" si="362">L170</f>
        <v>2013</v>
      </c>
      <c r="M175" s="16">
        <f t="shared" si="362"/>
        <v>2014</v>
      </c>
      <c r="N175" s="16">
        <f t="shared" ref="N175:O175" si="363">N170</f>
        <v>2015</v>
      </c>
      <c r="O175" s="16">
        <f t="shared" si="363"/>
        <v>2015</v>
      </c>
      <c r="P175" s="16">
        <f t="shared" si="362"/>
        <v>2015</v>
      </c>
      <c r="Q175" s="16">
        <f t="shared" si="362"/>
        <v>2016</v>
      </c>
      <c r="R175" s="16">
        <f t="shared" si="362"/>
        <v>2017</v>
      </c>
      <c r="S175" s="16">
        <f t="shared" si="362"/>
        <v>2018</v>
      </c>
      <c r="T175" s="16">
        <f t="shared" si="362"/>
        <v>2019</v>
      </c>
      <c r="U175" s="16">
        <f t="shared" si="362"/>
        <v>2020</v>
      </c>
      <c r="V175" s="16">
        <f t="shared" si="362"/>
        <v>2021</v>
      </c>
      <c r="W175" s="16">
        <f t="shared" si="362"/>
        <v>2022</v>
      </c>
      <c r="X175" s="16">
        <f t="shared" ref="X175:Y175" si="364">X170</f>
        <v>2023</v>
      </c>
      <c r="Y175" s="16">
        <f t="shared" si="364"/>
        <v>2023</v>
      </c>
      <c r="Z175" s="16">
        <f t="shared" si="362"/>
        <v>2023</v>
      </c>
      <c r="AA175" s="16">
        <f t="shared" si="362"/>
        <v>2024</v>
      </c>
      <c r="AB175" s="16">
        <f t="shared" si="362"/>
        <v>2025</v>
      </c>
      <c r="AC175" s="16">
        <f t="shared" si="362"/>
        <v>2026</v>
      </c>
      <c r="AD175" s="16">
        <f t="shared" si="362"/>
        <v>2027</v>
      </c>
      <c r="AE175" s="16">
        <f t="shared" si="362"/>
        <v>2028</v>
      </c>
      <c r="AF175" s="16">
        <f t="shared" si="362"/>
        <v>2029</v>
      </c>
      <c r="AG175" s="16">
        <f t="shared" si="362"/>
        <v>2030</v>
      </c>
      <c r="AH175" s="16">
        <f t="shared" ref="AH175:AI175" si="365">AH170</f>
        <v>2031</v>
      </c>
      <c r="AI175" s="16">
        <f t="shared" si="365"/>
        <v>2031</v>
      </c>
      <c r="AJ175" s="16">
        <f t="shared" si="362"/>
        <v>2031</v>
      </c>
      <c r="AK175" s="16">
        <f t="shared" si="362"/>
        <v>2032</v>
      </c>
      <c r="AL175" s="16">
        <f t="shared" si="362"/>
        <v>2033</v>
      </c>
      <c r="AM175" s="16">
        <f t="shared" si="362"/>
        <v>2034</v>
      </c>
      <c r="AN175" s="16">
        <f t="shared" si="362"/>
        <v>2035</v>
      </c>
      <c r="AO175" s="16">
        <f t="shared" si="362"/>
        <v>2036</v>
      </c>
      <c r="AP175" s="16">
        <f t="shared" si="362"/>
        <v>2037</v>
      </c>
      <c r="AQ175" s="16">
        <f t="shared" si="362"/>
        <v>2038</v>
      </c>
      <c r="AR175" s="16">
        <f t="shared" si="362"/>
        <v>2039</v>
      </c>
      <c r="AS175" s="16">
        <f t="shared" si="362"/>
        <v>2040</v>
      </c>
      <c r="AT175" s="16">
        <f t="shared" si="362"/>
        <v>2041</v>
      </c>
      <c r="AU175" s="16">
        <f t="shared" si="362"/>
        <v>2042</v>
      </c>
      <c r="AV175" s="16">
        <f t="shared" si="362"/>
        <v>2043</v>
      </c>
      <c r="AW175" s="16">
        <f t="shared" si="362"/>
        <v>2044</v>
      </c>
    </row>
    <row r="176" spans="1:84">
      <c r="A176" t="s">
        <v>16</v>
      </c>
      <c r="B176" s="15" t="str">
        <f t="shared" si="359"/>
        <v/>
      </c>
      <c r="C176" s="16" t="str">
        <f t="shared" si="360"/>
        <v/>
      </c>
      <c r="D176" s="43"/>
      <c r="E176" s="16" t="str">
        <f t="shared" si="361"/>
        <v/>
      </c>
      <c r="F176" s="16" t="str">
        <f t="shared" si="361"/>
        <v/>
      </c>
      <c r="G176" s="16" t="str">
        <f t="shared" si="361"/>
        <v/>
      </c>
      <c r="H176" s="16"/>
      <c r="I176" s="16" t="str">
        <f t="shared" si="361"/>
        <v/>
      </c>
      <c r="J176" s="114" t="str">
        <f t="shared" ref="J176:J188" si="366">B76</f>
        <v>TFLCV</v>
      </c>
      <c r="K176" s="3" t="e">
        <f>#REF!</f>
        <v>#REF!</v>
      </c>
      <c r="L176" s="3" t="e" cm="1">
        <f t="array" ref="L176">IF(L$174=-1,M176,IF(L$174=99,K176,IF(L$174=0,INDEX($F43:$N43,0,L$172),(INDEX($F43:$N43,0,L$174+1)-INDEX($F43:$N43,0,L$174))/(INDEX($F$4:$N$4,0,L$174+1)-INDEX($F$4:$N$4,0,L$174))+K176)))</f>
        <v>#REF!</v>
      </c>
      <c r="M176" s="3" t="e" cm="1">
        <f t="array" ref="M176">IF(M$174=-1,P176,IF(M$174=99,L176,IF(M$174=0,INDEX($F43:$N43,0,M$172),(INDEX($F43:$N43,0,M$174+1)-INDEX($F43:$N43,0,M$174))/(INDEX($F$4:$N$4,0,M$174+1)-INDEX($F$4:$N$4,0,M$174))+L176)))</f>
        <v>#REF!</v>
      </c>
      <c r="N176" s="3" t="e" cm="1">
        <f t="array" ref="N176">IF(N$174=-1,O176,IF(N$174=99,K176,IF(N$174=0,INDEX($F43:$N43,0,N$172),(INDEX($F43:$N43,0,N$174+1)-INDEX($F43:$N43,0,N$174))/(INDEX($F$4:$N$4,0,N$174+1)-INDEX($F$4:$N$4,0,N$174))+K176)))</f>
        <v>#REF!</v>
      </c>
      <c r="O176" s="3" t="e" cm="1">
        <f t="array" ref="O176">IF(O$174=-1,P176,IF(O$174=99,L176,IF(O$174=0,INDEX($F43:$N43,0,O$172),(INDEX($F43:$N43,0,O$174+1)-INDEX($F43:$N43,0,O$174))/(INDEX($F$4:$N$4,0,O$174+1)-INDEX($F$4:$N$4,0,O$174))+L176)))</f>
        <v>#REF!</v>
      </c>
      <c r="P176" s="3" t="e" cm="1">
        <f t="array" ref="P176">IF(P$174=-1,Q176,IF(P$174=99,M176,IF(P$174=0,INDEX($F43:$N43,0,P$172),(INDEX($F43:$N43,0,P$174+1)-INDEX($F43:$N43,0,P$174))/(INDEX($F$4:$N$4,0,P$174+1)-INDEX($F$4:$N$4,0,P$174))+M176)))</f>
        <v>#REF!</v>
      </c>
      <c r="Q176" s="3" t="e" cm="1">
        <f t="array" ref="Q176">IF(Q$174=-1,R176,IF(Q$174=99,P176,IF(Q$174=0,INDEX($F43:$N43,0,Q$172),(INDEX($F43:$N43,0,Q$174+1)-INDEX($F43:$N43,0,Q$174))/(INDEX($F$4:$N$4,0,Q$174+1)-INDEX($F$4:$N$4,0,Q$174))+P176)))</f>
        <v>#REF!</v>
      </c>
      <c r="R176" s="3" cm="1">
        <f t="array" ref="R176">IF(R$174=-1,S176,IF(R$174=99,Q176,IF(R$174=0,INDEX($F43:$N43,0,R$172),(INDEX($F43:$N43,0,R$174+1)-INDEX($F43:$N43,0,R$174))/(INDEX($F$4:$N$4,0,R$174+1)-INDEX($F$4:$N$4,0,R$174))+Q176)))</f>
        <v>18.931145021834741</v>
      </c>
      <c r="S176" s="3" cm="1">
        <f t="array" ref="S176">IF(S$174=-1,T176,IF(S$174=99,R176,IF(S$174=0,INDEX($F43:$N43,0,S$172),(INDEX($F43:$N43,0,S$174+1)-INDEX($F43:$N43,0,S$174))/(INDEX($F$4:$N$4,0,S$174+1)-INDEX($F$4:$N$4,0,S$174))+R176)))</f>
        <v>19.048967965169496</v>
      </c>
      <c r="T176" s="3" cm="1">
        <f t="array" ref="T176">IF(T$174=-1,U176,IF(T$174=99,S176,IF(T$174=0,INDEX($F43:$N43,0,T$172),(INDEX($F43:$N43,0,T$174+1)-INDEX($F43:$N43,0,T$174))/(INDEX($F$4:$N$4,0,T$174+1)-INDEX($F$4:$N$4,0,T$174))+S176)))</f>
        <v>19.16679090850425</v>
      </c>
      <c r="U176" s="3" cm="1">
        <f t="array" ref="U176">IF(U$174=-1,V176,IF(U$174=99,T176,IF(U$174=0,INDEX($F43:$N43,0,U$172),(INDEX($F43:$N43,0,U$174+1)-INDEX($F43:$N43,0,U$174))/(INDEX($F$4:$N$4,0,U$174+1)-INDEX($F$4:$N$4,0,U$174))+T176)))</f>
        <v>18.454471209495399</v>
      </c>
      <c r="V176" s="3" cm="1">
        <f t="array" ref="V176">IF(V$174=-1,W176,IF(V$174=99,U176,IF(V$174=0,INDEX($F43:$N43,0,V$172),(INDEX($F43:$N43,0,V$174+1)-INDEX($F43:$N43,0,V$174))/(INDEX($F$4:$N$4,0,V$174+1)-INDEX($F$4:$N$4,0,V$174))+U176)))</f>
        <v>18.640659659915396</v>
      </c>
      <c r="W176" s="3" cm="1">
        <f t="array" ref="W176">IF(W$174=-1,Z176,IF(W$174=99,V176,IF(W$174=0,INDEX($F43:$N43,0,W$172),(INDEX($F43:$N43,0,W$174+1)-INDEX($F43:$N43,0,W$174))/(INDEX($F$4:$N$4,0,W$174+1)-INDEX($F$4:$N$4,0,W$174))+V176)))</f>
        <v>18.89717918108563</v>
      </c>
      <c r="X176" s="3" cm="1">
        <f t="array" ref="X176">IF(X$174=-1,Y176,IF(X$174=99,U176,IF(X$174=0,INDEX($F43:$N43,0,X$172),(INDEX($F43:$N43,0,X$174+1)-INDEX($F43:$N43,0,X$174))/(INDEX($F$4:$N$4,0,X$174+1)-INDEX($F$4:$N$4,0,X$174))+U176)))</f>
        <v>18.640659659915396</v>
      </c>
      <c r="Y176" s="3" cm="1">
        <f t="array" ref="Y176">IF(Y$174=-1,Z176,IF(Y$174=99,V176,IF(Y$174=0,INDEX($F43:$N43,0,Y$172),(INDEX($F43:$N43,0,Y$174+1)-INDEX($F43:$N43,0,Y$174))/(INDEX($F$4:$N$4,0,Y$174+1)-INDEX($F$4:$N$4,0,Y$174))+V176)))</f>
        <v>18.89717918108563</v>
      </c>
      <c r="Z176" s="3" cm="1">
        <f t="array" ref="Z176">IF(Z$174=-1,AA176,IF(Z$174=99,W176,IF(Z$174=0,INDEX($F43:$N43,0,Z$172),(INDEX($F43:$N43,0,Z$174+1)-INDEX($F43:$N43,0,Z$174))/(INDEX($F$4:$N$4,0,Z$174+1)-INDEX($F$4:$N$4,0,Z$174))+W176)))</f>
        <v>19.153698702255863</v>
      </c>
      <c r="AA176" s="3" cm="1">
        <f t="array" ref="AA176">IF(AA$174=-1,AB176,IF(AA$174=99,Z176,IF(AA$174=0,INDEX($F43:$N43,0,AA$172),(INDEX($F43:$N43,0,AA$174+1)-INDEX($F43:$N43,0,AA$174))/(INDEX($F$4:$N$4,0,AA$174+1)-INDEX($F$4:$N$4,0,AA$174))+Z176)))</f>
        <v>19.410218223426096</v>
      </c>
      <c r="AB176" s="3" cm="1">
        <f t="array" ref="AB176">IF(AB$174=-1,AC176,IF(AB$174=99,AA176,IF(AB$174=0,INDEX($F43:$N43,0,AB$172),(INDEX($F43:$N43,0,AB$174+1)-INDEX($F43:$N43,0,AB$174))/(INDEX($F$4:$N$4,0,AB$174+1)-INDEX($F$4:$N$4,0,AB$174))+AA176)))</f>
        <v>19.666737744596329</v>
      </c>
      <c r="AC176" s="3" cm="1">
        <f t="array" ref="AC176">IF(AC$174=-1,AD176,IF(AC$174=99,AB176,IF(AC$174=0,INDEX($F43:$N43,0,AC$172),(INDEX($F43:$N43,0,AC$174+1)-INDEX($F43:$N43,0,AC$174))/(INDEX($F$4:$N$4,0,AC$174+1)-INDEX($F$4:$N$4,0,AC$174))+AB176)))</f>
        <v>19.923257265766562</v>
      </c>
      <c r="AD176" s="3" cm="1">
        <f t="array" ref="AD176">IF(AD$174=-1,AE176,IF(AD$174=99,AC176,IF(AD$174=0,INDEX($F43:$N43,0,AD$172),(INDEX($F43:$N43,0,AD$174+1)-INDEX($F43:$N43,0,AD$174))/(INDEX($F$4:$N$4,0,AD$174+1)-INDEX($F$4:$N$4,0,AD$174))+AC176)))</f>
        <v>20.179776786936795</v>
      </c>
      <c r="AE176" s="3" cm="1">
        <f t="array" ref="AE176">IF(AE$174=-1,AF176,IF(AE$174=99,AD176,IF(AE$174=0,INDEX($F43:$N43,0,AE$172),(INDEX($F43:$N43,0,AE$174+1)-INDEX($F43:$N43,0,AE$174))/(INDEX($F$4:$N$4,0,AE$174+1)-INDEX($F$4:$N$4,0,AE$174))+AD176)))</f>
        <v>20.436296308107028</v>
      </c>
      <c r="AF176" s="3" cm="1">
        <f t="array" ref="AF176">IF(AF$174=-1,AG176,IF(AF$174=99,AE176,IF(AF$174=0,INDEX($F43:$N43,0,AF$172),(INDEX($F43:$N43,0,AF$174+1)-INDEX($F43:$N43,0,AF$174))/(INDEX($F$4:$N$4,0,AF$174+1)-INDEX($F$4:$N$4,0,AF$174))+AE176)))</f>
        <v>20.692815829277261</v>
      </c>
      <c r="AG176" s="3" cm="1">
        <f t="array" ref="AG176">IF(AG$174=-1,AJ176,IF(AG$174=99,AF176,IF(AG$174=0,INDEX($F43:$N43,0,AG$172),(INDEX($F43:$N43,0,AG$174+1)-INDEX($F43:$N43,0,AG$174))/(INDEX($F$4:$N$4,0,AG$174+1)-INDEX($F$4:$N$4,0,AG$174))+AF176)))</f>
        <v>20.949335350447488</v>
      </c>
      <c r="AH176" s="3" cm="1">
        <f t="array" ref="AH176">IF(AH$174=-1,AI176,IF(AH$174=99,AE176,IF(AH$174=0,INDEX($F43:$N43,0,AH$172),(INDEX($F43:$N43,0,AH$174+1)-INDEX($F43:$N43,0,AH$174))/(INDEX($F$4:$N$4,0,AH$174+1)-INDEX($F$4:$N$4,0,AH$174))+AE176)))</f>
        <v>20.692815829277261</v>
      </c>
      <c r="AI176" s="3" cm="1">
        <f t="array" ref="AI176">IF(AI$174=-1,AJ176,IF(AI$174=99,AF176,IF(AI$174=0,INDEX($F43:$N43,0,AI$172),(INDEX($F43:$N43,0,AI$174+1)-INDEX($F43:$N43,0,AI$174))/(INDEX($F$4:$N$4,0,AI$174+1)-INDEX($F$4:$N$4,0,AI$174))+AF176)))</f>
        <v>20.949335350447488</v>
      </c>
      <c r="AJ176" s="3" cm="1">
        <f t="array" ref="AJ176">IF(AJ$174=-1,AK176,IF(AJ$174=99,AG176,IF(AJ$174=0,INDEX($F43:$N43,0,AJ$172),(INDEX($F43:$N43,0,AJ$174+1)-INDEX($F43:$N43,0,AJ$174))/(INDEX($F$4:$N$4,0,AJ$174+1)-INDEX($F$4:$N$4,0,AJ$174))+AG176)))</f>
        <v>21.662714233072712</v>
      </c>
      <c r="AK176" s="3" cm="1">
        <f t="array" ref="AK176">IF(AK$174=-1,AL176,IF(AK$174=99,AJ176,IF(AK$174=0,INDEX($F43:$N43,0,AK$172),(INDEX($F43:$N43,0,AK$174+1)-INDEX($F43:$N43,0,AK$174))/(INDEX($F$4:$N$4,0,AK$174+1)-INDEX($F$4:$N$4,0,AK$174))+AJ176)))</f>
        <v>22.376093115697934</v>
      </c>
      <c r="AL176" s="3" cm="1">
        <f t="array" ref="AL176">IF(AL$174=-1,AM176,IF(AL$174=99,AK176,IF(AL$174=0,INDEX($F43:$N43,0,AL$172),(INDEX($F43:$N43,0,AL$174+1)-INDEX($F43:$N43,0,AL$174))/(INDEX($F$4:$N$4,0,AL$174+1)-INDEX($F$4:$N$4,0,AL$174))+AK176)))</f>
        <v>23.089471998323155</v>
      </c>
      <c r="AM176" s="3" cm="1">
        <f t="array" ref="AM176">IF(AM$174=-1,AN176,IF(AM$174=99,AL176,IF(AM$174=0,INDEX($F43:$N43,0,AM$172),(INDEX($F43:$N43,0,AM$174+1)-INDEX($F43:$N43,0,AM$174))/(INDEX($F$4:$N$4,0,AM$174+1)-INDEX($F$4:$N$4,0,AM$174))+AL176)))</f>
        <v>23.802850880948377</v>
      </c>
      <c r="AN176" s="3" cm="1">
        <f t="array" ref="AN176">IF(AN$174=-1,AO176,IF(AN$174=99,AM176,IF(AN$174=0,INDEX($F43:$N43,0,AN$172),(INDEX($F43:$N43,0,AN$174+1)-INDEX($F43:$N43,0,AN$174))/(INDEX($F$4:$N$4,0,AN$174+1)-INDEX($F$4:$N$4,0,AN$174))+AM176)))</f>
        <v>24.516229763573598</v>
      </c>
      <c r="AO176" s="3" cm="1">
        <f t="array" ref="AO176">IF(AO$174=-1,AP176,IF(AO$174=99,AN176,IF(AO$174=0,INDEX($F43:$N43,0,AO$172),(INDEX($F43:$N43,0,AO$174+1)-INDEX($F43:$N43,0,AO$174))/(INDEX($F$4:$N$4,0,AO$174+1)-INDEX($F$4:$N$4,0,AO$174))+AN176)))</f>
        <v>25.22960864619882</v>
      </c>
      <c r="AP176" s="3" cm="1">
        <f t="array" ref="AP176">IF(AP$174=-1,AQ176,IF(AP$174=99,AO176,IF(AP$174=0,INDEX($F43:$N43,0,AP$172),(INDEX($F43:$N43,0,AP$174+1)-INDEX($F43:$N43,0,AP$174))/(INDEX($F$4:$N$4,0,AP$174+1)-INDEX($F$4:$N$4,0,AP$174))+AO176)))</f>
        <v>25.942987528824041</v>
      </c>
      <c r="AQ176" s="3" cm="1">
        <f t="array" ref="AQ176">IF(AQ$174=-1,AR176,IF(AQ$174=99,AP176,IF(AQ$174=0,INDEX($F43:$N43,0,AQ$172),(INDEX($F43:$N43,0,AQ$174+1)-INDEX($F43:$N43,0,AQ$174))/(INDEX($F$4:$N$4,0,AQ$174+1)-INDEX($F$4:$N$4,0,AQ$174))+AP176)))</f>
        <v>26.656366411449262</v>
      </c>
      <c r="AR176" s="3" cm="1">
        <f t="array" ref="AR176">IF(AR$174=-1,AS176,IF(AR$174=99,AQ176,IF(AR$174=0,INDEX($F43:$N43,0,AR$172),(INDEX($F43:$N43,0,AR$174+1)-INDEX($F43:$N43,0,AR$174))/(INDEX($F$4:$N$4,0,AR$174+1)-INDEX($F$4:$N$4,0,AR$174))+AQ176)))</f>
        <v>27.369745294074484</v>
      </c>
      <c r="AS176" s="3" cm="1">
        <f t="array" ref="AS176">IF(AS$174=-1,AT176,IF(AS$174=99,AR176,IF(AS$174=0,INDEX($F43:$N43,0,AS$172),(INDEX($F43:$N43,0,AS$174+1)-INDEX($F43:$N43,0,AS$174))/(INDEX($F$4:$N$4,0,AS$174+1)-INDEX($F$4:$N$4,0,AS$174))+AR176)))</f>
        <v>28.083124176699719</v>
      </c>
      <c r="AT176" s="3" cm="1">
        <f t="array" ref="AT176">IF(AT$174=-1,AU176,IF(AT$174=99,AS176,IF(AT$174=0,INDEX($F43:$N43,0,AT$172),(INDEX($F43:$N43,0,AT$174+1)-INDEX($F43:$N43,0,AT$174))/(INDEX($F$4:$N$4,0,AT$174+1)-INDEX($F$4:$N$4,0,AT$174))+AS176)))</f>
        <v>29.028169168555081</v>
      </c>
      <c r="AU176" s="3" cm="1">
        <f t="array" ref="AU176">IF(AU$174=-1,AV176,IF(AU$174=99,AT176,IF(AU$174=0,INDEX($F43:$N43,0,AU$172),(INDEX($F43:$N43,0,AU$174+1)-INDEX($F43:$N43,0,AU$174))/(INDEX($F$4:$N$4,0,AU$174+1)-INDEX($F$4:$N$4,0,AU$174))+AT176)))</f>
        <v>37.533574095253329</v>
      </c>
      <c r="AV176" s="3" cm="1">
        <f t="array" ref="AV176">IF(AV$174=-1,AW176,IF(AV$174=99,AU176,IF(AV$174=0,INDEX($F43:$N43,0,AV$172),(INDEX($F43:$N43,0,AV$174+1)-INDEX($F43:$N43,0,AV$174))/(INDEX($F$4:$N$4,0,AV$174+1)-INDEX($F$4:$N$4,0,AV$174))+AU176)))</f>
        <v>46.687918963279856</v>
      </c>
      <c r="AW176" s="3" cm="1">
        <f t="array" ref="AW176">IF(AW$174=-1,AX176,IF(AW$174=99,AV176,IF(AW$174=0,INDEX($F43:$N43,0,AW$172),(INDEX($F43:$N43,0,AW$174+1)-INDEX($F43:$N43,0,AW$174))/(INDEX($F$4:$N$4,0,AW$174+1)-INDEX($F$4:$N$4,0,AW$174))+AV176)))</f>
        <v>50.155089588725303</v>
      </c>
    </row>
    <row r="177" spans="1:63">
      <c r="A177" t="s">
        <v>16</v>
      </c>
      <c r="B177" s="15" t="str">
        <f t="shared" si="359"/>
        <v/>
      </c>
      <c r="C177" s="16" t="str">
        <f t="shared" si="360"/>
        <v/>
      </c>
      <c r="D177" s="43"/>
      <c r="E177" s="16" t="str">
        <f t="shared" si="361"/>
        <v/>
      </c>
      <c r="F177" s="16" t="str">
        <f t="shared" si="361"/>
        <v/>
      </c>
      <c r="G177" s="16" t="str">
        <f t="shared" si="361"/>
        <v/>
      </c>
      <c r="H177" s="16"/>
      <c r="I177" s="16" t="str">
        <f t="shared" si="361"/>
        <v/>
      </c>
      <c r="J177" s="114" t="str">
        <f t="shared" si="366"/>
        <v>TFHCV1</v>
      </c>
      <c r="K177" s="3" t="e">
        <f>#REF!</f>
        <v>#REF!</v>
      </c>
      <c r="L177" s="3" t="e" cm="1">
        <f t="array" ref="L177">IF(L$174=-1,M177,IF(L$174=99,K177,IF(L$174=0,INDEX($F46:$N46,0,L$172),(INDEX($F46:$N46,0,L$174+1)-INDEX($F46:$N46,0,L$174))/(INDEX($F$4:$N$4,0,L$174+1)-INDEX($F$4:$N$4,0,L$174))+K177)))</f>
        <v>#REF!</v>
      </c>
      <c r="M177" s="3" t="e" cm="1">
        <f t="array" ref="M177">IF(M$174=-1,P177,IF(M$174=99,L177,IF(M$174=0,INDEX($F46:$N46,0,M$172),(INDEX($F46:$N46,0,M$174+1)-INDEX($F46:$N46,0,M$174))/(INDEX($F$4:$N$4,0,M$174+1)-INDEX($F$4:$N$4,0,M$174))+L177)))</f>
        <v>#REF!</v>
      </c>
      <c r="N177" s="3" t="e" cm="1">
        <f t="array" ref="N177">IF(N$174=-1,O177,IF(N$174=99,K177,IF(N$174=0,INDEX($F46:$N46,0,N$172),(INDEX($F46:$N46,0,N$174+1)-INDEX($F46:$N46,0,N$174))/(INDEX($F$4:$N$4,0,N$174+1)-INDEX($F$4:$N$4,0,N$174))+K177)))</f>
        <v>#REF!</v>
      </c>
      <c r="O177" s="3" t="e" cm="1">
        <f t="array" ref="O177">IF(O$174=-1,P177,IF(O$174=99,L177,IF(O$174=0,INDEX($F46:$N46,0,O$172),(INDEX($F46:$N46,0,O$174+1)-INDEX($F46:$N46,0,O$174))/(INDEX($F$4:$N$4,0,O$174+1)-INDEX($F$4:$N$4,0,O$174))+L177)))</f>
        <v>#REF!</v>
      </c>
      <c r="P177" s="3" t="e" cm="1">
        <f t="array" ref="P177">IF(P$174=-1,Q177,IF(P$174=99,M177,IF(P$174=0,INDEX($F46:$N46,0,P$172),(INDEX($F46:$N46,0,P$174+1)-INDEX($F46:$N46,0,P$174))/(INDEX($F$4:$N$4,0,P$174+1)-INDEX($F$4:$N$4,0,P$174))+M177)))</f>
        <v>#REF!</v>
      </c>
      <c r="Q177" s="3" t="e" cm="1">
        <f t="array" ref="Q177">IF(Q$174=-1,R177,IF(Q$174=99,P177,IF(Q$174=0,INDEX($F46:$N46,0,Q$172),(INDEX($F46:$N46,0,Q$174+1)-INDEX($F46:$N46,0,Q$174))/(INDEX($F$4:$N$4,0,Q$174+1)-INDEX($F$4:$N$4,0,Q$174))+P177)))</f>
        <v>#REF!</v>
      </c>
      <c r="R177" s="3" cm="1">
        <f t="array" ref="R177">IF(R$174=-1,S177,IF(R$174=99,Q177,IF(R$174=0,INDEX($F46:$N46,0,R$172),(INDEX($F46:$N46,0,R$174+1)-INDEX($F46:$N46,0,R$174))/(INDEX($F$4:$N$4,0,R$174+1)-INDEX($F$4:$N$4,0,R$174))+Q177)))</f>
        <v>5.4191590500230697</v>
      </c>
      <c r="S177" s="3" cm="1">
        <f t="array" ref="S177">IF(S$174=-1,T177,IF(S$174=99,R177,IF(S$174=0,INDEX($F46:$N46,0,S$172),(INDEX($F46:$N46,0,S$174+1)-INDEX($F46:$N46,0,S$174))/(INDEX($F$4:$N$4,0,S$174+1)-INDEX($F$4:$N$4,0,S$174))+R177)))</f>
        <v>5.8414423089944414</v>
      </c>
      <c r="T177" s="3" cm="1">
        <f t="array" ref="T177">IF(T$174=-1,U177,IF(T$174=99,S177,IF(T$174=0,INDEX($F46:$N46,0,T$172),(INDEX($F46:$N46,0,T$174+1)-INDEX($F46:$N46,0,T$174))/(INDEX($F$4:$N$4,0,T$174+1)-INDEX($F$4:$N$4,0,T$174))+S177)))</f>
        <v>6.263725567965813</v>
      </c>
      <c r="U177" s="3" cm="1">
        <f t="array" ref="U177">IF(U$174=-1,V177,IF(U$174=99,T177,IF(U$174=0,INDEX($F46:$N46,0,U$172),(INDEX($F46:$N46,0,U$174+1)-INDEX($F46:$N46,0,U$174))/(INDEX($F$4:$N$4,0,U$174+1)-INDEX($F$4:$N$4,0,U$174))+T177)))</f>
        <v>6.0309388102583563</v>
      </c>
      <c r="V177" s="3" cm="1">
        <f t="array" ref="V177">IF(V$174=-1,W177,IF(V$174=99,U177,IF(V$174=0,INDEX($F46:$N46,0,V$172),(INDEX($F46:$N46,0,V$174+1)-INDEX($F46:$N46,0,V$174))/(INDEX($F$4:$N$4,0,V$174+1)-INDEX($F$4:$N$4,0,V$174))+U177)))</f>
        <v>6.0917853736148864</v>
      </c>
      <c r="W177" s="3" cm="1">
        <f t="array" ref="W177">IF(W$174=-1,Z177,IF(W$174=99,V177,IF(W$174=0,INDEX($F46:$N46,0,W$172),(INDEX($F46:$N46,0,W$174+1)-INDEX($F46:$N46,0,W$174))/(INDEX($F$4:$N$4,0,W$174+1)-INDEX($F$4:$N$4,0,W$174))+V177)))</f>
        <v>6.1756161980396165</v>
      </c>
      <c r="X177" s="3" cm="1">
        <f t="array" ref="X177">IF(X$174=-1,Y177,IF(X$174=99,U177,IF(X$174=0,INDEX($F46:$N46,0,X$172),(INDEX($F46:$N46,0,X$174+1)-INDEX($F46:$N46,0,X$174))/(INDEX($F$4:$N$4,0,X$174+1)-INDEX($F$4:$N$4,0,X$174))+U177)))</f>
        <v>6.0917853736148864</v>
      </c>
      <c r="Y177" s="3" cm="1">
        <f t="array" ref="Y177">IF(Y$174=-1,Z177,IF(Y$174=99,V177,IF(Y$174=0,INDEX($F46:$N46,0,Y$172),(INDEX($F46:$N46,0,Y$174+1)-INDEX($F46:$N46,0,Y$174))/(INDEX($F$4:$N$4,0,Y$174+1)-INDEX($F$4:$N$4,0,Y$174))+V177)))</f>
        <v>6.1756161980396165</v>
      </c>
      <c r="Z177" s="3" cm="1">
        <f t="array" ref="Z177">IF(Z$174=-1,AA177,IF(Z$174=99,W177,IF(Z$174=0,INDEX($F46:$N46,0,Z$172),(INDEX($F46:$N46,0,Z$174+1)-INDEX($F46:$N46,0,Z$174))/(INDEX($F$4:$N$4,0,Z$174+1)-INDEX($F$4:$N$4,0,Z$174))+W177)))</f>
        <v>6.2594470224643466</v>
      </c>
      <c r="AA177" s="3" cm="1">
        <f t="array" ref="AA177">IF(AA$174=-1,AB177,IF(AA$174=99,Z177,IF(AA$174=0,INDEX($F46:$N46,0,AA$172),(INDEX($F46:$N46,0,AA$174+1)-INDEX($F46:$N46,0,AA$174))/(INDEX($F$4:$N$4,0,AA$174+1)-INDEX($F$4:$N$4,0,AA$174))+Z177)))</f>
        <v>6.3432778468890767</v>
      </c>
      <c r="AB177" s="3" cm="1">
        <f t="array" ref="AB177">IF(AB$174=-1,AC177,IF(AB$174=99,AA177,IF(AB$174=0,INDEX($F46:$N46,0,AB$172),(INDEX($F46:$N46,0,AB$174+1)-INDEX($F46:$N46,0,AB$174))/(INDEX($F$4:$N$4,0,AB$174+1)-INDEX($F$4:$N$4,0,AB$174))+AA177)))</f>
        <v>6.4271086713138068</v>
      </c>
      <c r="AC177" s="3" cm="1">
        <f t="array" ref="AC177">IF(AC$174=-1,AD177,IF(AC$174=99,AB177,IF(AC$174=0,INDEX($F46:$N46,0,AC$172),(INDEX($F46:$N46,0,AC$174+1)-INDEX($F46:$N46,0,AC$174))/(INDEX($F$4:$N$4,0,AC$174+1)-INDEX($F$4:$N$4,0,AC$174))+AB177)))</f>
        <v>6.5109394957385369</v>
      </c>
      <c r="AD177" s="3" cm="1">
        <f t="array" ref="AD177">IF(AD$174=-1,AE177,IF(AD$174=99,AC177,IF(AD$174=0,INDEX($F46:$N46,0,AD$172),(INDEX($F46:$N46,0,AD$174+1)-INDEX($F46:$N46,0,AD$174))/(INDEX($F$4:$N$4,0,AD$174+1)-INDEX($F$4:$N$4,0,AD$174))+AC177)))</f>
        <v>6.594770320163267</v>
      </c>
      <c r="AE177" s="3" cm="1">
        <f t="array" ref="AE177">IF(AE$174=-1,AF177,IF(AE$174=99,AD177,IF(AE$174=0,INDEX($F46:$N46,0,AE$172),(INDEX($F46:$N46,0,AE$174+1)-INDEX($F46:$N46,0,AE$174))/(INDEX($F$4:$N$4,0,AE$174+1)-INDEX($F$4:$N$4,0,AE$174))+AD177)))</f>
        <v>6.6786011445879971</v>
      </c>
      <c r="AF177" s="3" cm="1">
        <f t="array" ref="AF177">IF(AF$174=-1,AG177,IF(AF$174=99,AE177,IF(AF$174=0,INDEX($F46:$N46,0,AF$172),(INDEX($F46:$N46,0,AF$174+1)-INDEX($F46:$N46,0,AF$174))/(INDEX($F$4:$N$4,0,AF$174+1)-INDEX($F$4:$N$4,0,AF$174))+AE177)))</f>
        <v>6.7624319690127273</v>
      </c>
      <c r="AG177" s="3" cm="1">
        <f t="array" ref="AG177">IF(AG$174=-1,AJ177,IF(AG$174=99,AF177,IF(AG$174=0,INDEX($F46:$N46,0,AG$172),(INDEX($F46:$N46,0,AG$174+1)-INDEX($F46:$N46,0,AG$174))/(INDEX($F$4:$N$4,0,AG$174+1)-INDEX($F$4:$N$4,0,AG$174))+AF177)))</f>
        <v>6.8462627934374565</v>
      </c>
      <c r="AH177" s="3" cm="1">
        <f t="array" ref="AH177">IF(AH$174=-1,AI177,IF(AH$174=99,AE177,IF(AH$174=0,INDEX($F46:$N46,0,AH$172),(INDEX($F46:$N46,0,AH$174+1)-INDEX($F46:$N46,0,AH$174))/(INDEX($F$4:$N$4,0,AH$174+1)-INDEX($F$4:$N$4,0,AH$174))+AE177)))</f>
        <v>6.7624319690127273</v>
      </c>
      <c r="AI177" s="3" cm="1">
        <f t="array" ref="AI177">IF(AI$174=-1,AJ177,IF(AI$174=99,AF177,IF(AI$174=0,INDEX($F46:$N46,0,AI$172),(INDEX($F46:$N46,0,AI$174+1)-INDEX($F46:$N46,0,AI$174))/(INDEX($F$4:$N$4,0,AI$174+1)-INDEX($F$4:$N$4,0,AI$174))+AF177)))</f>
        <v>6.8462627934374565</v>
      </c>
      <c r="AJ177" s="3" cm="1">
        <f t="array" ref="AJ177">IF(AJ$174=-1,AK177,IF(AJ$174=99,AG177,IF(AJ$174=0,INDEX($F46:$N46,0,AJ$172),(INDEX($F46:$N46,0,AJ$174+1)-INDEX($F46:$N46,0,AJ$174))/(INDEX($F$4:$N$4,0,AJ$174+1)-INDEX($F$4:$N$4,0,AJ$174))+AG177)))</f>
        <v>6.989914173383319</v>
      </c>
      <c r="AK177" s="3" cm="1">
        <f t="array" ref="AK177">IF(AK$174=-1,AL177,IF(AK$174=99,AJ177,IF(AK$174=0,INDEX($F46:$N46,0,AK$172),(INDEX($F46:$N46,0,AK$174+1)-INDEX($F46:$N46,0,AK$174))/(INDEX($F$4:$N$4,0,AK$174+1)-INDEX($F$4:$N$4,0,AK$174))+AJ177)))</f>
        <v>7.1335655533291815</v>
      </c>
      <c r="AL177" s="3" cm="1">
        <f t="array" ref="AL177">IF(AL$174=-1,AM177,IF(AL$174=99,AK177,IF(AL$174=0,INDEX($F46:$N46,0,AL$172),(INDEX($F46:$N46,0,AL$174+1)-INDEX($F46:$N46,0,AL$174))/(INDEX($F$4:$N$4,0,AL$174+1)-INDEX($F$4:$N$4,0,AL$174))+AK177)))</f>
        <v>7.277216933275044</v>
      </c>
      <c r="AM177" s="3" cm="1">
        <f t="array" ref="AM177">IF(AM$174=-1,AN177,IF(AM$174=99,AL177,IF(AM$174=0,INDEX($F46:$N46,0,AM$172),(INDEX($F46:$N46,0,AM$174+1)-INDEX($F46:$N46,0,AM$174))/(INDEX($F$4:$N$4,0,AM$174+1)-INDEX($F$4:$N$4,0,AM$174))+AL177)))</f>
        <v>7.4208683132209066</v>
      </c>
      <c r="AN177" s="3" cm="1">
        <f t="array" ref="AN177">IF(AN$174=-1,AO177,IF(AN$174=99,AM177,IF(AN$174=0,INDEX($F46:$N46,0,AN$172),(INDEX($F46:$N46,0,AN$174+1)-INDEX($F46:$N46,0,AN$174))/(INDEX($F$4:$N$4,0,AN$174+1)-INDEX($F$4:$N$4,0,AN$174))+AM177)))</f>
        <v>7.5645196931667691</v>
      </c>
      <c r="AO177" s="3" cm="1">
        <f t="array" ref="AO177">IF(AO$174=-1,AP177,IF(AO$174=99,AN177,IF(AO$174=0,INDEX($F46:$N46,0,AO$172),(INDEX($F46:$N46,0,AO$174+1)-INDEX($F46:$N46,0,AO$174))/(INDEX($F$4:$N$4,0,AO$174+1)-INDEX($F$4:$N$4,0,AO$174))+AN177)))</f>
        <v>7.7081710731126316</v>
      </c>
      <c r="AP177" s="3" cm="1">
        <f t="array" ref="AP177">IF(AP$174=-1,AQ177,IF(AP$174=99,AO177,IF(AP$174=0,INDEX($F46:$N46,0,AP$172),(INDEX($F46:$N46,0,AP$174+1)-INDEX($F46:$N46,0,AP$174))/(INDEX($F$4:$N$4,0,AP$174+1)-INDEX($F$4:$N$4,0,AP$174))+AO177)))</f>
        <v>7.8518224530584941</v>
      </c>
      <c r="AQ177" s="3" cm="1">
        <f t="array" ref="AQ177">IF(AQ$174=-1,AR177,IF(AQ$174=99,AP177,IF(AQ$174=0,INDEX($F46:$N46,0,AQ$172),(INDEX($F46:$N46,0,AQ$174+1)-INDEX($F46:$N46,0,AQ$174))/(INDEX($F$4:$N$4,0,AQ$174+1)-INDEX($F$4:$N$4,0,AQ$174))+AP177)))</f>
        <v>7.9954738330043567</v>
      </c>
      <c r="AR177" s="3" cm="1">
        <f t="array" ref="AR177">IF(AR$174=-1,AS177,IF(AR$174=99,AQ177,IF(AR$174=0,INDEX($F46:$N46,0,AR$172),(INDEX($F46:$N46,0,AR$174+1)-INDEX($F46:$N46,0,AR$174))/(INDEX($F$4:$N$4,0,AR$174+1)-INDEX($F$4:$N$4,0,AR$174))+AQ177)))</f>
        <v>8.1391252129502192</v>
      </c>
      <c r="AS177" s="3" cm="1">
        <f t="array" ref="AS177">IF(AS$174=-1,AT177,IF(AS$174=99,AR177,IF(AS$174=0,INDEX($F46:$N46,0,AS$172),(INDEX($F46:$N46,0,AS$174+1)-INDEX($F46:$N46,0,AS$174))/(INDEX($F$4:$N$4,0,AS$174+1)-INDEX($F$4:$N$4,0,AS$174))+AR177)))</f>
        <v>8.2827765928960844</v>
      </c>
      <c r="AT177" s="3" cm="1">
        <f t="array" ref="AT177">IF(AT$174=-1,AU177,IF(AT$174=99,AS177,IF(AT$174=0,INDEX($F46:$N46,0,AT$172),(INDEX($F46:$N46,0,AT$174+1)-INDEX($F46:$N46,0,AT$174))/(INDEX($F$4:$N$4,0,AT$174+1)-INDEX($F$4:$N$4,0,AT$174))+AS177)))</f>
        <v>8.5061557815320334</v>
      </c>
      <c r="AU177" s="3" cm="1">
        <f t="array" ref="AU177">IF(AU$174=-1,AV177,IF(AU$174=99,AT177,IF(AU$174=0,INDEX($F46:$N46,0,AU$172),(INDEX($F46:$N46,0,AU$174+1)-INDEX($F46:$N46,0,AU$174))/(INDEX($F$4:$N$4,0,AU$174+1)-INDEX($F$4:$N$4,0,AU$174))+AT177)))</f>
        <v>10.51656847925557</v>
      </c>
      <c r="AV177" s="3" cm="1">
        <f t="array" ref="AV177">IF(AV$174=-1,AW177,IF(AV$174=99,AU177,IF(AV$174=0,INDEX($F46:$N46,0,AV$172),(INDEX($F46:$N46,0,AV$174+1)-INDEX($F46:$N46,0,AV$174))/(INDEX($F$4:$N$4,0,AV$174+1)-INDEX($F$4:$N$4,0,AV$174))+AU177)))</f>
        <v>12.4274565726394</v>
      </c>
      <c r="AW177" s="3" cm="1">
        <f t="array" ref="AW177">IF(AW$174=-1,AX177,IF(AW$174=99,AV177,IF(AW$174=0,INDEX($F46:$N46,0,AW$172),(INDEX($F46:$N46,0,AW$174+1)-INDEX($F46:$N46,0,AW$174))/(INDEX($F$4:$N$4,0,AW$174+1)-INDEX($F$4:$N$4,0,AW$174))+AV177)))</f>
        <v>12.682835324881403</v>
      </c>
      <c r="BF177" s="3"/>
      <c r="BG177" s="3"/>
      <c r="BH177" s="3"/>
      <c r="BI177" s="3"/>
      <c r="BJ177" s="3"/>
      <c r="BK177" s="3"/>
    </row>
    <row r="178" spans="1:63">
      <c r="A178" t="s">
        <v>16</v>
      </c>
      <c r="B178" s="15" t="str">
        <f t="shared" si="359"/>
        <v/>
      </c>
      <c r="C178" s="16" t="str">
        <f t="shared" si="360"/>
        <v/>
      </c>
      <c r="D178" s="43"/>
      <c r="E178" s="16" t="str">
        <f t="shared" si="361"/>
        <v/>
      </c>
      <c r="F178" s="16" t="str">
        <f t="shared" si="361"/>
        <v/>
      </c>
      <c r="G178" s="16" t="str">
        <f t="shared" si="361"/>
        <v/>
      </c>
      <c r="H178" s="16"/>
      <c r="I178" s="16" t="str">
        <f t="shared" si="361"/>
        <v/>
      </c>
      <c r="J178" s="114" t="str">
        <f t="shared" si="366"/>
        <v>TFHCV2</v>
      </c>
      <c r="K178" s="3" t="e">
        <f>#REF!</f>
        <v>#REF!</v>
      </c>
      <c r="L178" s="3" t="e" cm="1">
        <f t="array" ref="L178">IF(L$174=-1,M178,IF(L$174=99,K178,IF(L$174=0,INDEX($F51:$N51,0,L$172),(INDEX($F51:$N51,0,L$174+1)-INDEX($F51:$N51,0,L$174))/(INDEX($F$4:$N$4,0,L$174+1)-INDEX($F$4:$N$4,0,L$174))+K178)))</f>
        <v>#REF!</v>
      </c>
      <c r="M178" s="3" t="e" cm="1">
        <f t="array" ref="M178">IF(M$174=-1,P178,IF(M$174=99,L178,IF(M$174=0,INDEX($F51:$N51,0,M$172),(INDEX($F51:$N51,0,M$174+1)-INDEX($F51:$N51,0,M$174))/(INDEX($F$4:$N$4,0,M$174+1)-INDEX($F$4:$N$4,0,M$174))+L178)))</f>
        <v>#REF!</v>
      </c>
      <c r="N178" s="3" t="e" cm="1">
        <f t="array" ref="N178">IF(N$174=-1,O178,IF(N$174=99,K178,IF(N$174=0,INDEX($F51:$N51,0,N$172),(INDEX($F51:$N51,0,N$174+1)-INDEX($F51:$N51,0,N$174))/(INDEX($F$4:$N$4,0,N$174+1)-INDEX($F$4:$N$4,0,N$174))+K178)))</f>
        <v>#REF!</v>
      </c>
      <c r="O178" s="3" t="e" cm="1">
        <f t="array" ref="O178">IF(O$174=-1,P178,IF(O$174=99,L178,IF(O$174=0,INDEX($F51:$N51,0,O$172),(INDEX($F51:$N51,0,O$174+1)-INDEX($F51:$N51,0,O$174))/(INDEX($F$4:$N$4,0,O$174+1)-INDEX($F$4:$N$4,0,O$174))+L178)))</f>
        <v>#REF!</v>
      </c>
      <c r="P178" s="3" t="e" cm="1">
        <f t="array" ref="P178">IF(P$174=-1,Q178,IF(P$174=99,M178,IF(P$174=0,INDEX($F51:$N51,0,P$172),(INDEX($F51:$N51,0,P$174+1)-INDEX($F51:$N51,0,P$174))/(INDEX($F$4:$N$4,0,P$174+1)-INDEX($F$4:$N$4,0,P$174))+M178)))</f>
        <v>#REF!</v>
      </c>
      <c r="Q178" s="3" t="e" cm="1">
        <f t="array" ref="Q178">IF(Q$174=-1,R178,IF(Q$174=99,P178,IF(Q$174=0,INDEX($F51:$N51,0,Q$172),(INDEX($F51:$N51,0,Q$174+1)-INDEX($F51:$N51,0,Q$174))/(INDEX($F$4:$N$4,0,Q$174+1)-INDEX($F$4:$N$4,0,Q$174))+P178)))</f>
        <v>#REF!</v>
      </c>
      <c r="R178" s="3" cm="1">
        <f t="array" ref="R178">IF(R$174=-1,S178,IF(R$174=99,Q178,IF(R$174=0,INDEX($F51:$N51,0,R$172),(INDEX($F51:$N51,0,R$174+1)-INDEX($F51:$N51,0,R$174))/(INDEX($F$4:$N$4,0,R$174+1)-INDEX($F$4:$N$4,0,R$174))+Q178)))</f>
        <v>2.508551055458172</v>
      </c>
      <c r="S178" s="3" cm="1">
        <f t="array" ref="S178">IF(S$174=-1,T178,IF(S$174=99,R178,IF(S$174=0,INDEX($F51:$N51,0,S$172),(INDEX($F51:$N51,0,S$174+1)-INDEX($F51:$N51,0,S$174))/(INDEX($F$4:$N$4,0,S$174+1)-INDEX($F$4:$N$4,0,S$174))+R178)))</f>
        <v>2.5241636805011205</v>
      </c>
      <c r="T178" s="3" cm="1">
        <f t="array" ref="T178">IF(T$174=-1,U178,IF(T$174=99,S178,IF(T$174=0,INDEX($F51:$N51,0,T$172),(INDEX($F51:$N51,0,T$174+1)-INDEX($F51:$N51,0,T$174))/(INDEX($F$4:$N$4,0,T$174+1)-INDEX($F$4:$N$4,0,T$174))+S178)))</f>
        <v>2.539776305544069</v>
      </c>
      <c r="U178" s="3" cm="1">
        <f t="array" ref="U178">IF(U$174=-1,V178,IF(U$174=99,T178,IF(U$174=0,INDEX($F51:$N51,0,U$172),(INDEX($F51:$N51,0,U$174+1)-INDEX($F51:$N51,0,U$174))/(INDEX($F$4:$N$4,0,U$174+1)-INDEX($F$4:$N$4,0,U$174))+T178)))</f>
        <v>2.4453873855547426</v>
      </c>
      <c r="V178" s="3" cm="1">
        <f t="array" ref="V178">IF(V$174=-1,W178,IF(V$174=99,U178,IF(V$174=0,INDEX($F51:$N51,0,V$172),(INDEX($F51:$N51,0,V$174+1)-INDEX($F51:$N51,0,V$174))/(INDEX($F$4:$N$4,0,V$174+1)-INDEX($F$4:$N$4,0,V$174))+U178)))</f>
        <v>2.4700590698758176</v>
      </c>
      <c r="W178" s="3" cm="1">
        <f t="array" ref="W178">IF(W$174=-1,Z178,IF(W$174=99,V178,IF(W$174=0,INDEX($F51:$N51,0,W$172),(INDEX($F51:$N51,0,W$174+1)-INDEX($F51:$N51,0,W$174))/(INDEX($F$4:$N$4,0,W$174+1)-INDEX($F$4:$N$4,0,W$174))+V178)))</f>
        <v>2.4886281584293344</v>
      </c>
      <c r="X178" s="3" cm="1">
        <f t="array" ref="X178">IF(X$174=-1,Y178,IF(X$174=99,U178,IF(X$174=0,INDEX($F51:$N51,0,X$172),(INDEX($F51:$N51,0,X$174+1)-INDEX($F51:$N51,0,X$174))/(INDEX($F$4:$N$4,0,X$174+1)-INDEX($F$4:$N$4,0,X$174))+U178)))</f>
        <v>2.4700590698758176</v>
      </c>
      <c r="Y178" s="3" cm="1">
        <f t="array" ref="Y178">IF(Y$174=-1,Z178,IF(Y$174=99,V178,IF(Y$174=0,INDEX($F51:$N51,0,Y$172),(INDEX($F51:$N51,0,Y$174+1)-INDEX($F51:$N51,0,Y$174))/(INDEX($F$4:$N$4,0,Y$174+1)-INDEX($F$4:$N$4,0,Y$174))+V178)))</f>
        <v>2.4886281584293344</v>
      </c>
      <c r="Z178" s="3" cm="1">
        <f t="array" ref="Z178">IF(Z$174=-1,AA178,IF(Z$174=99,W178,IF(Z$174=0,INDEX($F51:$N51,0,Z$172),(INDEX($F51:$N51,0,Z$174+1)-INDEX($F51:$N51,0,Z$174))/(INDEX($F$4:$N$4,0,Z$174+1)-INDEX($F$4:$N$4,0,Z$174))+W178)))</f>
        <v>2.5071972469828512</v>
      </c>
      <c r="AA178" s="3" cm="1">
        <f t="array" ref="AA178">IF(AA$174=-1,AB178,IF(AA$174=99,Z178,IF(AA$174=0,INDEX($F51:$N51,0,AA$172),(INDEX($F51:$N51,0,AA$174+1)-INDEX($F51:$N51,0,AA$174))/(INDEX($F$4:$N$4,0,AA$174+1)-INDEX($F$4:$N$4,0,AA$174))+Z178)))</f>
        <v>2.525766335536368</v>
      </c>
      <c r="AB178" s="3" cm="1">
        <f t="array" ref="AB178">IF(AB$174=-1,AC178,IF(AB$174=99,AA178,IF(AB$174=0,INDEX($F51:$N51,0,AB$172),(INDEX($F51:$N51,0,AB$174+1)-INDEX($F51:$N51,0,AB$174))/(INDEX($F$4:$N$4,0,AB$174+1)-INDEX($F$4:$N$4,0,AB$174))+AA178)))</f>
        <v>2.5443354240898848</v>
      </c>
      <c r="AC178" s="3" cm="1">
        <f t="array" ref="AC178">IF(AC$174=-1,AD178,IF(AC$174=99,AB178,IF(AC$174=0,INDEX($F51:$N51,0,AC$172),(INDEX($F51:$N51,0,AC$174+1)-INDEX($F51:$N51,0,AC$174))/(INDEX($F$4:$N$4,0,AC$174+1)-INDEX($F$4:$N$4,0,AC$174))+AB178)))</f>
        <v>2.5629045126434016</v>
      </c>
      <c r="AD178" s="3" cm="1">
        <f t="array" ref="AD178">IF(AD$174=-1,AE178,IF(AD$174=99,AC178,IF(AD$174=0,INDEX($F51:$N51,0,AD$172),(INDEX($F51:$N51,0,AD$174+1)-INDEX($F51:$N51,0,AD$174))/(INDEX($F$4:$N$4,0,AD$174+1)-INDEX($F$4:$N$4,0,AD$174))+AC178)))</f>
        <v>2.5814736011969184</v>
      </c>
      <c r="AE178" s="3" cm="1">
        <f t="array" ref="AE178">IF(AE$174=-1,AF178,IF(AE$174=99,AD178,IF(AE$174=0,INDEX($F51:$N51,0,AE$172),(INDEX($F51:$N51,0,AE$174+1)-INDEX($F51:$N51,0,AE$174))/(INDEX($F$4:$N$4,0,AE$174+1)-INDEX($F$4:$N$4,0,AE$174))+AD178)))</f>
        <v>2.6000426897504352</v>
      </c>
      <c r="AF178" s="3" cm="1">
        <f t="array" ref="AF178">IF(AF$174=-1,AG178,IF(AF$174=99,AE178,IF(AF$174=0,INDEX($F51:$N51,0,AF$172),(INDEX($F51:$N51,0,AF$174+1)-INDEX($F51:$N51,0,AF$174))/(INDEX($F$4:$N$4,0,AF$174+1)-INDEX($F$4:$N$4,0,AF$174))+AE178)))</f>
        <v>2.618611778303952</v>
      </c>
      <c r="AG178" s="3" cm="1">
        <f t="array" ref="AG178">IF(AG$174=-1,AJ178,IF(AG$174=99,AF178,IF(AG$174=0,INDEX($F51:$N51,0,AG$172),(INDEX($F51:$N51,0,AG$174+1)-INDEX($F51:$N51,0,AG$174))/(INDEX($F$4:$N$4,0,AG$174+1)-INDEX($F$4:$N$4,0,AG$174))+AF178)))</f>
        <v>2.6371808668574701</v>
      </c>
      <c r="AH178" s="3" cm="1">
        <f t="array" ref="AH178">IF(AH$174=-1,AI178,IF(AH$174=99,AE178,IF(AH$174=0,INDEX($F51:$N51,0,AH$172),(INDEX($F51:$N51,0,AH$174+1)-INDEX($F51:$N51,0,AH$174))/(INDEX($F$4:$N$4,0,AH$174+1)-INDEX($F$4:$N$4,0,AH$174))+AE178)))</f>
        <v>2.618611778303952</v>
      </c>
      <c r="AI178" s="3" cm="1">
        <f t="array" ref="AI178">IF(AI$174=-1,AJ178,IF(AI$174=99,AF178,IF(AI$174=0,INDEX($F51:$N51,0,AI$172),(INDEX($F51:$N51,0,AI$174+1)-INDEX($F51:$N51,0,AI$174))/(INDEX($F$4:$N$4,0,AI$174+1)-INDEX($F$4:$N$4,0,AI$174))+AF178)))</f>
        <v>2.6371808668574701</v>
      </c>
      <c r="AJ178" s="3" cm="1">
        <f t="array" ref="AJ178">IF(AJ$174=-1,AK178,IF(AJ$174=99,AG178,IF(AJ$174=0,INDEX($F51:$N51,0,AJ$172),(INDEX($F51:$N51,0,AJ$174+1)-INDEX($F51:$N51,0,AJ$174))/(INDEX($F$4:$N$4,0,AJ$174+1)-INDEX($F$4:$N$4,0,AJ$174))+AG178)))</f>
        <v>2.7093076301175394</v>
      </c>
      <c r="AK178" s="3" cm="1">
        <f t="array" ref="AK178">IF(AK$174=-1,AL178,IF(AK$174=99,AJ178,IF(AK$174=0,INDEX($F51:$N51,0,AK$172),(INDEX($F51:$N51,0,AK$174+1)-INDEX($F51:$N51,0,AK$174))/(INDEX($F$4:$N$4,0,AK$174+1)-INDEX($F$4:$N$4,0,AK$174))+AJ178)))</f>
        <v>2.7814343933776087</v>
      </c>
      <c r="AL178" s="3" cm="1">
        <f t="array" ref="AL178">IF(AL$174=-1,AM178,IF(AL$174=99,AK178,IF(AL$174=0,INDEX($F51:$N51,0,AL$172),(INDEX($F51:$N51,0,AL$174+1)-INDEX($F51:$N51,0,AL$174))/(INDEX($F$4:$N$4,0,AL$174+1)-INDEX($F$4:$N$4,0,AL$174))+AK178)))</f>
        <v>2.853561156637678</v>
      </c>
      <c r="AM178" s="3" cm="1">
        <f t="array" ref="AM178">IF(AM$174=-1,AN178,IF(AM$174=99,AL178,IF(AM$174=0,INDEX($F51:$N51,0,AM$172),(INDEX($F51:$N51,0,AM$174+1)-INDEX($F51:$N51,0,AM$174))/(INDEX($F$4:$N$4,0,AM$174+1)-INDEX($F$4:$N$4,0,AM$174))+AL178)))</f>
        <v>2.9256879198977472</v>
      </c>
      <c r="AN178" s="3" cm="1">
        <f t="array" ref="AN178">IF(AN$174=-1,AO178,IF(AN$174=99,AM178,IF(AN$174=0,INDEX($F51:$N51,0,AN$172),(INDEX($F51:$N51,0,AN$174+1)-INDEX($F51:$N51,0,AN$174))/(INDEX($F$4:$N$4,0,AN$174+1)-INDEX($F$4:$N$4,0,AN$174))+AM178)))</f>
        <v>2.9978146831578165</v>
      </c>
      <c r="AO178" s="3" cm="1">
        <f t="array" ref="AO178">IF(AO$174=-1,AP178,IF(AO$174=99,AN178,IF(AO$174=0,INDEX($F51:$N51,0,AO$172),(INDEX($F51:$N51,0,AO$174+1)-INDEX($F51:$N51,0,AO$174))/(INDEX($F$4:$N$4,0,AO$174+1)-INDEX($F$4:$N$4,0,AO$174))+AN178)))</f>
        <v>3.0699414464178858</v>
      </c>
      <c r="AP178" s="3" cm="1">
        <f t="array" ref="AP178">IF(AP$174=-1,AQ178,IF(AP$174=99,AO178,IF(AP$174=0,INDEX($F51:$N51,0,AP$172),(INDEX($F51:$N51,0,AP$174+1)-INDEX($F51:$N51,0,AP$174))/(INDEX($F$4:$N$4,0,AP$174+1)-INDEX($F$4:$N$4,0,AP$174))+AO178)))</f>
        <v>3.1420682096779551</v>
      </c>
      <c r="AQ178" s="3" cm="1">
        <f t="array" ref="AQ178">IF(AQ$174=-1,AR178,IF(AQ$174=99,AP178,IF(AQ$174=0,INDEX($F51:$N51,0,AQ$172),(INDEX($F51:$N51,0,AQ$174+1)-INDEX($F51:$N51,0,AQ$174))/(INDEX($F$4:$N$4,0,AQ$174+1)-INDEX($F$4:$N$4,0,AQ$174))+AP178)))</f>
        <v>3.2141949729380244</v>
      </c>
      <c r="AR178" s="3" cm="1">
        <f t="array" ref="AR178">IF(AR$174=-1,AS178,IF(AR$174=99,AQ178,IF(AR$174=0,INDEX($F51:$N51,0,AR$172),(INDEX($F51:$N51,0,AR$174+1)-INDEX($F51:$N51,0,AR$174))/(INDEX($F$4:$N$4,0,AR$174+1)-INDEX($F$4:$N$4,0,AR$174))+AQ178)))</f>
        <v>3.2863217361980936</v>
      </c>
      <c r="AS178" s="3" cm="1">
        <f t="array" ref="AS178">IF(AS$174=-1,AT178,IF(AS$174=99,AR178,IF(AS$174=0,INDEX($F51:$N51,0,AS$172),(INDEX($F51:$N51,0,AS$174+1)-INDEX($F51:$N51,0,AS$174))/(INDEX($F$4:$N$4,0,AS$174+1)-INDEX($F$4:$N$4,0,AS$174))+AR178)))</f>
        <v>3.3584484994581625</v>
      </c>
      <c r="AT178" s="3" cm="1">
        <f t="array" ref="AT178">IF(AT$174=-1,AU178,IF(AT$174=99,AS178,IF(AT$174=0,INDEX($F51:$N51,0,AT$172),(INDEX($F51:$N51,0,AT$174+1)-INDEX($F51:$N51,0,AT$174))/(INDEX($F$4:$N$4,0,AT$174+1)-INDEX($F$4:$N$4,0,AT$174))+AS178)))</f>
        <v>3.4490228971218659</v>
      </c>
      <c r="AU178" s="3" cm="1">
        <f t="array" ref="AU178">IF(AU$174=-1,AV178,IF(AU$174=99,AT178,IF(AU$174=0,INDEX($F51:$N51,0,AU$172),(INDEX($F51:$N51,0,AU$174+1)-INDEX($F51:$N51,0,AU$174))/(INDEX($F$4:$N$4,0,AU$174+1)-INDEX($F$4:$N$4,0,AU$174))+AT178)))</f>
        <v>4.2641924760951957</v>
      </c>
      <c r="AV178" s="3" cm="1">
        <f t="array" ref="AV178">IF(AV$174=-1,AW178,IF(AV$174=99,AU178,IF(AV$174=0,INDEX($F51:$N51,0,AV$172),(INDEX($F51:$N51,0,AV$174+1)-INDEX($F51:$N51,0,AV$174))/(INDEX($F$4:$N$4,0,AV$174+1)-INDEX($F$4:$N$4,0,AV$174))+AU178)))</f>
        <v>5.0390074403623251</v>
      </c>
      <c r="AW178" s="3" cm="1">
        <f t="array" ref="AW178">IF(AW$174=-1,AX178,IF(AW$174=99,AV178,IF(AW$174=0,INDEX($F51:$N51,0,AW$172),(INDEX($F51:$N51,0,AW$174+1)-INDEX($F51:$N51,0,AW$174))/(INDEX($F$4:$N$4,0,AW$174+1)-INDEX($F$4:$N$4,0,AW$174))+AV178)))</f>
        <v>5.1425568211335344</v>
      </c>
      <c r="BF178" s="3"/>
      <c r="BG178" s="3"/>
      <c r="BH178" s="3"/>
      <c r="BI178" s="3"/>
      <c r="BJ178" s="3"/>
      <c r="BK178" s="3"/>
    </row>
    <row r="179" spans="1:63">
      <c r="A179" t="s">
        <v>16</v>
      </c>
      <c r="B179" s="15" t="str">
        <f t="shared" si="359"/>
        <v/>
      </c>
      <c r="C179" s="16" t="str">
        <f t="shared" si="360"/>
        <v/>
      </c>
      <c r="D179" s="43"/>
      <c r="E179" s="16" t="str">
        <f t="shared" si="361"/>
        <v/>
      </c>
      <c r="F179" s="16" t="str">
        <f t="shared" si="361"/>
        <v/>
      </c>
      <c r="G179" s="16" t="str">
        <f t="shared" si="361"/>
        <v/>
      </c>
      <c r="H179" s="16"/>
      <c r="I179" s="16" t="str">
        <f t="shared" si="361"/>
        <v/>
      </c>
      <c r="J179" s="114" t="str">
        <f t="shared" si="366"/>
        <v>TFHCV3</v>
      </c>
      <c r="K179" s="3" t="e">
        <f>#REF!</f>
        <v>#REF!</v>
      </c>
      <c r="L179" s="3" t="e" cm="1">
        <f t="array" ref="L179">IF(L$174=-1,M179,IF(L$174=99,K179,IF(L$174=0,INDEX($F52:$N52,0,L$172),(INDEX($F52:$N52,0,L$174+1)-INDEX($F52:$N52,0,L$174))/(INDEX($F$4:$N$4,0,L$174+1)-INDEX($F$4:$N$4,0,L$174))+K179)))</f>
        <v>#REF!</v>
      </c>
      <c r="M179" s="3" t="e" cm="1">
        <f t="array" ref="M179">IF(M$174=-1,P179,IF(M$174=99,L179,IF(M$174=0,INDEX($F52:$N52,0,M$172),(INDEX($F52:$N52,0,M$174+1)-INDEX($F52:$N52,0,M$174))/(INDEX($F$4:$N$4,0,M$174+1)-INDEX($F$4:$N$4,0,M$174))+L179)))</f>
        <v>#REF!</v>
      </c>
      <c r="N179" s="3" t="e" cm="1">
        <f t="array" ref="N179">IF(N$174=-1,O179,IF(N$174=99,K179,IF(N$174=0,INDEX($F52:$N52,0,N$172),(INDEX($F52:$N52,0,N$174+1)-INDEX($F52:$N52,0,N$174))/(INDEX($F$4:$N$4,0,N$174+1)-INDEX($F$4:$N$4,0,N$174))+K179)))</f>
        <v>#REF!</v>
      </c>
      <c r="O179" s="3" t="e" cm="1">
        <f t="array" ref="O179">IF(O$174=-1,P179,IF(O$174=99,L179,IF(O$174=0,INDEX($F52:$N52,0,O$172),(INDEX($F52:$N52,0,O$174+1)-INDEX($F52:$N52,0,O$174))/(INDEX($F$4:$N$4,0,O$174+1)-INDEX($F$4:$N$4,0,O$174))+L179)))</f>
        <v>#REF!</v>
      </c>
      <c r="P179" s="3" t="e" cm="1">
        <f t="array" ref="P179">IF(P$174=-1,Q179,IF(P$174=99,M179,IF(P$174=0,INDEX($F52:$N52,0,P$172),(INDEX($F52:$N52,0,P$174+1)-INDEX($F52:$N52,0,P$174))/(INDEX($F$4:$N$4,0,P$174+1)-INDEX($F$4:$N$4,0,P$174))+M179)))</f>
        <v>#REF!</v>
      </c>
      <c r="Q179" s="3" t="e" cm="1">
        <f t="array" ref="Q179">IF(Q$174=-1,R179,IF(Q$174=99,P179,IF(Q$174=0,INDEX($F52:$N52,0,Q$172),(INDEX($F52:$N52,0,Q$174+1)-INDEX($F52:$N52,0,Q$174))/(INDEX($F$4:$N$4,0,Q$174+1)-INDEX($F$4:$N$4,0,Q$174))+P179)))</f>
        <v>#REF!</v>
      </c>
      <c r="R179" s="3" cm="1">
        <f t="array" ref="R179">IF(R$174=-1,S179,IF(R$174=99,Q179,IF(R$174=0,INDEX($F52:$N52,0,R$172),(INDEX($F52:$N52,0,R$174+1)-INDEX($F52:$N52,0,R$174))/(INDEX($F$4:$N$4,0,R$174+1)-INDEX($F$4:$N$4,0,R$174))+Q179)))</f>
        <v>16.520182703280053</v>
      </c>
      <c r="S179" s="3" cm="1">
        <f t="array" ref="S179">IF(S$174=-1,T179,IF(S$174=99,R179,IF(S$174=0,INDEX($F52:$N52,0,S$172),(INDEX($F52:$N52,0,S$174+1)-INDEX($F52:$N52,0,S$174))/(INDEX($F$4:$N$4,0,S$174+1)-INDEX($F$4:$N$4,0,S$174))+R179)))</f>
        <v>16.623000390656244</v>
      </c>
      <c r="T179" s="3" cm="1">
        <f t="array" ref="T179">IF(T$174=-1,U179,IF(T$174=99,S179,IF(T$174=0,INDEX($F52:$N52,0,T$172),(INDEX($F52:$N52,0,T$174+1)-INDEX($F52:$N52,0,T$174))/(INDEX($F$4:$N$4,0,T$174+1)-INDEX($F$4:$N$4,0,T$174))+S179)))</f>
        <v>16.725818078032439</v>
      </c>
      <c r="U179" s="3" cm="1">
        <f t="array" ref="U179">IF(U$174=-1,V179,IF(U$174=99,T179,IF(U$174=0,INDEX($F52:$N52,0,U$172),(INDEX($F52:$N52,0,U$174+1)-INDEX($F52:$N52,0,U$174))/(INDEX($F$4:$N$4,0,U$174+1)-INDEX($F$4:$N$4,0,U$174))+T179)))</f>
        <v>16.104215340469594</v>
      </c>
      <c r="V179" s="3" cm="1">
        <f t="array" ref="V179">IF(V$174=-1,W179,IF(V$174=99,U179,IF(V$174=0,INDEX($F52:$N52,0,V$172),(INDEX($F52:$N52,0,V$174+1)-INDEX($F52:$N52,0,V$174))/(INDEX($F$4:$N$4,0,V$174+1)-INDEX($F$4:$N$4,0,V$174))+U179)))</f>
        <v>16.266691895090634</v>
      </c>
      <c r="W179" s="3" cm="1">
        <f t="array" ref="W179">IF(W$174=-1,Z179,IF(W$174=99,V179,IF(W$174=0,INDEX($F52:$N52,0,W$172),(INDEX($F52:$N52,0,W$174+1)-INDEX($F52:$N52,0,W$174))/(INDEX($F$4:$N$4,0,W$174+1)-INDEX($F$4:$N$4,0,W$174))+V179)))</f>
        <v>16.388979514021099</v>
      </c>
      <c r="X179" s="3" cm="1">
        <f t="array" ref="X179">IF(X$174=-1,Y179,IF(X$174=99,U179,IF(X$174=0,INDEX($F52:$N52,0,X$172),(INDEX($F52:$N52,0,X$174+1)-INDEX($F52:$N52,0,X$174))/(INDEX($F$4:$N$4,0,X$174+1)-INDEX($F$4:$N$4,0,X$174))+U179)))</f>
        <v>16.266691895090634</v>
      </c>
      <c r="Y179" s="3" cm="1">
        <f t="array" ref="Y179">IF(Y$174=-1,Z179,IF(Y$174=99,V179,IF(Y$174=0,INDEX($F52:$N52,0,Y$172),(INDEX($F52:$N52,0,Y$174+1)-INDEX($F52:$N52,0,Y$174))/(INDEX($F$4:$N$4,0,Y$174+1)-INDEX($F$4:$N$4,0,Y$174))+V179)))</f>
        <v>16.388979514021099</v>
      </c>
      <c r="Z179" s="3" cm="1">
        <f t="array" ref="Z179">IF(Z$174=-1,AA179,IF(Z$174=99,W179,IF(Z$174=0,INDEX($F52:$N52,0,Z$172),(INDEX($F52:$N52,0,Z$174+1)-INDEX($F52:$N52,0,Z$174))/(INDEX($F$4:$N$4,0,Z$174+1)-INDEX($F$4:$N$4,0,Z$174))+W179)))</f>
        <v>16.511267132951563</v>
      </c>
      <c r="AA179" s="3" cm="1">
        <f t="array" ref="AA179">IF(AA$174=-1,AB179,IF(AA$174=99,Z179,IF(AA$174=0,INDEX($F52:$N52,0,AA$172),(INDEX($F52:$N52,0,AA$174+1)-INDEX($F52:$N52,0,AA$174))/(INDEX($F$4:$N$4,0,AA$174+1)-INDEX($F$4:$N$4,0,AA$174))+Z179)))</f>
        <v>16.633554751882027</v>
      </c>
      <c r="AB179" s="3" cm="1">
        <f t="array" ref="AB179">IF(AB$174=-1,AC179,IF(AB$174=99,AA179,IF(AB$174=0,INDEX($F52:$N52,0,AB$172),(INDEX($F52:$N52,0,AB$174+1)-INDEX($F52:$N52,0,AB$174))/(INDEX($F$4:$N$4,0,AB$174+1)-INDEX($F$4:$N$4,0,AB$174))+AA179)))</f>
        <v>16.755842370812491</v>
      </c>
      <c r="AC179" s="3" cm="1">
        <f t="array" ref="AC179">IF(AC$174=-1,AD179,IF(AC$174=99,AB179,IF(AC$174=0,INDEX($F52:$N52,0,AC$172),(INDEX($F52:$N52,0,AC$174+1)-INDEX($F52:$N52,0,AC$174))/(INDEX($F$4:$N$4,0,AC$174+1)-INDEX($F$4:$N$4,0,AC$174))+AB179)))</f>
        <v>16.878129989742956</v>
      </c>
      <c r="AD179" s="3" cm="1">
        <f t="array" ref="AD179">IF(AD$174=-1,AE179,IF(AD$174=99,AC179,IF(AD$174=0,INDEX($F52:$N52,0,AD$172),(INDEX($F52:$N52,0,AD$174+1)-INDEX($F52:$N52,0,AD$174))/(INDEX($F$4:$N$4,0,AD$174+1)-INDEX($F$4:$N$4,0,AD$174))+AC179)))</f>
        <v>17.00041760867342</v>
      </c>
      <c r="AE179" s="3" cm="1">
        <f t="array" ref="AE179">IF(AE$174=-1,AF179,IF(AE$174=99,AD179,IF(AE$174=0,INDEX($F52:$N52,0,AE$172),(INDEX($F52:$N52,0,AE$174+1)-INDEX($F52:$N52,0,AE$174))/(INDEX($F$4:$N$4,0,AE$174+1)-INDEX($F$4:$N$4,0,AE$174))+AD179)))</f>
        <v>17.122705227603884</v>
      </c>
      <c r="AF179" s="3" cm="1">
        <f t="array" ref="AF179">IF(AF$174=-1,AG179,IF(AF$174=99,AE179,IF(AF$174=0,INDEX($F52:$N52,0,AF$172),(INDEX($F52:$N52,0,AF$174+1)-INDEX($F52:$N52,0,AF$174))/(INDEX($F$4:$N$4,0,AF$174+1)-INDEX($F$4:$N$4,0,AF$174))+AE179)))</f>
        <v>17.244992846534348</v>
      </c>
      <c r="AG179" s="3" cm="1">
        <f t="array" ref="AG179">IF(AG$174=-1,AJ179,IF(AG$174=99,AF179,IF(AG$174=0,INDEX($F52:$N52,0,AG$172),(INDEX($F52:$N52,0,AG$174+1)-INDEX($F52:$N52,0,AG$174))/(INDEX($F$4:$N$4,0,AG$174+1)-INDEX($F$4:$N$4,0,AG$174))+AF179)))</f>
        <v>17.367280465464823</v>
      </c>
      <c r="AH179" s="3" cm="1">
        <f t="array" ref="AH179">IF(AH$174=-1,AI179,IF(AH$174=99,AE179,IF(AH$174=0,INDEX($F52:$N52,0,AH$172),(INDEX($F52:$N52,0,AH$174+1)-INDEX($F52:$N52,0,AH$174))/(INDEX($F$4:$N$4,0,AH$174+1)-INDEX($F$4:$N$4,0,AH$174))+AE179)))</f>
        <v>17.244992846534348</v>
      </c>
      <c r="AI179" s="3" cm="1">
        <f t="array" ref="AI179">IF(AI$174=-1,AJ179,IF(AI$174=99,AF179,IF(AI$174=0,INDEX($F52:$N52,0,AI$172),(INDEX($F52:$N52,0,AI$174+1)-INDEX($F52:$N52,0,AI$174))/(INDEX($F$4:$N$4,0,AI$174+1)-INDEX($F$4:$N$4,0,AI$174))+AF179)))</f>
        <v>17.367280465464823</v>
      </c>
      <c r="AJ179" s="3" cm="1">
        <f t="array" ref="AJ179">IF(AJ$174=-1,AK179,IF(AJ$174=99,AG179,IF(AJ$174=0,INDEX($F52:$N52,0,AJ$172),(INDEX($F52:$N52,0,AJ$174+1)-INDEX($F52:$N52,0,AJ$174))/(INDEX($F$4:$N$4,0,AJ$174+1)-INDEX($F$4:$N$4,0,AJ$174))+AG179)))</f>
        <v>17.842274707363934</v>
      </c>
      <c r="AK179" s="3" cm="1">
        <f t="array" ref="AK179">IF(AK$174=-1,AL179,IF(AK$174=99,AJ179,IF(AK$174=0,INDEX($F52:$N52,0,AK$172),(INDEX($F52:$N52,0,AK$174+1)-INDEX($F52:$N52,0,AK$174))/(INDEX($F$4:$N$4,0,AK$174+1)-INDEX($F$4:$N$4,0,AK$174))+AJ179)))</f>
        <v>18.317268949263045</v>
      </c>
      <c r="AL179" s="3" cm="1">
        <f t="array" ref="AL179">IF(AL$174=-1,AM179,IF(AL$174=99,AK179,IF(AL$174=0,INDEX($F52:$N52,0,AL$172),(INDEX($F52:$N52,0,AL$174+1)-INDEX($F52:$N52,0,AL$174))/(INDEX($F$4:$N$4,0,AL$174+1)-INDEX($F$4:$N$4,0,AL$174))+AK179)))</f>
        <v>18.792263191162156</v>
      </c>
      <c r="AM179" s="3" cm="1">
        <f t="array" ref="AM179">IF(AM$174=-1,AN179,IF(AM$174=99,AL179,IF(AM$174=0,INDEX($F52:$N52,0,AM$172),(INDEX($F52:$N52,0,AM$174+1)-INDEX($F52:$N52,0,AM$174))/(INDEX($F$4:$N$4,0,AM$174+1)-INDEX($F$4:$N$4,0,AM$174))+AL179)))</f>
        <v>19.267257433061268</v>
      </c>
      <c r="AN179" s="3" cm="1">
        <f t="array" ref="AN179">IF(AN$174=-1,AO179,IF(AN$174=99,AM179,IF(AN$174=0,INDEX($F52:$N52,0,AN$172),(INDEX($F52:$N52,0,AN$174+1)-INDEX($F52:$N52,0,AN$174))/(INDEX($F$4:$N$4,0,AN$174+1)-INDEX($F$4:$N$4,0,AN$174))+AM179)))</f>
        <v>19.742251674960379</v>
      </c>
      <c r="AO179" s="3" cm="1">
        <f t="array" ref="AO179">IF(AO$174=-1,AP179,IF(AO$174=99,AN179,IF(AO$174=0,INDEX($F52:$N52,0,AO$172),(INDEX($F52:$N52,0,AO$174+1)-INDEX($F52:$N52,0,AO$174))/(INDEX($F$4:$N$4,0,AO$174+1)-INDEX($F$4:$N$4,0,AO$174))+AN179)))</f>
        <v>20.21724591685949</v>
      </c>
      <c r="AP179" s="3" cm="1">
        <f t="array" ref="AP179">IF(AP$174=-1,AQ179,IF(AP$174=99,AO179,IF(AP$174=0,INDEX($F52:$N52,0,AP$172),(INDEX($F52:$N52,0,AP$174+1)-INDEX($F52:$N52,0,AP$174))/(INDEX($F$4:$N$4,0,AP$174+1)-INDEX($F$4:$N$4,0,AP$174))+AO179)))</f>
        <v>20.692240158758601</v>
      </c>
      <c r="AQ179" s="3" cm="1">
        <f t="array" ref="AQ179">IF(AQ$174=-1,AR179,IF(AQ$174=99,AP179,IF(AQ$174=0,INDEX($F52:$N52,0,AQ$172),(INDEX($F52:$N52,0,AQ$174+1)-INDEX($F52:$N52,0,AQ$174))/(INDEX($F$4:$N$4,0,AQ$174+1)-INDEX($F$4:$N$4,0,AQ$174))+AP179)))</f>
        <v>21.167234400657712</v>
      </c>
      <c r="AR179" s="3" cm="1">
        <f t="array" ref="AR179">IF(AR$174=-1,AS179,IF(AR$174=99,AQ179,IF(AR$174=0,INDEX($F52:$N52,0,AR$172),(INDEX($F52:$N52,0,AR$174+1)-INDEX($F52:$N52,0,AR$174))/(INDEX($F$4:$N$4,0,AR$174+1)-INDEX($F$4:$N$4,0,AR$174))+AQ179)))</f>
        <v>21.642228642556823</v>
      </c>
      <c r="AS179" s="3" cm="1">
        <f t="array" ref="AS179">IF(AS$174=-1,AT179,IF(AS$174=99,AR179,IF(AS$174=0,INDEX($F52:$N52,0,AS$172),(INDEX($F52:$N52,0,AS$174+1)-INDEX($F52:$N52,0,AS$174))/(INDEX($F$4:$N$4,0,AS$174+1)-INDEX($F$4:$N$4,0,AS$174))+AR179)))</f>
        <v>22.117222884455941</v>
      </c>
      <c r="AT179" s="3" cm="1">
        <f t="array" ref="AT179">IF(AT$174=-1,AU179,IF(AT$174=99,AS179,IF(AT$174=0,INDEX($F52:$N52,0,AT$172),(INDEX($F52:$N52,0,AT$174+1)-INDEX($F52:$N52,0,AT$174))/(INDEX($F$4:$N$4,0,AT$174+1)-INDEX($F$4:$N$4,0,AT$174))+AS179)))</f>
        <v>22.71370490318473</v>
      </c>
      <c r="AU179" s="3" cm="1">
        <f t="array" ref="AU179">IF(AU$174=-1,AV179,IF(AU$174=99,AT179,IF(AU$174=0,INDEX($F52:$N52,0,AU$172),(INDEX($F52:$N52,0,AU$174+1)-INDEX($F52:$N52,0,AU$174))/(INDEX($F$4:$N$4,0,AU$174+1)-INDEX($F$4:$N$4,0,AU$174))+AT179)))</f>
        <v>28.082043071743819</v>
      </c>
      <c r="AV179" s="3" cm="1">
        <f t="array" ref="AV179">IF(AV$174=-1,AW179,IF(AV$174=99,AU179,IF(AV$174=0,INDEX($F52:$N52,0,AV$172),(INDEX($F52:$N52,0,AV$174+1)-INDEX($F52:$N52,0,AV$174))/(INDEX($F$4:$N$4,0,AV$174+1)-INDEX($F$4:$N$4,0,AV$174))+AU179)))</f>
        <v>33.184623999119253</v>
      </c>
      <c r="AW179" s="3" cm="1">
        <f t="array" ref="AW179">IF(AW$174=-1,AX179,IF(AW$174=99,AV179,IF(AW$174=0,INDEX($F52:$N52,0,AW$172),(INDEX($F52:$N52,0,AW$174+1)-INDEX($F52:$N52,0,AW$174))/(INDEX($F$4:$N$4,0,AW$174+1)-INDEX($F$4:$N$4,0,AW$174))+AV179)))</f>
        <v>33.866553388369596</v>
      </c>
      <c r="BF179" s="3"/>
      <c r="BG179" s="3"/>
      <c r="BH179" s="3"/>
      <c r="BI179" s="3"/>
      <c r="BJ179" s="3"/>
      <c r="BK179" s="3"/>
    </row>
    <row r="180" spans="1:63">
      <c r="A180" t="s">
        <v>16</v>
      </c>
      <c r="B180" s="15" t="str">
        <f t="shared" si="359"/>
        <v/>
      </c>
      <c r="C180" s="16" t="str">
        <f t="shared" si="360"/>
        <v/>
      </c>
      <c r="D180" s="43"/>
      <c r="E180" s="16" t="str">
        <f t="shared" si="361"/>
        <v/>
      </c>
      <c r="F180" s="16" t="str">
        <f t="shared" si="361"/>
        <v/>
      </c>
      <c r="G180" s="16" t="str">
        <f t="shared" si="361"/>
        <v/>
      </c>
      <c r="H180" s="16"/>
      <c r="I180" s="16" t="str">
        <f t="shared" si="361"/>
        <v/>
      </c>
      <c r="J180" s="114" t="str">
        <f t="shared" si="366"/>
        <v>TFHCV4</v>
      </c>
      <c r="K180" s="3" t="e">
        <f>#REF!</f>
        <v>#REF!</v>
      </c>
      <c r="L180" s="3" t="e" cm="1">
        <f t="array" ref="L180">IF(L$174=-1,M180,IF(L$174=99,K180,IF(L$174=0,INDEX($F53:$N53,0,L$172),(INDEX($F53:$N53,0,L$174+1)-INDEX($F53:$N53,0,L$174))/(INDEX($F$4:$N$4,0,L$174+1)-INDEX($F$4:$N$4,0,L$174))+K180)))</f>
        <v>#REF!</v>
      </c>
      <c r="M180" s="3" t="e" cm="1">
        <f t="array" ref="M180">IF(M$174=-1,P180,IF(M$174=99,L180,IF(M$174=0,INDEX($F53:$N53,0,M$172),(INDEX($F53:$N53,0,M$174+1)-INDEX($F53:$N53,0,M$174))/(INDEX($F$4:$N$4,0,M$174+1)-INDEX($F$4:$N$4,0,M$174))+L180)))</f>
        <v>#REF!</v>
      </c>
      <c r="N180" s="3" t="e" cm="1">
        <f t="array" ref="N180">IF(N$174=-1,O180,IF(N$174=99,K180,IF(N$174=0,INDEX($F53:$N53,0,N$172),(INDEX($F53:$N53,0,N$174+1)-INDEX($F53:$N53,0,N$174))/(INDEX($F$4:$N$4,0,N$174+1)-INDEX($F$4:$N$4,0,N$174))+K180)))</f>
        <v>#REF!</v>
      </c>
      <c r="O180" s="3" t="e" cm="1">
        <f t="array" ref="O180">IF(O$174=-1,P180,IF(O$174=99,L180,IF(O$174=0,INDEX($F53:$N53,0,O$172),(INDEX($F53:$N53,0,O$174+1)-INDEX($F53:$N53,0,O$174))/(INDEX($F$4:$N$4,0,O$174+1)-INDEX($F$4:$N$4,0,O$174))+L180)))</f>
        <v>#REF!</v>
      </c>
      <c r="P180" s="3" t="e" cm="1">
        <f t="array" ref="P180">IF(P$174=-1,Q180,IF(P$174=99,M180,IF(P$174=0,INDEX($F53:$N53,0,P$172),(INDEX($F53:$N53,0,P$174+1)-INDEX($F53:$N53,0,P$174))/(INDEX($F$4:$N$4,0,P$174+1)-INDEX($F$4:$N$4,0,P$174))+M180)))</f>
        <v>#REF!</v>
      </c>
      <c r="Q180" s="3" t="e" cm="1">
        <f t="array" ref="Q180">IF(Q$174=-1,R180,IF(Q$174=99,P180,IF(Q$174=0,INDEX($F53:$N53,0,Q$172),(INDEX($F53:$N53,0,Q$174+1)-INDEX($F53:$N53,0,Q$174))/(INDEX($F$4:$N$4,0,Q$174+1)-INDEX($F$4:$N$4,0,Q$174))+P180)))</f>
        <v>#REF!</v>
      </c>
      <c r="R180" s="3" cm="1">
        <f t="array" ref="R180">IF(R$174=-1,S180,IF(R$174=99,Q180,IF(R$174=0,INDEX($F53:$N53,0,R$172),(INDEX($F53:$N53,0,R$174+1)-INDEX($F53:$N53,0,R$174))/(INDEX($F$4:$N$4,0,R$174+1)-INDEX($F$4:$N$4,0,R$174))+Q180)))</f>
        <v>4.7389994637867545</v>
      </c>
      <c r="S180" s="3" cm="1">
        <f t="array" ref="S180">IF(S$174=-1,T180,IF(S$174=99,R180,IF(S$174=0,INDEX($F53:$N53,0,S$172),(INDEX($F53:$N53,0,S$174+1)-INDEX($F53:$N53,0,S$174))/(INDEX($F$4:$N$4,0,S$174+1)-INDEX($F$4:$N$4,0,S$174))+R180)))</f>
        <v>4.768493869151099</v>
      </c>
      <c r="T180" s="3" cm="1">
        <f t="array" ref="T180">IF(T$174=-1,U180,IF(T$174=99,S180,IF(T$174=0,INDEX($F53:$N53,0,T$172),(INDEX($F53:$N53,0,T$174+1)-INDEX($F53:$N53,0,T$174))/(INDEX($F$4:$N$4,0,T$174+1)-INDEX($F$4:$N$4,0,T$174))+S180)))</f>
        <v>4.7979882745154434</v>
      </c>
      <c r="U180" s="3" cm="1">
        <f t="array" ref="U180">IF(U$174=-1,V180,IF(U$174=99,T180,IF(U$174=0,INDEX($F53:$N53,0,U$172),(INDEX($F53:$N53,0,U$174+1)-INDEX($F53:$N53,0,U$174))/(INDEX($F$4:$N$4,0,U$174+1)-INDEX($F$4:$N$4,0,U$174))+T180)))</f>
        <v>4.6196745661922405</v>
      </c>
      <c r="V180" s="3" cm="1">
        <f t="array" ref="V180">IF(V$174=-1,W180,IF(V$174=99,U180,IF(V$174=0,INDEX($F53:$N53,0,V$172),(INDEX($F53:$N53,0,V$174+1)-INDEX($F53:$N53,0,V$174))/(INDEX($F$4:$N$4,0,V$174+1)-INDEX($F$4:$N$4,0,V$174))+U180)))</f>
        <v>4.6662827859109095</v>
      </c>
      <c r="W180" s="3" cm="1">
        <f t="array" ref="W180">IF(W$174=-1,Z180,IF(W$174=99,V180,IF(W$174=0,INDEX($F53:$N53,0,W$172),(INDEX($F53:$N53,0,W$174+1)-INDEX($F53:$N53,0,W$174))/(INDEX($F$4:$N$4,0,W$174+1)-INDEX($F$4:$N$4,0,W$174))+V180)))</f>
        <v>4.7013623592393676</v>
      </c>
      <c r="X180" s="3" cm="1">
        <f t="array" ref="X180">IF(X$174=-1,Y180,IF(X$174=99,U180,IF(X$174=0,INDEX($F53:$N53,0,X$172),(INDEX($F53:$N53,0,X$174+1)-INDEX($F53:$N53,0,X$174))/(INDEX($F$4:$N$4,0,X$174+1)-INDEX($F$4:$N$4,0,X$174))+U180)))</f>
        <v>4.6662827859109095</v>
      </c>
      <c r="Y180" s="3" cm="1">
        <f t="array" ref="Y180">IF(Y$174=-1,Z180,IF(Y$174=99,V180,IF(Y$174=0,INDEX($F53:$N53,0,Y$172),(INDEX($F53:$N53,0,Y$174+1)-INDEX($F53:$N53,0,Y$174))/(INDEX($F$4:$N$4,0,Y$174+1)-INDEX($F$4:$N$4,0,Y$174))+V180)))</f>
        <v>4.7013623592393676</v>
      </c>
      <c r="Z180" s="3" cm="1">
        <f t="array" ref="Z180">IF(Z$174=-1,AA180,IF(Z$174=99,W180,IF(Z$174=0,INDEX($F53:$N53,0,Z$172),(INDEX($F53:$N53,0,Z$174+1)-INDEX($F53:$N53,0,Z$174))/(INDEX($F$4:$N$4,0,Z$174+1)-INDEX($F$4:$N$4,0,Z$174))+W180)))</f>
        <v>4.7364419325678258</v>
      </c>
      <c r="AA180" s="3" cm="1">
        <f t="array" ref="AA180">IF(AA$174=-1,AB180,IF(AA$174=99,Z180,IF(AA$174=0,INDEX($F53:$N53,0,AA$172),(INDEX($F53:$N53,0,AA$174+1)-INDEX($F53:$N53,0,AA$174))/(INDEX($F$4:$N$4,0,AA$174+1)-INDEX($F$4:$N$4,0,AA$174))+Z180)))</f>
        <v>4.7715215058962839</v>
      </c>
      <c r="AB180" s="3" cm="1">
        <f t="array" ref="AB180">IF(AB$174=-1,AC180,IF(AB$174=99,AA180,IF(AB$174=0,INDEX($F53:$N53,0,AB$172),(INDEX($F53:$N53,0,AB$174+1)-INDEX($F53:$N53,0,AB$174))/(INDEX($F$4:$N$4,0,AB$174+1)-INDEX($F$4:$N$4,0,AB$174))+AA180)))</f>
        <v>4.806601079224742</v>
      </c>
      <c r="AC180" s="3" cm="1">
        <f t="array" ref="AC180">IF(AC$174=-1,AD180,IF(AC$174=99,AB180,IF(AC$174=0,INDEX($F53:$N53,0,AC$172),(INDEX($F53:$N53,0,AC$174+1)-INDEX($F53:$N53,0,AC$174))/(INDEX($F$4:$N$4,0,AC$174+1)-INDEX($F$4:$N$4,0,AC$174))+AB180)))</f>
        <v>4.8416806525532001</v>
      </c>
      <c r="AD180" s="3" cm="1">
        <f t="array" ref="AD180">IF(AD$174=-1,AE180,IF(AD$174=99,AC180,IF(AD$174=0,INDEX($F53:$N53,0,AD$172),(INDEX($F53:$N53,0,AD$174+1)-INDEX($F53:$N53,0,AD$174))/(INDEX($F$4:$N$4,0,AD$174+1)-INDEX($F$4:$N$4,0,AD$174))+AC180)))</f>
        <v>4.8767602258816583</v>
      </c>
      <c r="AE180" s="3" cm="1">
        <f t="array" ref="AE180">IF(AE$174=-1,AF180,IF(AE$174=99,AD180,IF(AE$174=0,INDEX($F53:$N53,0,AE$172),(INDEX($F53:$N53,0,AE$174+1)-INDEX($F53:$N53,0,AE$174))/(INDEX($F$4:$N$4,0,AE$174+1)-INDEX($F$4:$N$4,0,AE$174))+AD180)))</f>
        <v>4.9118397992101164</v>
      </c>
      <c r="AF180" s="3" cm="1">
        <f t="array" ref="AF180">IF(AF$174=-1,AG180,IF(AF$174=99,AE180,IF(AF$174=0,INDEX($F53:$N53,0,AF$172),(INDEX($F53:$N53,0,AF$174+1)-INDEX($F53:$N53,0,AF$174))/(INDEX($F$4:$N$4,0,AF$174+1)-INDEX($F$4:$N$4,0,AF$174))+AE180)))</f>
        <v>4.9469193725385745</v>
      </c>
      <c r="AG180" s="3" cm="1">
        <f t="array" ref="AG180">IF(AG$174=-1,AJ180,IF(AG$174=99,AF180,IF(AG$174=0,INDEX($F53:$N53,0,AG$172),(INDEX($F53:$N53,0,AG$174+1)-INDEX($F53:$N53,0,AG$174))/(INDEX($F$4:$N$4,0,AG$174+1)-INDEX($F$4:$N$4,0,AG$174))+AF180)))</f>
        <v>4.9819989458670308</v>
      </c>
      <c r="AH180" s="3" cm="1">
        <f t="array" ref="AH180">IF(AH$174=-1,AI180,IF(AH$174=99,AE180,IF(AH$174=0,INDEX($F53:$N53,0,AH$172),(INDEX($F53:$N53,0,AH$174+1)-INDEX($F53:$N53,0,AH$174))/(INDEX($F$4:$N$4,0,AH$174+1)-INDEX($F$4:$N$4,0,AH$174))+AE180)))</f>
        <v>4.9469193725385745</v>
      </c>
      <c r="AI180" s="3" cm="1">
        <f t="array" ref="AI180">IF(AI$174=-1,AJ180,IF(AI$174=99,AF180,IF(AI$174=0,INDEX($F53:$N53,0,AI$172),(INDEX($F53:$N53,0,AI$174+1)-INDEX($F53:$N53,0,AI$174))/(INDEX($F$4:$N$4,0,AI$174+1)-INDEX($F$4:$N$4,0,AI$174))+AF180)))</f>
        <v>4.9819989458670308</v>
      </c>
      <c r="AJ180" s="3" cm="1">
        <f t="array" ref="AJ180">IF(AJ$174=-1,AK180,IF(AJ$174=99,AG180,IF(AJ$174=0,INDEX($F53:$N53,0,AJ$172),(INDEX($F53:$N53,0,AJ$174+1)-INDEX($F53:$N53,0,AJ$174))/(INDEX($F$4:$N$4,0,AJ$174+1)-INDEX($F$4:$N$4,0,AJ$174))+AG180)))</f>
        <v>5.1182563649338766</v>
      </c>
      <c r="AK180" s="3" cm="1">
        <f t="array" ref="AK180">IF(AK$174=-1,AL180,IF(AK$174=99,AJ180,IF(AK$174=0,INDEX($F53:$N53,0,AK$172),(INDEX($F53:$N53,0,AK$174+1)-INDEX($F53:$N53,0,AK$174))/(INDEX($F$4:$N$4,0,AK$174+1)-INDEX($F$4:$N$4,0,AK$174))+AJ180)))</f>
        <v>5.2545137840007223</v>
      </c>
      <c r="AL180" s="3" cm="1">
        <f t="array" ref="AL180">IF(AL$174=-1,AM180,IF(AL$174=99,AK180,IF(AL$174=0,INDEX($F53:$N53,0,AL$172),(INDEX($F53:$N53,0,AL$174+1)-INDEX($F53:$N53,0,AL$174))/(INDEX($F$4:$N$4,0,AL$174+1)-INDEX($F$4:$N$4,0,AL$174))+AK180)))</f>
        <v>5.3907712030675681</v>
      </c>
      <c r="AM180" s="3" cm="1">
        <f t="array" ref="AM180">IF(AM$174=-1,AN180,IF(AM$174=99,AL180,IF(AM$174=0,INDEX($F53:$N53,0,AM$172),(INDEX($F53:$N53,0,AM$174+1)-INDEX($F53:$N53,0,AM$174))/(INDEX($F$4:$N$4,0,AM$174+1)-INDEX($F$4:$N$4,0,AM$174))+AL180)))</f>
        <v>5.5270286221344138</v>
      </c>
      <c r="AN180" s="3" cm="1">
        <f t="array" ref="AN180">IF(AN$174=-1,AO180,IF(AN$174=99,AM180,IF(AN$174=0,INDEX($F53:$N53,0,AN$172),(INDEX($F53:$N53,0,AN$174+1)-INDEX($F53:$N53,0,AN$174))/(INDEX($F$4:$N$4,0,AN$174+1)-INDEX($F$4:$N$4,0,AN$174))+AM180)))</f>
        <v>5.6632860412012596</v>
      </c>
      <c r="AO180" s="3" cm="1">
        <f t="array" ref="AO180">IF(AO$174=-1,AP180,IF(AO$174=99,AN180,IF(AO$174=0,INDEX($F53:$N53,0,AO$172),(INDEX($F53:$N53,0,AO$174+1)-INDEX($F53:$N53,0,AO$174))/(INDEX($F$4:$N$4,0,AO$174+1)-INDEX($F$4:$N$4,0,AO$174))+AN180)))</f>
        <v>5.7995434602681053</v>
      </c>
      <c r="AP180" s="3" cm="1">
        <f t="array" ref="AP180">IF(AP$174=-1,AQ180,IF(AP$174=99,AO180,IF(AP$174=0,INDEX($F53:$N53,0,AP$172),(INDEX($F53:$N53,0,AP$174+1)-INDEX($F53:$N53,0,AP$174))/(INDEX($F$4:$N$4,0,AP$174+1)-INDEX($F$4:$N$4,0,AP$174))+AO180)))</f>
        <v>5.935800879334951</v>
      </c>
      <c r="AQ180" s="3" cm="1">
        <f t="array" ref="AQ180">IF(AQ$174=-1,AR180,IF(AQ$174=99,AP180,IF(AQ$174=0,INDEX($F53:$N53,0,AQ$172),(INDEX($F53:$N53,0,AQ$174+1)-INDEX($F53:$N53,0,AQ$174))/(INDEX($F$4:$N$4,0,AQ$174+1)-INDEX($F$4:$N$4,0,AQ$174))+AP180)))</f>
        <v>6.0720582984017968</v>
      </c>
      <c r="AR180" s="3" cm="1">
        <f t="array" ref="AR180">IF(AR$174=-1,AS180,IF(AR$174=99,AQ180,IF(AR$174=0,INDEX($F53:$N53,0,AR$172),(INDEX($F53:$N53,0,AR$174+1)-INDEX($F53:$N53,0,AR$174))/(INDEX($F$4:$N$4,0,AR$174+1)-INDEX($F$4:$N$4,0,AR$174))+AQ180)))</f>
        <v>6.2083157174686425</v>
      </c>
      <c r="AS180" s="3" cm="1">
        <f t="array" ref="AS180">IF(AS$174=-1,AT180,IF(AS$174=99,AR180,IF(AS$174=0,INDEX($F53:$N53,0,AS$172),(INDEX($F53:$N53,0,AS$174+1)-INDEX($F53:$N53,0,AS$174))/(INDEX($F$4:$N$4,0,AS$174+1)-INDEX($F$4:$N$4,0,AS$174))+AR180)))</f>
        <v>6.3445731365354883</v>
      </c>
      <c r="AT180" s="3" cm="1">
        <f t="array" ref="AT180">IF(AT$174=-1,AU180,IF(AT$174=99,AS180,IF(AT$174=0,INDEX($F53:$N53,0,AT$172),(INDEX($F53:$N53,0,AT$174+1)-INDEX($F53:$N53,0,AT$174))/(INDEX($F$4:$N$4,0,AT$174+1)-INDEX($F$4:$N$4,0,AT$174))+AS180)))</f>
        <v>6.5156806852645301</v>
      </c>
      <c r="AU180" s="3" cm="1">
        <f t="array" ref="AU180">IF(AU$174=-1,AV180,IF(AU$174=99,AT180,IF(AU$174=0,INDEX($F53:$N53,0,AU$172),(INDEX($F53:$N53,0,AU$174+1)-INDEX($F53:$N53,0,AU$174))/(INDEX($F$4:$N$4,0,AU$174+1)-INDEX($F$4:$N$4,0,AU$174))+AT180)))</f>
        <v>8.0556486238259062</v>
      </c>
      <c r="AV180" s="3" cm="1">
        <f t="array" ref="AV180">IF(AV$174=-1,AW180,IF(AV$174=99,AU180,IF(AV$174=0,INDEX($F53:$N53,0,AV$172),(INDEX($F53:$N53,0,AV$174+1)-INDEX($F53:$N53,0,AV$174))/(INDEX($F$4:$N$4,0,AV$174+1)-INDEX($F$4:$N$4,0,AV$174))+AU180)))</f>
        <v>9.5193811208012331</v>
      </c>
      <c r="AW180" s="3" cm="1">
        <f t="array" ref="AW180">IF(AW$174=-1,AX180,IF(AW$174=99,AV180,IF(AW$174=0,INDEX($F53:$N53,0,AW$172),(INDEX($F53:$N53,0,AW$174+1)-INDEX($F53:$N53,0,AW$174))/(INDEX($F$4:$N$4,0,AW$174+1)-INDEX($F$4:$N$4,0,AW$174))+AV180)))</f>
        <v>9.7150002049265058</v>
      </c>
      <c r="BF180" s="3"/>
      <c r="BG180" s="3"/>
      <c r="BH180" s="3"/>
      <c r="BI180" s="3"/>
      <c r="BJ180" s="3"/>
      <c r="BK180" s="3"/>
    </row>
    <row r="181" spans="1:63">
      <c r="A181" t="s">
        <v>16</v>
      </c>
      <c r="B181" s="15" t="str">
        <f t="shared" si="359"/>
        <v/>
      </c>
      <c r="C181" s="16" t="str">
        <f t="shared" si="360"/>
        <v/>
      </c>
      <c r="D181" s="43"/>
      <c r="E181" s="16" t="str">
        <f t="shared" si="361"/>
        <v/>
      </c>
      <c r="F181" s="16" t="str">
        <f t="shared" si="361"/>
        <v/>
      </c>
      <c r="G181" s="16" t="str">
        <f t="shared" si="361"/>
        <v/>
      </c>
      <c r="H181" s="16"/>
      <c r="I181" s="16" t="str">
        <f t="shared" si="361"/>
        <v/>
      </c>
      <c r="J181" s="114" t="str">
        <f t="shared" si="366"/>
        <v>TFHCV5</v>
      </c>
      <c r="K181" s="3" t="e">
        <f>#REF!</f>
        <v>#REF!</v>
      </c>
      <c r="L181" s="3" t="e" cm="1">
        <f t="array" ref="L181">IF(L$174=-1,M181,IF(L$174=99,K181,IF(L$174=0,INDEX($F54:$N54,0,L$172),(INDEX($F54:$N54,0,L$174+1)-INDEX($F54:$N54,0,L$174))/(INDEX($F$4:$N$4,0,L$174+1)-INDEX($F$4:$N$4,0,L$174))+K181)))</f>
        <v>#REF!</v>
      </c>
      <c r="M181" s="3" t="e" cm="1">
        <f t="array" ref="M181">IF(M$174=-1,P181,IF(M$174=99,L181,IF(M$174=0,INDEX($F54:$N54,0,M$172),(INDEX($F54:$N54,0,M$174+1)-INDEX($F54:$N54,0,M$174))/(INDEX($F$4:$N$4,0,M$174+1)-INDEX($F$4:$N$4,0,M$174))+L181)))</f>
        <v>#REF!</v>
      </c>
      <c r="N181" s="3" t="e" cm="1">
        <f t="array" ref="N181">IF(N$174=-1,O181,IF(N$174=99,K181,IF(N$174=0,INDEX($F54:$N54,0,N$172),(INDEX($F54:$N54,0,N$174+1)-INDEX($F54:$N54,0,N$174))/(INDEX($F$4:$N$4,0,N$174+1)-INDEX($F$4:$N$4,0,N$174))+K181)))</f>
        <v>#REF!</v>
      </c>
      <c r="O181" s="3" t="e" cm="1">
        <f t="array" ref="O181">IF(O$174=-1,P181,IF(O$174=99,L181,IF(O$174=0,INDEX($F54:$N54,0,O$172),(INDEX($F54:$N54,0,O$174+1)-INDEX($F54:$N54,0,O$174))/(INDEX($F$4:$N$4,0,O$174+1)-INDEX($F$4:$N$4,0,O$174))+L181)))</f>
        <v>#REF!</v>
      </c>
      <c r="P181" s="3" t="e" cm="1">
        <f t="array" ref="P181">IF(P$174=-1,Q181,IF(P$174=99,M181,IF(P$174=0,INDEX($F54:$N54,0,P$172),(INDEX($F54:$N54,0,P$174+1)-INDEX($F54:$N54,0,P$174))/(INDEX($F$4:$N$4,0,P$174+1)-INDEX($F$4:$N$4,0,P$174))+M181)))</f>
        <v>#REF!</v>
      </c>
      <c r="Q181" s="3" t="e" cm="1">
        <f t="array" ref="Q181">IF(Q$174=-1,R181,IF(Q$174=99,P181,IF(Q$174=0,INDEX($F54:$N54,0,Q$172),(INDEX($F54:$N54,0,Q$174+1)-INDEX($F54:$N54,0,Q$174))/(INDEX($F$4:$N$4,0,Q$174+1)-INDEX($F$4:$N$4,0,Q$174))+P181)))</f>
        <v>#REF!</v>
      </c>
      <c r="R181" s="3" cm="1">
        <f t="array" ref="R181">IF(R$174=-1,S181,IF(R$174=99,Q181,IF(R$174=0,INDEX($F54:$N54,0,R$172),(INDEX($F54:$N54,0,R$174+1)-INDEX($F54:$N54,0,R$174))/(INDEX($F$4:$N$4,0,R$174+1)-INDEX($F$4:$N$4,0,R$174))+Q181)))</f>
        <v>3.2441770761137643</v>
      </c>
      <c r="S181" s="3" cm="1">
        <f t="array" ref="S181">IF(S$174=-1,T181,IF(S$174=99,R181,IF(S$174=0,INDEX($F54:$N54,0,S$172),(INDEX($F54:$N54,0,S$174+1)-INDEX($F54:$N54,0,S$174))/(INDEX($F$4:$N$4,0,S$174+1)-INDEX($F$4:$N$4,0,S$174))+R181)))</f>
        <v>3.2643680625208726</v>
      </c>
      <c r="T181" s="3" cm="1">
        <f t="array" ref="T181">IF(T$174=-1,U181,IF(T$174=99,S181,IF(T$174=0,INDEX($F54:$N54,0,T$172),(INDEX($F54:$N54,0,T$174+1)-INDEX($F54:$N54,0,T$174))/(INDEX($F$4:$N$4,0,T$174+1)-INDEX($F$4:$N$4,0,T$174))+S181)))</f>
        <v>3.284559048927981</v>
      </c>
      <c r="U181" s="3" cm="1">
        <f t="array" ref="U181">IF(U$174=-1,V181,IF(U$174=99,T181,IF(U$174=0,INDEX($F54:$N54,0,U$172),(INDEX($F54:$N54,0,U$174+1)-INDEX($F54:$N54,0,U$174))/(INDEX($F$4:$N$4,0,U$174+1)-INDEX($F$4:$N$4,0,U$174))+T181)))</f>
        <v>3.1624908255995221</v>
      </c>
      <c r="V181" s="3" cm="1">
        <f t="array" ref="V181">IF(V$174=-1,W181,IF(V$174=99,U181,IF(V$174=0,INDEX($F54:$N54,0,V$172),(INDEX($F54:$N54,0,V$174+1)-INDEX($F54:$N54,0,V$174))/(INDEX($F$4:$N$4,0,V$174+1)-INDEX($F$4:$N$4,0,V$174))+U181)))</f>
        <v>3.1943974166690543</v>
      </c>
      <c r="W181" s="3" cm="1">
        <f t="array" ref="W181">IF(W$174=-1,Z181,IF(W$174=99,V181,IF(W$174=0,INDEX($F54:$N54,0,W$172),(INDEX($F54:$N54,0,W$174+1)-INDEX($F54:$N54,0,W$174))/(INDEX($F$4:$N$4,0,W$174+1)-INDEX($F$4:$N$4,0,W$174))+V181)))</f>
        <v>3.2184118417606111</v>
      </c>
      <c r="X181" s="3" cm="1">
        <f t="array" ref="X181">IF(X$174=-1,Y181,IF(X$174=99,U181,IF(X$174=0,INDEX($F54:$N54,0,X$172),(INDEX($F54:$N54,0,X$174+1)-INDEX($F54:$N54,0,X$174))/(INDEX($F$4:$N$4,0,X$174+1)-INDEX($F$4:$N$4,0,X$174))+U181)))</f>
        <v>3.1943974166690543</v>
      </c>
      <c r="Y181" s="3" cm="1">
        <f t="array" ref="Y181">IF(Y$174=-1,Z181,IF(Y$174=99,V181,IF(Y$174=0,INDEX($F54:$N54,0,Y$172),(INDEX($F54:$N54,0,Y$174+1)-INDEX($F54:$N54,0,Y$174))/(INDEX($F$4:$N$4,0,Y$174+1)-INDEX($F$4:$N$4,0,Y$174))+V181)))</f>
        <v>3.2184118417606111</v>
      </c>
      <c r="Z181" s="3" cm="1">
        <f t="array" ref="Z181">IF(Z$174=-1,AA181,IF(Z$174=99,W181,IF(Z$174=0,INDEX($F54:$N54,0,Z$172),(INDEX($F54:$N54,0,Z$174+1)-INDEX($F54:$N54,0,Z$174))/(INDEX($F$4:$N$4,0,Z$174+1)-INDEX($F$4:$N$4,0,Z$174))+W181)))</f>
        <v>3.2424262668521679</v>
      </c>
      <c r="AA181" s="3" cm="1">
        <f t="array" ref="AA181">IF(AA$174=-1,AB181,IF(AA$174=99,Z181,IF(AA$174=0,INDEX($F54:$N54,0,AA$172),(INDEX($F54:$N54,0,AA$174+1)-INDEX($F54:$N54,0,AA$174))/(INDEX($F$4:$N$4,0,AA$174+1)-INDEX($F$4:$N$4,0,AA$174))+Z181)))</f>
        <v>3.2664406919437248</v>
      </c>
      <c r="AB181" s="3" cm="1">
        <f t="array" ref="AB181">IF(AB$174=-1,AC181,IF(AB$174=99,AA181,IF(AB$174=0,INDEX($F54:$N54,0,AB$172),(INDEX($F54:$N54,0,AB$174+1)-INDEX($F54:$N54,0,AB$174))/(INDEX($F$4:$N$4,0,AB$174+1)-INDEX($F$4:$N$4,0,AB$174))+AA181)))</f>
        <v>3.2904551170352816</v>
      </c>
      <c r="AC181" s="3" cm="1">
        <f t="array" ref="AC181">IF(AC$174=-1,AD181,IF(AC$174=99,AB181,IF(AC$174=0,INDEX($F54:$N54,0,AC$172),(INDEX($F54:$N54,0,AC$174+1)-INDEX($F54:$N54,0,AC$174))/(INDEX($F$4:$N$4,0,AC$174+1)-INDEX($F$4:$N$4,0,AC$174))+AB181)))</f>
        <v>3.3144695421268384</v>
      </c>
      <c r="AD181" s="3" cm="1">
        <f t="array" ref="AD181">IF(AD$174=-1,AE181,IF(AD$174=99,AC181,IF(AD$174=0,INDEX($F54:$N54,0,AD$172),(INDEX($F54:$N54,0,AD$174+1)-INDEX($F54:$N54,0,AD$174))/(INDEX($F$4:$N$4,0,AD$174+1)-INDEX($F$4:$N$4,0,AD$174))+AC181)))</f>
        <v>3.3384839672183952</v>
      </c>
      <c r="AE181" s="3" cm="1">
        <f t="array" ref="AE181">IF(AE$174=-1,AF181,IF(AE$174=99,AD181,IF(AE$174=0,INDEX($F54:$N54,0,AE$172),(INDEX($F54:$N54,0,AE$174+1)-INDEX($F54:$N54,0,AE$174))/(INDEX($F$4:$N$4,0,AE$174+1)-INDEX($F$4:$N$4,0,AE$174))+AD181)))</f>
        <v>3.3624983923099521</v>
      </c>
      <c r="AF181" s="3" cm="1">
        <f t="array" ref="AF181">IF(AF$174=-1,AG181,IF(AF$174=99,AE181,IF(AF$174=0,INDEX($F54:$N54,0,AF$172),(INDEX($F54:$N54,0,AF$174+1)-INDEX($F54:$N54,0,AF$174))/(INDEX($F$4:$N$4,0,AF$174+1)-INDEX($F$4:$N$4,0,AF$174))+AE181)))</f>
        <v>3.3865128174015089</v>
      </c>
      <c r="AG181" s="3" cm="1">
        <f t="array" ref="AG181">IF(AG$174=-1,AJ181,IF(AG$174=99,AF181,IF(AG$174=0,INDEX($F54:$N54,0,AG$172),(INDEX($F54:$N54,0,AG$174+1)-INDEX($F54:$N54,0,AG$174))/(INDEX($F$4:$N$4,0,AG$174+1)-INDEX($F$4:$N$4,0,AG$174))+AF181)))</f>
        <v>3.4105272424930662</v>
      </c>
      <c r="AH181" s="3" cm="1">
        <f t="array" ref="AH181">IF(AH$174=-1,AI181,IF(AH$174=99,AE181,IF(AH$174=0,INDEX($F54:$N54,0,AH$172),(INDEX($F54:$N54,0,AH$174+1)-INDEX($F54:$N54,0,AH$174))/(INDEX($F$4:$N$4,0,AH$174+1)-INDEX($F$4:$N$4,0,AH$174))+AE181)))</f>
        <v>3.3865128174015089</v>
      </c>
      <c r="AI181" s="3" cm="1">
        <f t="array" ref="AI181">IF(AI$174=-1,AJ181,IF(AI$174=99,AF181,IF(AI$174=0,INDEX($F54:$N54,0,AI$172),(INDEX($F54:$N54,0,AI$174+1)-INDEX($F54:$N54,0,AI$174))/(INDEX($F$4:$N$4,0,AI$174+1)-INDEX($F$4:$N$4,0,AI$174))+AF181)))</f>
        <v>3.4105272424930662</v>
      </c>
      <c r="AJ181" s="3" cm="1">
        <f t="array" ref="AJ181">IF(AJ$174=-1,AK181,IF(AJ$174=99,AG181,IF(AJ$174=0,INDEX($F54:$N54,0,AJ$172),(INDEX($F54:$N54,0,AJ$174+1)-INDEX($F54:$N54,0,AJ$174))/(INDEX($F$4:$N$4,0,AJ$174+1)-INDEX($F$4:$N$4,0,AJ$174))+AG181)))</f>
        <v>3.5038049899933514</v>
      </c>
      <c r="AK181" s="3" cm="1">
        <f t="array" ref="AK181">IF(AK$174=-1,AL181,IF(AK$174=99,AJ181,IF(AK$174=0,INDEX($F54:$N54,0,AK$172),(INDEX($F54:$N54,0,AK$174+1)-INDEX($F54:$N54,0,AK$174))/(INDEX($F$4:$N$4,0,AK$174+1)-INDEX($F$4:$N$4,0,AK$174))+AJ181)))</f>
        <v>3.5970827374936367</v>
      </c>
      <c r="AL181" s="3" cm="1">
        <f t="array" ref="AL181">IF(AL$174=-1,AM181,IF(AL$174=99,AK181,IF(AL$174=0,INDEX($F54:$N54,0,AL$172),(INDEX($F54:$N54,0,AL$174+1)-INDEX($F54:$N54,0,AL$174))/(INDEX($F$4:$N$4,0,AL$174+1)-INDEX($F$4:$N$4,0,AL$174))+AK181)))</f>
        <v>3.690360484993922</v>
      </c>
      <c r="AM181" s="3" cm="1">
        <f t="array" ref="AM181">IF(AM$174=-1,AN181,IF(AM$174=99,AL181,IF(AM$174=0,INDEX($F54:$N54,0,AM$172),(INDEX($F54:$N54,0,AM$174+1)-INDEX($F54:$N54,0,AM$174))/(INDEX($F$4:$N$4,0,AM$174+1)-INDEX($F$4:$N$4,0,AM$174))+AL181)))</f>
        <v>3.7836382324942073</v>
      </c>
      <c r="AN181" s="3" cm="1">
        <f t="array" ref="AN181">IF(AN$174=-1,AO181,IF(AN$174=99,AM181,IF(AN$174=0,INDEX($F54:$N54,0,AN$172),(INDEX($F54:$N54,0,AN$174+1)-INDEX($F54:$N54,0,AN$174))/(INDEX($F$4:$N$4,0,AN$174+1)-INDEX($F$4:$N$4,0,AN$174))+AM181)))</f>
        <v>3.8769159799944926</v>
      </c>
      <c r="AO181" s="3" cm="1">
        <f t="array" ref="AO181">IF(AO$174=-1,AP181,IF(AO$174=99,AN181,IF(AO$174=0,INDEX($F54:$N54,0,AO$172),(INDEX($F54:$N54,0,AO$174+1)-INDEX($F54:$N54,0,AO$174))/(INDEX($F$4:$N$4,0,AO$174+1)-INDEX($F$4:$N$4,0,AO$174))+AN181)))</f>
        <v>3.9701937274947778</v>
      </c>
      <c r="AP181" s="3" cm="1">
        <f t="array" ref="AP181">IF(AP$174=-1,AQ181,IF(AP$174=99,AO181,IF(AP$174=0,INDEX($F54:$N54,0,AP$172),(INDEX($F54:$N54,0,AP$174+1)-INDEX($F54:$N54,0,AP$174))/(INDEX($F$4:$N$4,0,AP$174+1)-INDEX($F$4:$N$4,0,AP$174))+AO181)))</f>
        <v>4.0634714749950627</v>
      </c>
      <c r="AQ181" s="3" cm="1">
        <f t="array" ref="AQ181">IF(AQ$174=-1,AR181,IF(AQ$174=99,AP181,IF(AQ$174=0,INDEX($F54:$N54,0,AQ$172),(INDEX($F54:$N54,0,AQ$174+1)-INDEX($F54:$N54,0,AQ$174))/(INDEX($F$4:$N$4,0,AQ$174+1)-INDEX($F$4:$N$4,0,AQ$174))+AP181)))</f>
        <v>4.156749222495348</v>
      </c>
      <c r="AR181" s="3" cm="1">
        <f t="array" ref="AR181">IF(AR$174=-1,AS181,IF(AR$174=99,AQ181,IF(AR$174=0,INDEX($F54:$N54,0,AR$172),(INDEX($F54:$N54,0,AR$174+1)-INDEX($F54:$N54,0,AR$174))/(INDEX($F$4:$N$4,0,AR$174+1)-INDEX($F$4:$N$4,0,AR$174))+AQ181)))</f>
        <v>4.2500269699956332</v>
      </c>
      <c r="AS181" s="3" cm="1">
        <f t="array" ref="AS181">IF(AS$174=-1,AT181,IF(AS$174=99,AR181,IF(AS$174=0,INDEX($F54:$N54,0,AS$172),(INDEX($F54:$N54,0,AS$174+1)-INDEX($F54:$N54,0,AS$174))/(INDEX($F$4:$N$4,0,AS$174+1)-INDEX($F$4:$N$4,0,AS$174))+AR181)))</f>
        <v>4.3433047174959176</v>
      </c>
      <c r="AT181" s="3" cm="1">
        <f t="array" ref="AT181">IF(AT$174=-1,AU181,IF(AT$174=99,AS181,IF(AT$174=0,INDEX($F54:$N54,0,AT$172),(INDEX($F54:$N54,0,AT$174+1)-INDEX($F54:$N54,0,AT$174))/(INDEX($F$4:$N$4,0,AT$174+1)-INDEX($F$4:$N$4,0,AT$174))+AS181)))</f>
        <v>4.4604398198268251</v>
      </c>
      <c r="AU181" s="3" cm="1">
        <f t="array" ref="AU181">IF(AU$174=-1,AV181,IF(AU$174=99,AT181,IF(AU$174=0,INDEX($F54:$N54,0,AU$172),(INDEX($F54:$N54,0,AU$174+1)-INDEX($F54:$N54,0,AU$174))/(INDEX($F$4:$N$4,0,AU$174+1)-INDEX($F$4:$N$4,0,AU$174))+AT181)))</f>
        <v>5.514655740804991</v>
      </c>
      <c r="AV181" s="3" cm="1">
        <f t="array" ref="AV181">IF(AV$174=-1,AW181,IF(AV$174=99,AU181,IF(AV$174=0,INDEX($F54:$N54,0,AV$172),(INDEX($F54:$N54,0,AV$174+1)-INDEX($F54:$N54,0,AV$174))/(INDEX($F$4:$N$4,0,AV$174+1)-INDEX($F$4:$N$4,0,AV$174))+AU181)))</f>
        <v>6.5166831621070562</v>
      </c>
      <c r="AW181" s="3" cm="1">
        <f t="array" ref="AW181">IF(AW$174=-1,AX181,IF(AW$174=99,AV181,IF(AW$174=0,INDEX($F54:$N54,0,AW$172),(INDEX($F54:$N54,0,AW$174+1)-INDEX($F54:$N54,0,AW$174))/(INDEX($F$4:$N$4,0,AW$174+1)-INDEX($F$4:$N$4,0,AW$174))+AV181)))</f>
        <v>6.6505981273268402</v>
      </c>
      <c r="BF181" s="3"/>
      <c r="BG181" s="3"/>
      <c r="BH181" s="3"/>
      <c r="BI181" s="3"/>
      <c r="BJ181" s="3"/>
      <c r="BK181" s="3"/>
    </row>
    <row r="182" spans="1:63">
      <c r="A182" t="s">
        <v>16</v>
      </c>
      <c r="B182" s="15" t="str">
        <f t="shared" si="359"/>
        <v/>
      </c>
      <c r="C182" s="16" t="str">
        <f t="shared" si="360"/>
        <v/>
      </c>
      <c r="D182" s="43"/>
      <c r="E182" s="16" t="str">
        <f t="shared" si="361"/>
        <v/>
      </c>
      <c r="F182" s="16" t="str">
        <f t="shared" si="361"/>
        <v/>
      </c>
      <c r="G182" s="16" t="str">
        <f t="shared" si="361"/>
        <v/>
      </c>
      <c r="H182" s="16"/>
      <c r="I182" s="16" t="str">
        <f t="shared" si="361"/>
        <v/>
      </c>
      <c r="J182" s="114" t="str">
        <f t="shared" si="366"/>
        <v>TFHCV6</v>
      </c>
      <c r="K182" s="3" t="e">
        <f>#REF!</f>
        <v>#REF!</v>
      </c>
      <c r="L182" s="3" t="e" cm="1">
        <f t="array" ref="L182">IF(L$174=-1,M182,IF(L$174=99,K182,IF(L$174=0,INDEX($F55:$N55,0,L$172),(INDEX($F55:$N55,0,L$174+1)-INDEX($F55:$N55,0,L$174))/(INDEX($F$4:$N$4,0,L$174+1)-INDEX($F$4:$N$4,0,L$174))+K182)))</f>
        <v>#REF!</v>
      </c>
      <c r="M182" s="3" t="e" cm="1">
        <f t="array" ref="M182">IF(M$174=-1,P182,IF(M$174=99,L182,IF(M$174=0,INDEX($F55:$N55,0,M$172),(INDEX($F55:$N55,0,M$174+1)-INDEX($F55:$N55,0,M$174))/(INDEX($F$4:$N$4,0,M$174+1)-INDEX($F$4:$N$4,0,M$174))+L182)))</f>
        <v>#REF!</v>
      </c>
      <c r="N182" s="3" t="e" cm="1">
        <f t="array" ref="N182">IF(N$174=-1,O182,IF(N$174=99,K182,IF(N$174=0,INDEX($F55:$N55,0,N$172),(INDEX($F55:$N55,0,N$174+1)-INDEX($F55:$N55,0,N$174))/(INDEX($F$4:$N$4,0,N$174+1)-INDEX($F$4:$N$4,0,N$174))+K182)))</f>
        <v>#REF!</v>
      </c>
      <c r="O182" s="3" t="e" cm="1">
        <f t="array" ref="O182">IF(O$174=-1,P182,IF(O$174=99,L182,IF(O$174=0,INDEX($F55:$N55,0,O$172),(INDEX($F55:$N55,0,O$174+1)-INDEX($F55:$N55,0,O$174))/(INDEX($F$4:$N$4,0,O$174+1)-INDEX($F$4:$N$4,0,O$174))+L182)))</f>
        <v>#REF!</v>
      </c>
      <c r="P182" s="3" t="e" cm="1">
        <f t="array" ref="P182">IF(P$174=-1,Q182,IF(P$174=99,M182,IF(P$174=0,INDEX($F55:$N55,0,P$172),(INDEX($F55:$N55,0,P$174+1)-INDEX($F55:$N55,0,P$174))/(INDEX($F$4:$N$4,0,P$174+1)-INDEX($F$4:$N$4,0,P$174))+M182)))</f>
        <v>#REF!</v>
      </c>
      <c r="Q182" s="3" t="e" cm="1">
        <f t="array" ref="Q182">IF(Q$174=-1,R182,IF(Q$174=99,P182,IF(Q$174=0,INDEX($F55:$N55,0,Q$172),(INDEX($F55:$N55,0,Q$174+1)-INDEX($F55:$N55,0,Q$174))/(INDEX($F$4:$N$4,0,Q$174+1)-INDEX($F$4:$N$4,0,Q$174))+P182)))</f>
        <v>#REF!</v>
      </c>
      <c r="R182" s="3" cm="1">
        <f t="array" ref="R182">IF(R$174=-1,S182,IF(R$174=99,Q182,IF(R$174=0,INDEX($F55:$N55,0,R$172),(INDEX($F55:$N55,0,R$174+1)-INDEX($F55:$N55,0,R$174))/(INDEX($F$4:$N$4,0,R$174+1)-INDEX($F$4:$N$4,0,R$174))+Q182)))</f>
        <v>130.05107807184956</v>
      </c>
      <c r="S182" s="3" cm="1">
        <f t="array" ref="S182">IF(S$174=-1,T182,IF(S$174=99,R182,IF(S$174=0,INDEX($F55:$N55,0,S$172),(INDEX($F55:$N55,0,S$174+1)-INDEX($F55:$N55,0,S$174))/(INDEX($F$4:$N$4,0,S$174+1)-INDEX($F$4:$N$4,0,S$174))+R182)))</f>
        <v>132.38838324884392</v>
      </c>
      <c r="T182" s="3" cm="1">
        <f t="array" ref="T182">IF(T$174=-1,U182,IF(T$174=99,S182,IF(T$174=0,INDEX($F55:$N55,0,T$172),(INDEX($F55:$N55,0,T$174+1)-INDEX($F55:$N55,0,T$174))/(INDEX($F$4:$N$4,0,T$174+1)-INDEX($F$4:$N$4,0,T$174))+S182)))</f>
        <v>134.72568842583829</v>
      </c>
      <c r="U182" s="3" cm="1">
        <f t="array" ref="U182">IF(U$174=-1,V182,IF(U$174=99,T182,IF(U$174=0,INDEX($F55:$N55,0,U$172),(INDEX($F55:$N55,0,U$174+1)-INDEX($F55:$N55,0,U$174))/(INDEX($F$4:$N$4,0,U$174+1)-INDEX($F$4:$N$4,0,U$174))+T182)))</f>
        <v>131.01589429361536</v>
      </c>
      <c r="V182" s="3" cm="1">
        <f t="array" ref="V182">IF(V$174=-1,W182,IF(V$174=99,U182,IF(V$174=0,INDEX($F55:$N55,0,V$172),(INDEX($F55:$N55,0,V$174+1)-INDEX($F55:$N55,0,V$174))/(INDEX($F$4:$N$4,0,V$174+1)-INDEX($F$4:$N$4,0,V$174))+U182)))</f>
        <v>133.21123913432774</v>
      </c>
      <c r="W182" s="3" cm="1">
        <f t="array" ref="W182">IF(W$174=-1,Z182,IF(W$174=99,V182,IF(W$174=0,INDEX($F55:$N55,0,W$172),(INDEX($F55:$N55,0,W$174+1)-INDEX($F55:$N55,0,W$174))/(INDEX($F$4:$N$4,0,W$174+1)-INDEX($F$4:$N$4,0,W$174))+V182)))</f>
        <v>134.40059233093351</v>
      </c>
      <c r="X182" s="3" cm="1">
        <f t="array" ref="X182">IF(X$174=-1,Y182,IF(X$174=99,U182,IF(X$174=0,INDEX($F55:$N55,0,X$172),(INDEX($F55:$N55,0,X$174+1)-INDEX($F55:$N55,0,X$174))/(INDEX($F$4:$N$4,0,X$174+1)-INDEX($F$4:$N$4,0,X$174))+U182)))</f>
        <v>133.21123913432774</v>
      </c>
      <c r="Y182" s="3" cm="1">
        <f t="array" ref="Y182">IF(Y$174=-1,Z182,IF(Y$174=99,V182,IF(Y$174=0,INDEX($F55:$N55,0,Y$172),(INDEX($F55:$N55,0,Y$174+1)-INDEX($F55:$N55,0,Y$174))/(INDEX($F$4:$N$4,0,Y$174+1)-INDEX($F$4:$N$4,0,Y$174))+V182)))</f>
        <v>134.40059233093351</v>
      </c>
      <c r="Z182" s="3" cm="1">
        <f t="array" ref="Z182">IF(Z$174=-1,AA182,IF(Z$174=99,W182,IF(Z$174=0,INDEX($F55:$N55,0,Z$172),(INDEX($F55:$N55,0,Z$174+1)-INDEX($F55:$N55,0,Z$174))/(INDEX($F$4:$N$4,0,Z$174+1)-INDEX($F$4:$N$4,0,Z$174))+W182)))</f>
        <v>135.58994552753927</v>
      </c>
      <c r="AA182" s="3" cm="1">
        <f t="array" ref="AA182">IF(AA$174=-1,AB182,IF(AA$174=99,Z182,IF(AA$174=0,INDEX($F55:$N55,0,AA$172),(INDEX($F55:$N55,0,AA$174+1)-INDEX($F55:$N55,0,AA$174))/(INDEX($F$4:$N$4,0,AA$174+1)-INDEX($F$4:$N$4,0,AA$174))+Z182)))</f>
        <v>136.77929872414504</v>
      </c>
      <c r="AB182" s="3" cm="1">
        <f t="array" ref="AB182">IF(AB$174=-1,AC182,IF(AB$174=99,AA182,IF(AB$174=0,INDEX($F55:$N55,0,AB$172),(INDEX($F55:$N55,0,AB$174+1)-INDEX($F55:$N55,0,AB$174))/(INDEX($F$4:$N$4,0,AB$174+1)-INDEX($F$4:$N$4,0,AB$174))+AA182)))</f>
        <v>137.9686519207508</v>
      </c>
      <c r="AC182" s="3" cm="1">
        <f t="array" ref="AC182">IF(AC$174=-1,AD182,IF(AC$174=99,AB182,IF(AC$174=0,INDEX($F55:$N55,0,AC$172),(INDEX($F55:$N55,0,AC$174+1)-INDEX($F55:$N55,0,AC$174))/(INDEX($F$4:$N$4,0,AC$174+1)-INDEX($F$4:$N$4,0,AC$174))+AB182)))</f>
        <v>139.15800511735657</v>
      </c>
      <c r="AD182" s="3" cm="1">
        <f t="array" ref="AD182">IF(AD$174=-1,AE182,IF(AD$174=99,AC182,IF(AD$174=0,INDEX($F55:$N55,0,AD$172),(INDEX($F55:$N55,0,AD$174+1)-INDEX($F55:$N55,0,AD$174))/(INDEX($F$4:$N$4,0,AD$174+1)-INDEX($F$4:$N$4,0,AD$174))+AC182)))</f>
        <v>140.34735831396233</v>
      </c>
      <c r="AE182" s="3" cm="1">
        <f t="array" ref="AE182">IF(AE$174=-1,AF182,IF(AE$174=99,AD182,IF(AE$174=0,INDEX($F55:$N55,0,AE$172),(INDEX($F55:$N55,0,AE$174+1)-INDEX($F55:$N55,0,AE$174))/(INDEX($F$4:$N$4,0,AE$174+1)-INDEX($F$4:$N$4,0,AE$174))+AD182)))</f>
        <v>141.5367115105681</v>
      </c>
      <c r="AF182" s="3" cm="1">
        <f t="array" ref="AF182">IF(AF$174=-1,AG182,IF(AF$174=99,AE182,IF(AF$174=0,INDEX($F55:$N55,0,AF$172),(INDEX($F55:$N55,0,AF$174+1)-INDEX($F55:$N55,0,AF$174))/(INDEX($F$4:$N$4,0,AF$174+1)-INDEX($F$4:$N$4,0,AF$174))+AE182)))</f>
        <v>142.72606470717386</v>
      </c>
      <c r="AG182" s="3" cm="1">
        <f t="array" ref="AG182">IF(AG$174=-1,AJ182,IF(AG$174=99,AF182,IF(AG$174=0,INDEX($F55:$N55,0,AG$172),(INDEX($F55:$N55,0,AG$174+1)-INDEX($F55:$N55,0,AG$174))/(INDEX($F$4:$N$4,0,AG$174+1)-INDEX($F$4:$N$4,0,AG$174))+AF182)))</f>
        <v>143.91541790377966</v>
      </c>
      <c r="AH182" s="3" cm="1">
        <f t="array" ref="AH182">IF(AH$174=-1,AI182,IF(AH$174=99,AE182,IF(AH$174=0,INDEX($F55:$N55,0,AH$172),(INDEX($F55:$N55,0,AH$174+1)-INDEX($F55:$N55,0,AH$174))/(INDEX($F$4:$N$4,0,AH$174+1)-INDEX($F$4:$N$4,0,AH$174))+AE182)))</f>
        <v>142.72606470717386</v>
      </c>
      <c r="AI182" s="3" cm="1">
        <f t="array" ref="AI182">IF(AI$174=-1,AJ182,IF(AI$174=99,AF182,IF(AI$174=0,INDEX($F55:$N55,0,AI$172),(INDEX($F55:$N55,0,AI$174+1)-INDEX($F55:$N55,0,AI$174))/(INDEX($F$4:$N$4,0,AI$174+1)-INDEX($F$4:$N$4,0,AI$174))+AF182)))</f>
        <v>143.91541790377966</v>
      </c>
      <c r="AJ182" s="3" cm="1">
        <f t="array" ref="AJ182">IF(AJ$174=-1,AK182,IF(AJ$174=99,AG182,IF(AJ$174=0,INDEX($F55:$N55,0,AJ$172),(INDEX($F55:$N55,0,AJ$174+1)-INDEX($F55:$N55,0,AJ$174))/(INDEX($F$4:$N$4,0,AJ$174+1)-INDEX($F$4:$N$4,0,AJ$174))+AG182)))</f>
        <v>146.9351162415619</v>
      </c>
      <c r="AK182" s="3" cm="1">
        <f t="array" ref="AK182">IF(AK$174=-1,AL182,IF(AK$174=99,AJ182,IF(AK$174=0,INDEX($F55:$N55,0,AK$172),(INDEX($F55:$N55,0,AK$174+1)-INDEX($F55:$N55,0,AK$174))/(INDEX($F$4:$N$4,0,AK$174+1)-INDEX($F$4:$N$4,0,AK$174))+AJ182)))</f>
        <v>149.95481457934414</v>
      </c>
      <c r="AL182" s="3" cm="1">
        <f t="array" ref="AL182">IF(AL$174=-1,AM182,IF(AL$174=99,AK182,IF(AL$174=0,INDEX($F55:$N55,0,AL$172),(INDEX($F55:$N55,0,AL$174+1)-INDEX($F55:$N55,0,AL$174))/(INDEX($F$4:$N$4,0,AL$174+1)-INDEX($F$4:$N$4,0,AL$174))+AK182)))</f>
        <v>152.97451291712639</v>
      </c>
      <c r="AM182" s="3" cm="1">
        <f t="array" ref="AM182">IF(AM$174=-1,AN182,IF(AM$174=99,AL182,IF(AM$174=0,INDEX($F55:$N55,0,AM$172),(INDEX($F55:$N55,0,AM$174+1)-INDEX($F55:$N55,0,AM$174))/(INDEX($F$4:$N$4,0,AM$174+1)-INDEX($F$4:$N$4,0,AM$174))+AL182)))</f>
        <v>155.99421125490863</v>
      </c>
      <c r="AN182" s="3" cm="1">
        <f t="array" ref="AN182">IF(AN$174=-1,AO182,IF(AN$174=99,AM182,IF(AN$174=0,INDEX($F55:$N55,0,AN$172),(INDEX($F55:$N55,0,AN$174+1)-INDEX($F55:$N55,0,AN$174))/(INDEX($F$4:$N$4,0,AN$174+1)-INDEX($F$4:$N$4,0,AN$174))+AM182)))</f>
        <v>159.01390959269088</v>
      </c>
      <c r="AO182" s="3" cm="1">
        <f t="array" ref="AO182">IF(AO$174=-1,AP182,IF(AO$174=99,AN182,IF(AO$174=0,INDEX($F55:$N55,0,AO$172),(INDEX($F55:$N55,0,AO$174+1)-INDEX($F55:$N55,0,AO$174))/(INDEX($F$4:$N$4,0,AO$174+1)-INDEX($F$4:$N$4,0,AO$174))+AN182)))</f>
        <v>162.03360793047312</v>
      </c>
      <c r="AP182" s="3" cm="1">
        <f t="array" ref="AP182">IF(AP$174=-1,AQ182,IF(AP$174=99,AO182,IF(AP$174=0,INDEX($F55:$N55,0,AP$172),(INDEX($F55:$N55,0,AP$174+1)-INDEX($F55:$N55,0,AP$174))/(INDEX($F$4:$N$4,0,AP$174+1)-INDEX($F$4:$N$4,0,AP$174))+AO182)))</f>
        <v>165.05330626825537</v>
      </c>
      <c r="AQ182" s="3" cm="1">
        <f t="array" ref="AQ182">IF(AQ$174=-1,AR182,IF(AQ$174=99,AP182,IF(AQ$174=0,INDEX($F55:$N55,0,AQ$172),(INDEX($F55:$N55,0,AQ$174+1)-INDEX($F55:$N55,0,AQ$174))/(INDEX($F$4:$N$4,0,AQ$174+1)-INDEX($F$4:$N$4,0,AQ$174))+AP182)))</f>
        <v>168.07300460603761</v>
      </c>
      <c r="AR182" s="3" cm="1">
        <f t="array" ref="AR182">IF(AR$174=-1,AS182,IF(AR$174=99,AQ182,IF(AR$174=0,INDEX($F55:$N55,0,AR$172),(INDEX($F55:$N55,0,AR$174+1)-INDEX($F55:$N55,0,AR$174))/(INDEX($F$4:$N$4,0,AR$174+1)-INDEX($F$4:$N$4,0,AR$174))+AQ182)))</f>
        <v>171.09270294381986</v>
      </c>
      <c r="AS182" s="3" cm="1">
        <f t="array" ref="AS182">IF(AS$174=-1,AT182,IF(AS$174=99,AR182,IF(AS$174=0,INDEX($F55:$N55,0,AS$172),(INDEX($F55:$N55,0,AS$174+1)-INDEX($F55:$N55,0,AS$174))/(INDEX($F$4:$N$4,0,AS$174+1)-INDEX($F$4:$N$4,0,AS$174))+AR182)))</f>
        <v>174.11240128160202</v>
      </c>
      <c r="AT182" s="3" cm="1">
        <f t="array" ref="AT182">IF(AT$174=-1,AU182,IF(AT$174=99,AS182,IF(AT$174=0,INDEX($F55:$N55,0,AT$172),(INDEX($F55:$N55,0,AT$174+1)-INDEX($F55:$N55,0,AT$174))/(INDEX($F$4:$N$4,0,AT$174+1)-INDEX($F$4:$N$4,0,AT$174))+AS182)))</f>
        <v>178.80805937324951</v>
      </c>
      <c r="AU182" s="3" cm="1">
        <f t="array" ref="AU182">IF(AU$174=-1,AV182,IF(AU$174=99,AT182,IF(AU$174=0,INDEX($F55:$N55,0,AU$172),(INDEX($F55:$N55,0,AU$174+1)-INDEX($F55:$N55,0,AU$174))/(INDEX($F$4:$N$4,0,AU$174+1)-INDEX($F$4:$N$4,0,AU$174))+AT182)))</f>
        <v>221.06898219807692</v>
      </c>
      <c r="AV182" s="3" cm="1">
        <f t="array" ref="AV182">IF(AV$174=-1,AW182,IF(AV$174=99,AU182,IF(AV$174=0,INDEX($F55:$N55,0,AV$172),(INDEX($F55:$N55,0,AV$174+1)-INDEX($F55:$N55,0,AV$174))/(INDEX($F$4:$N$4,0,AV$174+1)-INDEX($F$4:$N$4,0,AV$174))+AU182)))</f>
        <v>261.2377964583622</v>
      </c>
      <c r="AW182" s="3" cm="1">
        <f t="array" ref="AW182">IF(AW$174=-1,AX182,IF(AW$174=99,AV182,IF(AW$174=0,INDEX($F55:$N55,0,AW$172),(INDEX($F55:$N55,0,AW$174+1)-INDEX($F55:$N55,0,AW$174))/(INDEX($F$4:$N$4,0,AW$174+1)-INDEX($F$4:$N$4,0,AW$174))+AV182)))</f>
        <v>266.60611797355193</v>
      </c>
      <c r="BF182" s="3"/>
      <c r="BG182" s="3"/>
      <c r="BH182" s="3"/>
      <c r="BI182" s="3"/>
      <c r="BJ182" s="3"/>
      <c r="BK182" s="3"/>
    </row>
    <row r="183" spans="1:63">
      <c r="A183" t="s">
        <v>16</v>
      </c>
      <c r="B183" s="15" t="str">
        <f t="shared" si="359"/>
        <v/>
      </c>
      <c r="C183" s="16" t="str">
        <f t="shared" si="360"/>
        <v/>
      </c>
      <c r="D183" s="43"/>
      <c r="E183" s="16" t="str">
        <f t="shared" si="361"/>
        <v/>
      </c>
      <c r="F183" s="16" t="str">
        <f t="shared" si="361"/>
        <v/>
      </c>
      <c r="G183" s="16" t="str">
        <f t="shared" si="361"/>
        <v/>
      </c>
      <c r="H183" s="16"/>
      <c r="I183" s="16" t="str">
        <f t="shared" si="361"/>
        <v/>
      </c>
      <c r="J183" s="114" t="str">
        <f t="shared" si="366"/>
        <v>TFHCV7</v>
      </c>
      <c r="K183" s="3" t="e">
        <f>#REF!</f>
        <v>#REF!</v>
      </c>
      <c r="L183" s="3" t="e" cm="1">
        <f t="array" ref="L183">IF(L$174=-1,M183,IF(L$174=99,K183,IF(L$174=0,INDEX($F56:$N56,0,L$172),(INDEX($F56:$N56,0,L$174+1)-INDEX($F56:$N56,0,L$174))/(INDEX($F$4:$N$4,0,L$174+1)-INDEX($F$4:$N$4,0,L$174))+K183)))</f>
        <v>#REF!</v>
      </c>
      <c r="M183" s="3" t="e" cm="1">
        <f t="array" ref="M183">IF(M$174=-1,P183,IF(M$174=99,L183,IF(M$174=0,INDEX($F56:$N56,0,M$172),(INDEX($F56:$N56,0,M$174+1)-INDEX($F56:$N56,0,M$174))/(INDEX($F$4:$N$4,0,M$174+1)-INDEX($F$4:$N$4,0,M$174))+L183)))</f>
        <v>#REF!</v>
      </c>
      <c r="N183" s="3" t="e" cm="1">
        <f t="array" ref="N183">IF(N$174=-1,O183,IF(N$174=99,K183,IF(N$174=0,INDEX($F56:$N56,0,N$172),(INDEX($F56:$N56,0,N$174+1)-INDEX($F56:$N56,0,N$174))/(INDEX($F$4:$N$4,0,N$174+1)-INDEX($F$4:$N$4,0,N$174))+K183)))</f>
        <v>#REF!</v>
      </c>
      <c r="O183" s="3" t="e" cm="1">
        <f t="array" ref="O183">IF(O$174=-1,P183,IF(O$174=99,L183,IF(O$174=0,INDEX($F56:$N56,0,O$172),(INDEX($F56:$N56,0,O$174+1)-INDEX($F56:$N56,0,O$174))/(INDEX($F$4:$N$4,0,O$174+1)-INDEX($F$4:$N$4,0,O$174))+L183)))</f>
        <v>#REF!</v>
      </c>
      <c r="P183" s="3" t="e" cm="1">
        <f t="array" ref="P183">IF(P$174=-1,Q183,IF(P$174=99,M183,IF(P$174=0,INDEX($F56:$N56,0,P$172),(INDEX($F56:$N56,0,P$174+1)-INDEX($F56:$N56,0,P$174))/(INDEX($F$4:$N$4,0,P$174+1)-INDEX($F$4:$N$4,0,P$174))+M183)))</f>
        <v>#REF!</v>
      </c>
      <c r="Q183" s="3" t="e" cm="1">
        <f t="array" ref="Q183">IF(Q$174=-1,R183,IF(Q$174=99,P183,IF(Q$174=0,INDEX($F56:$N56,0,Q$172),(INDEX($F56:$N56,0,Q$174+1)-INDEX($F56:$N56,0,Q$174))/(INDEX($F$4:$N$4,0,Q$174+1)-INDEX($F$4:$N$4,0,Q$174))+P183)))</f>
        <v>#REF!</v>
      </c>
      <c r="R183" s="3" cm="1">
        <f t="array" ref="R183">IF(R$174=-1,S183,IF(R$174=99,Q183,IF(R$174=0,INDEX($F56:$N56,0,R$172),(INDEX($F56:$N56,0,R$174+1)-INDEX($F56:$N56,0,R$174))/(INDEX($F$4:$N$4,0,R$174+1)-INDEX($F$4:$N$4,0,R$174))+Q183)))</f>
        <v>39.825760684889083</v>
      </c>
      <c r="S183" s="3" cm="1">
        <f t="array" ref="S183">IF(S$174=-1,T183,IF(S$174=99,R183,IF(S$174=0,INDEX($F56:$N56,0,S$172),(INDEX($F56:$N56,0,S$174+1)-INDEX($F56:$N56,0,S$174))/(INDEX($F$4:$N$4,0,S$174+1)-INDEX($F$4:$N$4,0,S$174))+R183)))</f>
        <v>40.073626745765331</v>
      </c>
      <c r="T183" s="3" cm="1">
        <f t="array" ref="T183">IF(T$174=-1,U183,IF(T$174=99,S183,IF(T$174=0,INDEX($F56:$N56,0,T$172),(INDEX($F56:$N56,0,T$174+1)-INDEX($F56:$N56,0,T$174))/(INDEX($F$4:$N$4,0,T$174+1)-INDEX($F$4:$N$4,0,T$174))+S183)))</f>
        <v>40.321492806641579</v>
      </c>
      <c r="U183" s="3" cm="1">
        <f t="array" ref="U183">IF(U$174=-1,V183,IF(U$174=99,T183,IF(U$174=0,INDEX($F56:$N56,0,U$172),(INDEX($F56:$N56,0,U$174+1)-INDEX($F56:$N56,0,U$174))/(INDEX($F$4:$N$4,0,U$174+1)-INDEX($F$4:$N$4,0,U$174))+T183)))</f>
        <v>38.822974157550945</v>
      </c>
      <c r="V183" s="3" cm="1">
        <f t="array" ref="V183">IF(V$174=-1,W183,IF(V$174=99,U183,IF(V$174=0,INDEX($F56:$N56,0,V$172),(INDEX($F56:$N56,0,V$174+1)-INDEX($F56:$N56,0,V$174))/(INDEX($F$4:$N$4,0,V$174+1)-INDEX($F$4:$N$4,0,V$174))+U183)))</f>
        <v>39.21466185843564</v>
      </c>
      <c r="W183" s="3" cm="1">
        <f t="array" ref="W183">IF(W$174=-1,Z183,IF(W$174=99,V183,IF(W$174=0,INDEX($F56:$N56,0,W$172),(INDEX($F56:$N56,0,W$174+1)-INDEX($F56:$N56,0,W$174))/(INDEX($F$4:$N$4,0,W$174+1)-INDEX($F$4:$N$4,0,W$174))+V183)))</f>
        <v>39.509464738871259</v>
      </c>
      <c r="X183" s="3" cm="1">
        <f t="array" ref="X183">IF(X$174=-1,Y183,IF(X$174=99,U183,IF(X$174=0,INDEX($F56:$N56,0,X$172),(INDEX($F56:$N56,0,X$174+1)-INDEX($F56:$N56,0,X$174))/(INDEX($F$4:$N$4,0,X$174+1)-INDEX($F$4:$N$4,0,X$174))+U183)))</f>
        <v>39.21466185843564</v>
      </c>
      <c r="Y183" s="3" cm="1">
        <f t="array" ref="Y183">IF(Y$174=-1,Z183,IF(Y$174=99,V183,IF(Y$174=0,INDEX($F56:$N56,0,Y$172),(INDEX($F56:$N56,0,Y$174+1)-INDEX($F56:$N56,0,Y$174))/(INDEX($F$4:$N$4,0,Y$174+1)-INDEX($F$4:$N$4,0,Y$174))+V183)))</f>
        <v>39.509464738871259</v>
      </c>
      <c r="Z183" s="3" cm="1">
        <f t="array" ref="Z183">IF(Z$174=-1,AA183,IF(Z$174=99,W183,IF(Z$174=0,INDEX($F56:$N56,0,Z$172),(INDEX($F56:$N56,0,Z$174+1)-INDEX($F56:$N56,0,Z$174))/(INDEX($F$4:$N$4,0,Z$174+1)-INDEX($F$4:$N$4,0,Z$174))+W183)))</f>
        <v>39.804267619306877</v>
      </c>
      <c r="AA183" s="3" cm="1">
        <f t="array" ref="AA183">IF(AA$174=-1,AB183,IF(AA$174=99,Z183,IF(AA$174=0,INDEX($F56:$N56,0,AA$172),(INDEX($F56:$N56,0,AA$174+1)-INDEX($F56:$N56,0,AA$174))/(INDEX($F$4:$N$4,0,AA$174+1)-INDEX($F$4:$N$4,0,AA$174))+Z183)))</f>
        <v>40.099070499742496</v>
      </c>
      <c r="AB183" s="3" cm="1">
        <f t="array" ref="AB183">IF(AB$174=-1,AC183,IF(AB$174=99,AA183,IF(AB$174=0,INDEX($F56:$N56,0,AB$172),(INDEX($F56:$N56,0,AB$174+1)-INDEX($F56:$N56,0,AB$174))/(INDEX($F$4:$N$4,0,AB$174+1)-INDEX($F$4:$N$4,0,AB$174))+AA183)))</f>
        <v>40.393873380178114</v>
      </c>
      <c r="AC183" s="3" cm="1">
        <f t="array" ref="AC183">IF(AC$174=-1,AD183,IF(AC$174=99,AB183,IF(AC$174=0,INDEX($F56:$N56,0,AC$172),(INDEX($F56:$N56,0,AC$174+1)-INDEX($F56:$N56,0,AC$174))/(INDEX($F$4:$N$4,0,AC$174+1)-INDEX($F$4:$N$4,0,AC$174))+AB183)))</f>
        <v>40.688676260613732</v>
      </c>
      <c r="AD183" s="3" cm="1">
        <f t="array" ref="AD183">IF(AD$174=-1,AE183,IF(AD$174=99,AC183,IF(AD$174=0,INDEX($F56:$N56,0,AD$172),(INDEX($F56:$N56,0,AD$174+1)-INDEX($F56:$N56,0,AD$174))/(INDEX($F$4:$N$4,0,AD$174+1)-INDEX($F$4:$N$4,0,AD$174))+AC183)))</f>
        <v>40.983479141049351</v>
      </c>
      <c r="AE183" s="3" cm="1">
        <f t="array" ref="AE183">IF(AE$174=-1,AF183,IF(AE$174=99,AD183,IF(AE$174=0,INDEX($F56:$N56,0,AE$172),(INDEX($F56:$N56,0,AE$174+1)-INDEX($F56:$N56,0,AE$174))/(INDEX($F$4:$N$4,0,AE$174+1)-INDEX($F$4:$N$4,0,AE$174))+AD183)))</f>
        <v>41.278282021484969</v>
      </c>
      <c r="AF183" s="3" cm="1">
        <f t="array" ref="AF183">IF(AF$174=-1,AG183,IF(AF$174=99,AE183,IF(AF$174=0,INDEX($F56:$N56,0,AF$172),(INDEX($F56:$N56,0,AF$174+1)-INDEX($F56:$N56,0,AF$174))/(INDEX($F$4:$N$4,0,AF$174+1)-INDEX($F$4:$N$4,0,AF$174))+AE183)))</f>
        <v>41.573084901920588</v>
      </c>
      <c r="AG183" s="3" cm="1">
        <f t="array" ref="AG183">IF(AG$174=-1,AJ183,IF(AG$174=99,AF183,IF(AG$174=0,INDEX($F56:$N56,0,AG$172),(INDEX($F56:$N56,0,AG$174+1)-INDEX($F56:$N56,0,AG$174))/(INDEX($F$4:$N$4,0,AG$174+1)-INDEX($F$4:$N$4,0,AG$174))+AF183)))</f>
        <v>41.867887782356199</v>
      </c>
      <c r="AH183" s="3" cm="1">
        <f t="array" ref="AH183">IF(AH$174=-1,AI183,IF(AH$174=99,AE183,IF(AH$174=0,INDEX($F56:$N56,0,AH$172),(INDEX($F56:$N56,0,AH$174+1)-INDEX($F56:$N56,0,AH$174))/(INDEX($F$4:$N$4,0,AH$174+1)-INDEX($F$4:$N$4,0,AH$174))+AE183)))</f>
        <v>41.573084901920588</v>
      </c>
      <c r="AI183" s="3" cm="1">
        <f t="array" ref="AI183">IF(AI$174=-1,AJ183,IF(AI$174=99,AF183,IF(AI$174=0,INDEX($F56:$N56,0,AI$172),(INDEX($F56:$N56,0,AI$174+1)-INDEX($F56:$N56,0,AI$174))/(INDEX($F$4:$N$4,0,AI$174+1)-INDEX($F$4:$N$4,0,AI$174))+AF183)))</f>
        <v>41.867887782356199</v>
      </c>
      <c r="AJ183" s="3" cm="1">
        <f t="array" ref="AJ183">IF(AJ$174=-1,AK183,IF(AJ$174=99,AG183,IF(AJ$174=0,INDEX($F56:$N56,0,AJ$172),(INDEX($F56:$N56,0,AJ$174+1)-INDEX($F56:$N56,0,AJ$174))/(INDEX($F$4:$N$4,0,AJ$174+1)-INDEX($F$4:$N$4,0,AJ$174))+AG183)))</f>
        <v>43.012972394575314</v>
      </c>
      <c r="AK183" s="3" cm="1">
        <f t="array" ref="AK183">IF(AK$174=-1,AL183,IF(AK$174=99,AJ183,IF(AK$174=0,INDEX($F56:$N56,0,AK$172),(INDEX($F56:$N56,0,AK$174+1)-INDEX($F56:$N56,0,AK$174))/(INDEX($F$4:$N$4,0,AK$174+1)-INDEX($F$4:$N$4,0,AK$174))+AJ183)))</f>
        <v>44.158057006794429</v>
      </c>
      <c r="AL183" s="3" cm="1">
        <f t="array" ref="AL183">IF(AL$174=-1,AM183,IF(AL$174=99,AK183,IF(AL$174=0,INDEX($F56:$N56,0,AL$172),(INDEX($F56:$N56,0,AL$174+1)-INDEX($F56:$N56,0,AL$174))/(INDEX($F$4:$N$4,0,AL$174+1)-INDEX($F$4:$N$4,0,AL$174))+AK183)))</f>
        <v>45.303141619013545</v>
      </c>
      <c r="AM183" s="3" cm="1">
        <f t="array" ref="AM183">IF(AM$174=-1,AN183,IF(AM$174=99,AL183,IF(AM$174=0,INDEX($F56:$N56,0,AM$172),(INDEX($F56:$N56,0,AM$174+1)-INDEX($F56:$N56,0,AM$174))/(INDEX($F$4:$N$4,0,AM$174+1)-INDEX($F$4:$N$4,0,AM$174))+AL183)))</f>
        <v>46.44822623123266</v>
      </c>
      <c r="AN183" s="3" cm="1">
        <f t="array" ref="AN183">IF(AN$174=-1,AO183,IF(AN$174=99,AM183,IF(AN$174=0,INDEX($F56:$N56,0,AN$172),(INDEX($F56:$N56,0,AN$174+1)-INDEX($F56:$N56,0,AN$174))/(INDEX($F$4:$N$4,0,AN$174+1)-INDEX($F$4:$N$4,0,AN$174))+AM183)))</f>
        <v>47.593310843451775</v>
      </c>
      <c r="AO183" s="3" cm="1">
        <f t="array" ref="AO183">IF(AO$174=-1,AP183,IF(AO$174=99,AN183,IF(AO$174=0,INDEX($F56:$N56,0,AO$172),(INDEX($F56:$N56,0,AO$174+1)-INDEX($F56:$N56,0,AO$174))/(INDEX($F$4:$N$4,0,AO$174+1)-INDEX($F$4:$N$4,0,AO$174))+AN183)))</f>
        <v>48.73839545567089</v>
      </c>
      <c r="AP183" s="3" cm="1">
        <f t="array" ref="AP183">IF(AP$174=-1,AQ183,IF(AP$174=99,AO183,IF(AP$174=0,INDEX($F56:$N56,0,AP$172),(INDEX($F56:$N56,0,AP$174+1)-INDEX($F56:$N56,0,AP$174))/(INDEX($F$4:$N$4,0,AP$174+1)-INDEX($F$4:$N$4,0,AP$174))+AO183)))</f>
        <v>49.883480067890005</v>
      </c>
      <c r="AQ183" s="3" cm="1">
        <f t="array" ref="AQ183">IF(AQ$174=-1,AR183,IF(AQ$174=99,AP183,IF(AQ$174=0,INDEX($F56:$N56,0,AQ$172),(INDEX($F56:$N56,0,AQ$174+1)-INDEX($F56:$N56,0,AQ$174))/(INDEX($F$4:$N$4,0,AQ$174+1)-INDEX($F$4:$N$4,0,AQ$174))+AP183)))</f>
        <v>51.02856468010912</v>
      </c>
      <c r="AR183" s="3" cm="1">
        <f t="array" ref="AR183">IF(AR$174=-1,AS183,IF(AR$174=99,AQ183,IF(AR$174=0,INDEX($F56:$N56,0,AR$172),(INDEX($F56:$N56,0,AR$174+1)-INDEX($F56:$N56,0,AR$174))/(INDEX($F$4:$N$4,0,AR$174+1)-INDEX($F$4:$N$4,0,AR$174))+AQ183)))</f>
        <v>52.173649292328236</v>
      </c>
      <c r="AS183" s="3" cm="1">
        <f t="array" ref="AS183">IF(AS$174=-1,AT183,IF(AS$174=99,AR183,IF(AS$174=0,INDEX($F56:$N56,0,AS$172),(INDEX($F56:$N56,0,AS$174+1)-INDEX($F56:$N56,0,AS$174))/(INDEX($F$4:$N$4,0,AS$174+1)-INDEX($F$4:$N$4,0,AS$174))+AR183)))</f>
        <v>53.318733904547322</v>
      </c>
      <c r="AT183" s="3" cm="1">
        <f t="array" ref="AT183">IF(AT$174=-1,AU183,IF(AT$174=99,AS183,IF(AT$174=0,INDEX($F56:$N56,0,AT$172),(INDEX($F56:$N56,0,AT$174+1)-INDEX($F56:$N56,0,AT$174))/(INDEX($F$4:$N$4,0,AT$174+1)-INDEX($F$4:$N$4,0,AT$174))+AS183)))</f>
        <v>54.756693190918632</v>
      </c>
      <c r="AU183" s="3" cm="1">
        <f t="array" ref="AU183">IF(AU$174=-1,AV183,IF(AU$174=99,AT183,IF(AU$174=0,INDEX($F56:$N56,0,AU$172),(INDEX($F56:$N56,0,AU$174+1)-INDEX($F56:$N56,0,AU$174))/(INDEX($F$4:$N$4,0,AU$174+1)-INDEX($F$4:$N$4,0,AU$174))+AT183)))</f>
        <v>67.698326768260401</v>
      </c>
      <c r="AV183" s="3" cm="1">
        <f t="array" ref="AV183">IF(AV$174=-1,AW183,IF(AV$174=99,AU183,IF(AV$174=0,INDEX($F56:$N56,0,AV$172),(INDEX($F56:$N56,0,AV$174+1)-INDEX($F56:$N56,0,AV$174))/(INDEX($F$4:$N$4,0,AV$174+1)-INDEX($F$4:$N$4,0,AV$174))+AU183)))</f>
        <v>79.999290416113141</v>
      </c>
      <c r="AW183" s="3" cm="1">
        <f t="array" ref="AW183">IF(AW$174=-1,AX183,IF(AW$174=99,AV183,IF(AW$174=0,INDEX($F56:$N56,0,AW$172),(INDEX($F56:$N56,0,AW$174+1)-INDEX($F56:$N56,0,AW$174))/(INDEX($F$4:$N$4,0,AW$174+1)-INDEX($F$4:$N$4,0,AW$174))+AV183)))</f>
        <v>81.643240555652724</v>
      </c>
      <c r="BF183" s="3"/>
      <c r="BG183" s="3"/>
      <c r="BH183" s="3"/>
      <c r="BI183" s="3"/>
      <c r="BJ183" s="3"/>
      <c r="BK183" s="3"/>
    </row>
    <row r="184" spans="1:63">
      <c r="A184" t="s">
        <v>16</v>
      </c>
      <c r="B184" s="15" t="str">
        <f t="shared" si="359"/>
        <v/>
      </c>
      <c r="C184" s="16" t="str">
        <f t="shared" si="360"/>
        <v/>
      </c>
      <c r="D184" s="43"/>
      <c r="E184" s="16" t="str">
        <f t="shared" si="361"/>
        <v/>
      </c>
      <c r="F184" s="16" t="str">
        <f t="shared" si="361"/>
        <v/>
      </c>
      <c r="G184" s="16" t="str">
        <f t="shared" si="361"/>
        <v/>
      </c>
      <c r="H184" s="16"/>
      <c r="I184" s="16" t="str">
        <f t="shared" si="361"/>
        <v/>
      </c>
      <c r="J184" s="114" t="str">
        <f t="shared" si="366"/>
        <v>TFHCV8</v>
      </c>
      <c r="K184" s="3" t="e">
        <f>#REF!</f>
        <v>#REF!</v>
      </c>
      <c r="L184" s="3" t="e" cm="1">
        <f t="array" ref="L184">IF(L$174=-1,M184,IF(L$174=99,K184,IF(L$174=0,INDEX($F57:$N57,0,L$172),(INDEX($F57:$N57,0,L$174+1)-INDEX($F57:$N57,0,L$174))/(INDEX($F$4:$N$4,0,L$174+1)-INDEX($F$4:$N$4,0,L$174))+K184)))</f>
        <v>#REF!</v>
      </c>
      <c r="M184" s="3" t="e" cm="1">
        <f t="array" ref="M184">IF(M$174=-1,P184,IF(M$174=99,L184,IF(M$174=0,INDEX($F57:$N57,0,M$172),(INDEX($F57:$N57,0,M$174+1)-INDEX($F57:$N57,0,M$174))/(INDEX($F$4:$N$4,0,M$174+1)-INDEX($F$4:$N$4,0,M$174))+L184)))</f>
        <v>#REF!</v>
      </c>
      <c r="N184" s="3" t="e" cm="1">
        <f t="array" ref="N184">IF(N$174=-1,O184,IF(N$174=99,K184,IF(N$174=0,INDEX($F57:$N57,0,N$172),(INDEX($F57:$N57,0,N$174+1)-INDEX($F57:$N57,0,N$174))/(INDEX($F$4:$N$4,0,N$174+1)-INDEX($F$4:$N$4,0,N$174))+K184)))</f>
        <v>#REF!</v>
      </c>
      <c r="O184" s="3" t="e" cm="1">
        <f t="array" ref="O184">IF(O$174=-1,P184,IF(O$174=99,L184,IF(O$174=0,INDEX($F57:$N57,0,O$172),(INDEX($F57:$N57,0,O$174+1)-INDEX($F57:$N57,0,O$174))/(INDEX($F$4:$N$4,0,O$174+1)-INDEX($F$4:$N$4,0,O$174))+L184)))</f>
        <v>#REF!</v>
      </c>
      <c r="P184" s="3" t="e" cm="1">
        <f t="array" ref="P184">IF(P$174=-1,Q184,IF(P$174=99,M184,IF(P$174=0,INDEX($F57:$N57,0,P$172),(INDEX($F57:$N57,0,P$174+1)-INDEX($F57:$N57,0,P$174))/(INDEX($F$4:$N$4,0,P$174+1)-INDEX($F$4:$N$4,0,P$174))+M184)))</f>
        <v>#REF!</v>
      </c>
      <c r="Q184" s="3" t="e" cm="1">
        <f t="array" ref="Q184">IF(Q$174=-1,R184,IF(Q$174=99,P184,IF(Q$174=0,INDEX($F57:$N57,0,Q$172),(INDEX($F57:$N57,0,Q$174+1)-INDEX($F57:$N57,0,Q$174))/(INDEX($F$4:$N$4,0,Q$174+1)-INDEX($F$4:$N$4,0,Q$174))+P184)))</f>
        <v>#REF!</v>
      </c>
      <c r="R184" s="3" cm="1">
        <f t="array" ref="R184">IF(R$174=-1,S184,IF(R$174=99,Q184,IF(R$174=0,INDEX($F57:$N57,0,R$172),(INDEX($F57:$N57,0,R$174+1)-INDEX($F57:$N57,0,R$174))/(INDEX($F$4:$N$4,0,R$174+1)-INDEX($F$4:$N$4,0,R$174))+Q184)))</f>
        <v>2.2490953086010257</v>
      </c>
      <c r="S184" s="3" cm="1">
        <f t="array" ref="S184">IF(S$174=-1,T184,IF(S$174=99,R184,IF(S$174=0,INDEX($F57:$N57,0,S$172),(INDEX($F57:$N57,0,S$174+1)-INDEX($F57:$N57,0,S$174))/(INDEX($F$4:$N$4,0,S$174+1)-INDEX($F$4:$N$4,0,S$174))+R184)))</f>
        <v>2.2630931427940508</v>
      </c>
      <c r="T184" s="3" cm="1">
        <f t="array" ref="T184">IF(T$174=-1,U184,IF(T$174=99,S184,IF(T$174=0,INDEX($F57:$N57,0,T$172),(INDEX($F57:$N57,0,T$174+1)-INDEX($F57:$N57,0,T$174))/(INDEX($F$4:$N$4,0,T$174+1)-INDEX($F$4:$N$4,0,T$174))+S184)))</f>
        <v>2.2770909769870764</v>
      </c>
      <c r="U184" s="3" cm="1">
        <f t="array" ref="U184">IF(U$174=-1,V184,IF(U$174=99,T184,IF(U$174=0,INDEX($F57:$N57,0,U$172),(INDEX($F57:$N57,0,U$174+1)-INDEX($F57:$N57,0,U$174))/(INDEX($F$4:$N$4,0,U$174+1)-INDEX($F$4:$N$4,0,U$174))+T184)))</f>
        <v>2.1924645641939198</v>
      </c>
      <c r="V184" s="3" cm="1">
        <f t="array" ref="V184">IF(V$174=-1,W184,IF(V$174=99,U184,IF(V$174=0,INDEX($F57:$N57,0,V$172),(INDEX($F57:$N57,0,V$174+1)-INDEX($F57:$N57,0,V$174))/(INDEX($F$4:$N$4,0,V$174+1)-INDEX($F$4:$N$4,0,V$174))+U184)))</f>
        <v>2.2145844924852267</v>
      </c>
      <c r="W184" s="3" cm="1">
        <f t="array" ref="W184">IF(W$174=-1,Z184,IF(W$174=99,V184,IF(W$174=0,INDEX($F57:$N57,0,W$172),(INDEX($F57:$N57,0,W$174+1)-INDEX($F57:$N57,0,W$174))/(INDEX($F$4:$N$4,0,W$174+1)-INDEX($F$4:$N$4,0,W$174))+V184)))</f>
        <v>2.2312330075153839</v>
      </c>
      <c r="X184" s="3" cm="1">
        <f t="array" ref="X184">IF(X$174=-1,Y184,IF(X$174=99,U184,IF(X$174=0,INDEX($F57:$N57,0,X$172),(INDEX($F57:$N57,0,X$174+1)-INDEX($F57:$N57,0,X$174))/(INDEX($F$4:$N$4,0,X$174+1)-INDEX($F$4:$N$4,0,X$174))+U184)))</f>
        <v>2.2145844924852267</v>
      </c>
      <c r="Y184" s="3" cm="1">
        <f t="array" ref="Y184">IF(Y$174=-1,Z184,IF(Y$174=99,V184,IF(Y$174=0,INDEX($F57:$N57,0,Y$172),(INDEX($F57:$N57,0,Y$174+1)-INDEX($F57:$N57,0,Y$174))/(INDEX($F$4:$N$4,0,Y$174+1)-INDEX($F$4:$N$4,0,Y$174))+V184)))</f>
        <v>2.2312330075153839</v>
      </c>
      <c r="Z184" s="3" cm="1">
        <f t="array" ref="Z184">IF(Z$174=-1,AA184,IF(Z$174=99,W184,IF(Z$174=0,INDEX($F57:$N57,0,Z$172),(INDEX($F57:$N57,0,Z$174+1)-INDEX($F57:$N57,0,Z$174))/(INDEX($F$4:$N$4,0,Z$174+1)-INDEX($F$4:$N$4,0,Z$174))+W184)))</f>
        <v>2.2478815225455411</v>
      </c>
      <c r="AA184" s="3" cm="1">
        <f t="array" ref="AA184">IF(AA$174=-1,AB184,IF(AA$174=99,Z184,IF(AA$174=0,INDEX($F57:$N57,0,AA$172),(INDEX($F57:$N57,0,AA$174+1)-INDEX($F57:$N57,0,AA$174))/(INDEX($F$4:$N$4,0,AA$174+1)-INDEX($F$4:$N$4,0,AA$174))+Z184)))</f>
        <v>2.2645300375756983</v>
      </c>
      <c r="AB184" s="3" cm="1">
        <f t="array" ref="AB184">IF(AB$174=-1,AC184,IF(AB$174=99,AA184,IF(AB$174=0,INDEX($F57:$N57,0,AB$172),(INDEX($F57:$N57,0,AB$174+1)-INDEX($F57:$N57,0,AB$174))/(INDEX($F$4:$N$4,0,AB$174+1)-INDEX($F$4:$N$4,0,AB$174))+AA184)))</f>
        <v>2.2811785526058554</v>
      </c>
      <c r="AC184" s="3" cm="1">
        <f t="array" ref="AC184">IF(AC$174=-1,AD184,IF(AC$174=99,AB184,IF(AC$174=0,INDEX($F57:$N57,0,AC$172),(INDEX($F57:$N57,0,AC$174+1)-INDEX($F57:$N57,0,AC$174))/(INDEX($F$4:$N$4,0,AC$174+1)-INDEX($F$4:$N$4,0,AC$174))+AB184)))</f>
        <v>2.2978270676360126</v>
      </c>
      <c r="AD184" s="3" cm="1">
        <f t="array" ref="AD184">IF(AD$174=-1,AE184,IF(AD$174=99,AC184,IF(AD$174=0,INDEX($F57:$N57,0,AD$172),(INDEX($F57:$N57,0,AD$174+1)-INDEX($F57:$N57,0,AD$174))/(INDEX($F$4:$N$4,0,AD$174+1)-INDEX($F$4:$N$4,0,AD$174))+AC184)))</f>
        <v>2.3144755826661698</v>
      </c>
      <c r="AE184" s="3" cm="1">
        <f t="array" ref="AE184">IF(AE$174=-1,AF184,IF(AE$174=99,AD184,IF(AE$174=0,INDEX($F57:$N57,0,AE$172),(INDEX($F57:$N57,0,AE$174+1)-INDEX($F57:$N57,0,AE$174))/(INDEX($F$4:$N$4,0,AE$174+1)-INDEX($F$4:$N$4,0,AE$174))+AD184)))</f>
        <v>2.331124097696327</v>
      </c>
      <c r="AF184" s="3" cm="1">
        <f t="array" ref="AF184">IF(AF$174=-1,AG184,IF(AF$174=99,AE184,IF(AF$174=0,INDEX($F57:$N57,0,AF$172),(INDEX($F57:$N57,0,AF$174+1)-INDEX($F57:$N57,0,AF$174))/(INDEX($F$4:$N$4,0,AF$174+1)-INDEX($F$4:$N$4,0,AF$174))+AE184)))</f>
        <v>2.3477726127264842</v>
      </c>
      <c r="AG184" s="3" cm="1">
        <f t="array" ref="AG184">IF(AG$174=-1,AJ184,IF(AG$174=99,AF184,IF(AG$174=0,INDEX($F57:$N57,0,AG$172),(INDEX($F57:$N57,0,AG$174+1)-INDEX($F57:$N57,0,AG$174))/(INDEX($F$4:$N$4,0,AG$174+1)-INDEX($F$4:$N$4,0,AG$174))+AF184)))</f>
        <v>2.3644211277566409</v>
      </c>
      <c r="AH184" s="3" cm="1">
        <f t="array" ref="AH184">IF(AH$174=-1,AI184,IF(AH$174=99,AE184,IF(AH$174=0,INDEX($F57:$N57,0,AH$172),(INDEX($F57:$N57,0,AH$174+1)-INDEX($F57:$N57,0,AH$174))/(INDEX($F$4:$N$4,0,AH$174+1)-INDEX($F$4:$N$4,0,AH$174))+AE184)))</f>
        <v>2.3477726127264842</v>
      </c>
      <c r="AI184" s="3" cm="1">
        <f t="array" ref="AI184">IF(AI$174=-1,AJ184,IF(AI$174=99,AF184,IF(AI$174=0,INDEX($F57:$N57,0,AI$172),(INDEX($F57:$N57,0,AI$174+1)-INDEX($F57:$N57,0,AI$174))/(INDEX($F$4:$N$4,0,AI$174+1)-INDEX($F$4:$N$4,0,AI$174))+AF184)))</f>
        <v>2.3644211277566409</v>
      </c>
      <c r="AJ184" s="3" cm="1">
        <f t="array" ref="AJ184">IF(AJ$174=-1,AK184,IF(AJ$174=99,AG184,IF(AJ$174=0,INDEX($F57:$N57,0,AJ$172),(INDEX($F57:$N57,0,AJ$174+1)-INDEX($F57:$N57,0,AJ$174))/(INDEX($F$4:$N$4,0,AJ$174+1)-INDEX($F$4:$N$4,0,AJ$174))+AG184)))</f>
        <v>2.4290879259546827</v>
      </c>
      <c r="AK184" s="3" cm="1">
        <f t="array" ref="AK184">IF(AK$174=-1,AL184,IF(AK$174=99,AJ184,IF(AK$174=0,INDEX($F57:$N57,0,AK$172),(INDEX($F57:$N57,0,AK$174+1)-INDEX($F57:$N57,0,AK$174))/(INDEX($F$4:$N$4,0,AK$174+1)-INDEX($F$4:$N$4,0,AK$174))+AJ184)))</f>
        <v>2.4937547241527245</v>
      </c>
      <c r="AL184" s="3" cm="1">
        <f t="array" ref="AL184">IF(AL$174=-1,AM184,IF(AL$174=99,AK184,IF(AL$174=0,INDEX($F57:$N57,0,AL$172),(INDEX($F57:$N57,0,AL$174+1)-INDEX($F57:$N57,0,AL$174))/(INDEX($F$4:$N$4,0,AL$174+1)-INDEX($F$4:$N$4,0,AL$174))+AK184)))</f>
        <v>2.5584215223507663</v>
      </c>
      <c r="AM184" s="3" cm="1">
        <f t="array" ref="AM184">IF(AM$174=-1,AN184,IF(AM$174=99,AL184,IF(AM$174=0,INDEX($F57:$N57,0,AM$172),(INDEX($F57:$N57,0,AM$174+1)-INDEX($F57:$N57,0,AM$174))/(INDEX($F$4:$N$4,0,AM$174+1)-INDEX($F$4:$N$4,0,AM$174))+AL184)))</f>
        <v>2.623088320548808</v>
      </c>
      <c r="AN184" s="3" cm="1">
        <f t="array" ref="AN184">IF(AN$174=-1,AO184,IF(AN$174=99,AM184,IF(AN$174=0,INDEX($F57:$N57,0,AN$172),(INDEX($F57:$N57,0,AN$174+1)-INDEX($F57:$N57,0,AN$174))/(INDEX($F$4:$N$4,0,AN$174+1)-INDEX($F$4:$N$4,0,AN$174))+AM184)))</f>
        <v>2.6877551187468498</v>
      </c>
      <c r="AO184" s="3" cm="1">
        <f t="array" ref="AO184">IF(AO$174=-1,AP184,IF(AO$174=99,AN184,IF(AO$174=0,INDEX($F57:$N57,0,AO$172),(INDEX($F57:$N57,0,AO$174+1)-INDEX($F57:$N57,0,AO$174))/(INDEX($F$4:$N$4,0,AO$174+1)-INDEX($F$4:$N$4,0,AO$174))+AN184)))</f>
        <v>2.7524219169448916</v>
      </c>
      <c r="AP184" s="3" cm="1">
        <f t="array" ref="AP184">IF(AP$174=-1,AQ184,IF(AP$174=99,AO184,IF(AP$174=0,INDEX($F57:$N57,0,AP$172),(INDEX($F57:$N57,0,AP$174+1)-INDEX($F57:$N57,0,AP$174))/(INDEX($F$4:$N$4,0,AP$174+1)-INDEX($F$4:$N$4,0,AP$174))+AO184)))</f>
        <v>2.8170887151429334</v>
      </c>
      <c r="AQ184" s="3" cm="1">
        <f t="array" ref="AQ184">IF(AQ$174=-1,AR184,IF(AQ$174=99,AP184,IF(AQ$174=0,INDEX($F57:$N57,0,AQ$172),(INDEX($F57:$N57,0,AQ$174+1)-INDEX($F57:$N57,0,AQ$174))/(INDEX($F$4:$N$4,0,AQ$174+1)-INDEX($F$4:$N$4,0,AQ$174))+AP184)))</f>
        <v>2.8817555133409751</v>
      </c>
      <c r="AR184" s="3" cm="1">
        <f t="array" ref="AR184">IF(AR$174=-1,AS184,IF(AR$174=99,AQ184,IF(AR$174=0,INDEX($F57:$N57,0,AR$172),(INDEX($F57:$N57,0,AR$174+1)-INDEX($F57:$N57,0,AR$174))/(INDEX($F$4:$N$4,0,AR$174+1)-INDEX($F$4:$N$4,0,AR$174))+AQ184)))</f>
        <v>2.9464223115390169</v>
      </c>
      <c r="AS184" s="3" cm="1">
        <f t="array" ref="AS184">IF(AS$174=-1,AT184,IF(AS$174=99,AR184,IF(AS$174=0,INDEX($F57:$N57,0,AS$172),(INDEX($F57:$N57,0,AS$174+1)-INDEX($F57:$N57,0,AS$174))/(INDEX($F$4:$N$4,0,AS$174+1)-INDEX($F$4:$N$4,0,AS$174))+AR184)))</f>
        <v>3.01108910973706</v>
      </c>
      <c r="AT184" s="3" cm="1">
        <f t="array" ref="AT184">IF(AT$174=-1,AU184,IF(AT$174=99,AS184,IF(AT$174=0,INDEX($F57:$N57,0,AT$172),(INDEX($F57:$N57,0,AT$174+1)-INDEX($F57:$N57,0,AT$174))/(INDEX($F$4:$N$4,0,AT$174+1)-INDEX($F$4:$N$4,0,AT$174))+AS184)))</f>
        <v>3.0922955306395008</v>
      </c>
      <c r="AU184" s="3" cm="1">
        <f t="array" ref="AU184">IF(AU$174=-1,AV184,IF(AU$174=99,AT184,IF(AU$174=0,INDEX($F57:$N57,0,AU$172),(INDEX($F57:$N57,0,AU$174+1)-INDEX($F57:$N57,0,AU$174))/(INDEX($F$4:$N$4,0,AU$174+1)-INDEX($F$4:$N$4,0,AU$174))+AT184)))</f>
        <v>3.8231533187614692</v>
      </c>
      <c r="AV184" s="3" cm="1">
        <f t="array" ref="AV184">IF(AV$174=-1,AW184,IF(AV$174=99,AU184,IF(AV$174=0,INDEX($F57:$N57,0,AV$172),(INDEX($F57:$N57,0,AV$174+1)-INDEX($F57:$N57,0,AV$174))/(INDEX($F$4:$N$4,0,AV$174+1)-INDEX($F$4:$N$4,0,AV$174))+AU184)))</f>
        <v>4.5178303106350866</v>
      </c>
      <c r="AW184" s="3" cm="1">
        <f t="array" ref="AW184">IF(AW$174=-1,AX184,IF(AW$174=99,AV184,IF(AW$174=0,INDEX($F57:$N57,0,AW$172),(INDEX($F57:$N57,0,AW$174+1)-INDEX($F57:$N57,0,AW$174))/(INDEX($F$4:$N$4,0,AW$174+1)-INDEX($F$4:$N$4,0,AW$174))+AV184)))</f>
        <v>4.610669731221857</v>
      </c>
      <c r="BF184" s="3"/>
      <c r="BG184" s="3"/>
      <c r="BH184" s="3"/>
      <c r="BI184" s="3"/>
      <c r="BJ184" s="3"/>
      <c r="BK184" s="3"/>
    </row>
    <row r="185" spans="1:63">
      <c r="A185" t="s">
        <v>16</v>
      </c>
      <c r="B185" s="15"/>
      <c r="C185" s="16"/>
      <c r="D185" s="43"/>
      <c r="E185" s="16"/>
      <c r="F185" s="16"/>
      <c r="G185" s="16"/>
      <c r="H185" s="16"/>
      <c r="I185" s="16"/>
      <c r="J185" s="114" t="str">
        <f t="shared" si="366"/>
        <v>TFHCV9</v>
      </c>
      <c r="K185" s="3" t="e">
        <f>#REF!</f>
        <v>#REF!</v>
      </c>
      <c r="L185" s="3" t="e" cm="1">
        <f t="array" ref="L185">IF(L$174=-1,M185,IF(L$174=99,K185,IF(L$174=0,INDEX($F58:$N58,0,L$172),(INDEX($F58:$N58,0,L$174+1)-INDEX($F58:$N58,0,L$174))/(INDEX($F$4:$N$4,0,L$174+1)-INDEX($F$4:$N$4,0,L$174))+K185)))</f>
        <v>#REF!</v>
      </c>
      <c r="M185" s="3" t="e" cm="1">
        <f t="array" ref="M185">IF(M$174=-1,P185,IF(M$174=99,L185,IF(M$174=0,INDEX($F58:$N58,0,M$172),(INDEX($F58:$N58,0,M$174+1)-INDEX($F58:$N58,0,M$174))/(INDEX($F$4:$N$4,0,M$174+1)-INDEX($F$4:$N$4,0,M$174))+L185)))</f>
        <v>#REF!</v>
      </c>
      <c r="N185" s="3" t="e" cm="1">
        <f t="array" ref="N185">IF(N$174=-1,O185,IF(N$174=99,K185,IF(N$174=0,INDEX($F58:$N58,0,N$172),(INDEX($F58:$N58,0,N$174+1)-INDEX($F58:$N58,0,N$174))/(INDEX($F$4:$N$4,0,N$174+1)-INDEX($F$4:$N$4,0,N$174))+K185)))</f>
        <v>#REF!</v>
      </c>
      <c r="O185" s="3" t="e" cm="1">
        <f t="array" ref="O185">IF(O$174=-1,P185,IF(O$174=99,L185,IF(O$174=0,INDEX($F58:$N58,0,O$172),(INDEX($F58:$N58,0,O$174+1)-INDEX($F58:$N58,0,O$174))/(INDEX($F$4:$N$4,0,O$174+1)-INDEX($F$4:$N$4,0,O$174))+L185)))</f>
        <v>#REF!</v>
      </c>
      <c r="P185" s="3" t="e" cm="1">
        <f t="array" ref="P185">IF(P$174=-1,Q185,IF(P$174=99,M185,IF(P$174=0,INDEX($F58:$N58,0,P$172),(INDEX($F58:$N58,0,P$174+1)-INDEX($F58:$N58,0,P$174))/(INDEX($F$4:$N$4,0,P$174+1)-INDEX($F$4:$N$4,0,P$174))+M185)))</f>
        <v>#REF!</v>
      </c>
      <c r="Q185" s="3" t="e" cm="1">
        <f t="array" ref="Q185">IF(Q$174=-1,R185,IF(Q$174=99,P185,IF(Q$174=0,INDEX($F58:$N58,0,Q$172),(INDEX($F58:$N58,0,Q$174+1)-INDEX($F58:$N58,0,Q$174))/(INDEX($F$4:$N$4,0,Q$174+1)-INDEX($F$4:$N$4,0,Q$174))+P185)))</f>
        <v>#REF!</v>
      </c>
      <c r="R185" s="3" cm="1">
        <f t="array" ref="R185">IF(R$174=-1,S185,IF(R$174=99,Q185,IF(R$174=0,INDEX($F58:$N58,0,R$172),(INDEX($F58:$N58,0,R$174+1)-INDEX($F58:$N58,0,R$174))/(INDEX($F$4:$N$4,0,R$174+1)-INDEX($F$4:$N$4,0,R$174))+Q185)))</f>
        <v>0.64433067785501452</v>
      </c>
      <c r="S185" s="3" cm="1">
        <f t="array" ref="S185">IF(S$174=-1,T185,IF(S$174=99,R185,IF(S$174=0,INDEX($F58:$N58,0,S$172),(INDEX($F58:$N58,0,S$174+1)-INDEX($F58:$N58,0,S$174))/(INDEX($F$4:$N$4,0,S$174+1)-INDEX($F$4:$N$4,0,S$174))+R185)))</f>
        <v>0.64834083872263215</v>
      </c>
      <c r="T185" s="3" cm="1">
        <f t="array" ref="T185">IF(T$174=-1,U185,IF(T$174=99,S185,IF(T$174=0,INDEX($F58:$N58,0,T$172),(INDEX($F58:$N58,0,T$174+1)-INDEX($F58:$N58,0,T$174))/(INDEX($F$4:$N$4,0,T$174+1)-INDEX($F$4:$N$4,0,T$174))+S185)))</f>
        <v>0.65235099959024967</v>
      </c>
      <c r="U185" s="3" cm="1">
        <f t="array" ref="U185">IF(U$174=-1,V185,IF(U$174=99,T185,IF(U$174=0,INDEX($F58:$N58,0,U$172),(INDEX($F58:$N58,0,U$174+1)-INDEX($F58:$N58,0,U$174))/(INDEX($F$4:$N$4,0,U$174+1)-INDEX($F$4:$N$4,0,U$174))+T185)))</f>
        <v>0.62810685408386391</v>
      </c>
      <c r="V185" s="3" cm="1">
        <f t="array" ref="V185">IF(V$174=-1,W185,IF(V$174=99,U185,IF(V$174=0,INDEX($F58:$N58,0,V$172),(INDEX($F58:$N58,0,V$174+1)-INDEX($F58:$N58,0,V$174))/(INDEX($F$4:$N$4,0,V$174+1)-INDEX($F$4:$N$4,0,V$174))+U185)))</f>
        <v>0.63444386805367525</v>
      </c>
      <c r="W185" s="3" cm="1">
        <f t="array" ref="W185">IF(W$174=-1,Z185,IF(W$174=99,V185,IF(W$174=0,INDEX($F58:$N58,0,W$172),(INDEX($F58:$N58,0,W$174+1)-INDEX($F58:$N58,0,W$174))/(INDEX($F$4:$N$4,0,W$174+1)-INDEX($F$4:$N$4,0,W$174))+V185)))</f>
        <v>0.63921340758080758</v>
      </c>
      <c r="X185" s="3" cm="1">
        <f t="array" ref="X185">IF(X$174=-1,Y185,IF(X$174=99,U185,IF(X$174=0,INDEX($F58:$N58,0,X$172),(INDEX($F58:$N58,0,X$174+1)-INDEX($F58:$N58,0,X$174))/(INDEX($F$4:$N$4,0,X$174+1)-INDEX($F$4:$N$4,0,X$174))+U185)))</f>
        <v>0.63444386805367525</v>
      </c>
      <c r="Y185" s="3" cm="1">
        <f t="array" ref="Y185">IF(Y$174=-1,Z185,IF(Y$174=99,V185,IF(Y$174=0,INDEX($F58:$N58,0,Y$172),(INDEX($F58:$N58,0,Y$174+1)-INDEX($F58:$N58,0,Y$174))/(INDEX($F$4:$N$4,0,Y$174+1)-INDEX($F$4:$N$4,0,Y$174))+V185)))</f>
        <v>0.63921340758080758</v>
      </c>
      <c r="Z185" s="3" cm="1">
        <f t="array" ref="Z185">IF(Z$174=-1,AA185,IF(Z$174=99,W185,IF(Z$174=0,INDEX($F58:$N58,0,Z$172),(INDEX($F58:$N58,0,Z$174+1)-INDEX($F58:$N58,0,Z$174))/(INDEX($F$4:$N$4,0,Z$174+1)-INDEX($F$4:$N$4,0,Z$174))+W185)))</f>
        <v>0.64398294710793991</v>
      </c>
      <c r="AA185" s="3" cm="1">
        <f t="array" ref="AA185">IF(AA$174=-1,AB185,IF(AA$174=99,Z185,IF(AA$174=0,INDEX($F58:$N58,0,AA$172),(INDEX($F58:$N58,0,AA$174+1)-INDEX($F58:$N58,0,AA$174))/(INDEX($F$4:$N$4,0,AA$174+1)-INDEX($F$4:$N$4,0,AA$174))+Z185)))</f>
        <v>0.64875248663507223</v>
      </c>
      <c r="AB185" s="3" cm="1">
        <f t="array" ref="AB185">IF(AB$174=-1,AC185,IF(AB$174=99,AA185,IF(AB$174=0,INDEX($F58:$N58,0,AB$172),(INDEX($F58:$N58,0,AB$174+1)-INDEX($F58:$N58,0,AB$174))/(INDEX($F$4:$N$4,0,AB$174+1)-INDEX($F$4:$N$4,0,AB$174))+AA185)))</f>
        <v>0.65352202616220456</v>
      </c>
      <c r="AC185" s="3" cm="1">
        <f t="array" ref="AC185">IF(AC$174=-1,AD185,IF(AC$174=99,AB185,IF(AC$174=0,INDEX($F58:$N58,0,AC$172),(INDEX($F58:$N58,0,AC$174+1)-INDEX($F58:$N58,0,AC$174))/(INDEX($F$4:$N$4,0,AC$174+1)-INDEX($F$4:$N$4,0,AC$174))+AB185)))</f>
        <v>0.65829156568933689</v>
      </c>
      <c r="AD185" s="3" cm="1">
        <f t="array" ref="AD185">IF(AD$174=-1,AE185,IF(AD$174=99,AC185,IF(AD$174=0,INDEX($F58:$N58,0,AD$172),(INDEX($F58:$N58,0,AD$174+1)-INDEX($F58:$N58,0,AD$174))/(INDEX($F$4:$N$4,0,AD$174+1)-INDEX($F$4:$N$4,0,AD$174))+AC185)))</f>
        <v>0.66306110521646922</v>
      </c>
      <c r="AE185" s="3" cm="1">
        <f t="array" ref="AE185">IF(AE$174=-1,AF185,IF(AE$174=99,AD185,IF(AE$174=0,INDEX($F58:$N58,0,AE$172),(INDEX($F58:$N58,0,AE$174+1)-INDEX($F58:$N58,0,AE$174))/(INDEX($F$4:$N$4,0,AE$174+1)-INDEX($F$4:$N$4,0,AE$174))+AD185)))</f>
        <v>0.66783064474360154</v>
      </c>
      <c r="AF185" s="3" cm="1">
        <f t="array" ref="AF185">IF(AF$174=-1,AG185,IF(AF$174=99,AE185,IF(AF$174=0,INDEX($F58:$N58,0,AF$172),(INDEX($F58:$N58,0,AF$174+1)-INDEX($F58:$N58,0,AF$174))/(INDEX($F$4:$N$4,0,AF$174+1)-INDEX($F$4:$N$4,0,AF$174))+AE185)))</f>
        <v>0.67260018427073387</v>
      </c>
      <c r="AG185" s="3" cm="1">
        <f t="array" ref="AG185">IF(AG$174=-1,AJ185,IF(AG$174=99,AF185,IF(AG$174=0,INDEX($F58:$N58,0,AG$172),(INDEX($F58:$N58,0,AG$174+1)-INDEX($F58:$N58,0,AG$174))/(INDEX($F$4:$N$4,0,AG$174+1)-INDEX($F$4:$N$4,0,AG$174))+AF185)))</f>
        <v>0.67736972379786653</v>
      </c>
      <c r="AH185" s="3" cm="1">
        <f t="array" ref="AH185">IF(AH$174=-1,AI185,IF(AH$174=99,AE185,IF(AH$174=0,INDEX($F58:$N58,0,AH$172),(INDEX($F58:$N58,0,AH$174+1)-INDEX($F58:$N58,0,AH$174))/(INDEX($F$4:$N$4,0,AH$174+1)-INDEX($F$4:$N$4,0,AH$174))+AE185)))</f>
        <v>0.67260018427073387</v>
      </c>
      <c r="AI185" s="3" cm="1">
        <f t="array" ref="AI185">IF(AI$174=-1,AJ185,IF(AI$174=99,AF185,IF(AI$174=0,INDEX($F58:$N58,0,AI$172),(INDEX($F58:$N58,0,AI$174+1)-INDEX($F58:$N58,0,AI$174))/(INDEX($F$4:$N$4,0,AI$174+1)-INDEX($F$4:$N$4,0,AI$174))+AF185)))</f>
        <v>0.67736972379786653</v>
      </c>
      <c r="AJ185" s="3" cm="1">
        <f t="array" ref="AJ185">IF(AJ$174=-1,AK185,IF(AJ$174=99,AG185,IF(AJ$174=0,INDEX($F58:$N58,0,AJ$172),(INDEX($F58:$N58,0,AJ$174+1)-INDEX($F58:$N58,0,AJ$174))/(INDEX($F$4:$N$4,0,AJ$174+1)-INDEX($F$4:$N$4,0,AJ$174))+AG185)))</f>
        <v>0.69589575146699856</v>
      </c>
      <c r="AK185" s="3" cm="1">
        <f t="array" ref="AK185">IF(AK$174=-1,AL185,IF(AK$174=99,AJ185,IF(AK$174=0,INDEX($F58:$N58,0,AK$172),(INDEX($F58:$N58,0,AK$174+1)-INDEX($F58:$N58,0,AK$174))/(INDEX($F$4:$N$4,0,AK$174+1)-INDEX($F$4:$N$4,0,AK$174))+AJ185)))</f>
        <v>0.71442177913613059</v>
      </c>
      <c r="AL185" s="3" cm="1">
        <f t="array" ref="AL185">IF(AL$174=-1,AM185,IF(AL$174=99,AK185,IF(AL$174=0,INDEX($F58:$N58,0,AL$172),(INDEX($F58:$N58,0,AL$174+1)-INDEX($F58:$N58,0,AL$174))/(INDEX($F$4:$N$4,0,AL$174+1)-INDEX($F$4:$N$4,0,AL$174))+AK185)))</f>
        <v>0.73294780680526261</v>
      </c>
      <c r="AM185" s="3" cm="1">
        <f t="array" ref="AM185">IF(AM$174=-1,AN185,IF(AM$174=99,AL185,IF(AM$174=0,INDEX($F58:$N58,0,AM$172),(INDEX($F58:$N58,0,AM$174+1)-INDEX($F58:$N58,0,AM$174))/(INDEX($F$4:$N$4,0,AM$174+1)-INDEX($F$4:$N$4,0,AM$174))+AL185)))</f>
        <v>0.75147383447439464</v>
      </c>
      <c r="AN185" s="3" cm="1">
        <f t="array" ref="AN185">IF(AN$174=-1,AO185,IF(AN$174=99,AM185,IF(AN$174=0,INDEX($F58:$N58,0,AN$172),(INDEX($F58:$N58,0,AN$174+1)-INDEX($F58:$N58,0,AN$174))/(INDEX($F$4:$N$4,0,AN$174+1)-INDEX($F$4:$N$4,0,AN$174))+AM185)))</f>
        <v>0.76999986214352667</v>
      </c>
      <c r="AO185" s="3" cm="1">
        <f t="array" ref="AO185">IF(AO$174=-1,AP185,IF(AO$174=99,AN185,IF(AO$174=0,INDEX($F58:$N58,0,AO$172),(INDEX($F58:$N58,0,AO$174+1)-INDEX($F58:$N58,0,AO$174))/(INDEX($F$4:$N$4,0,AO$174+1)-INDEX($F$4:$N$4,0,AO$174))+AN185)))</f>
        <v>0.7885258898126587</v>
      </c>
      <c r="AP185" s="3" cm="1">
        <f t="array" ref="AP185">IF(AP$174=-1,AQ185,IF(AP$174=99,AO185,IF(AP$174=0,INDEX($F58:$N58,0,AP$172),(INDEX($F58:$N58,0,AP$174+1)-INDEX($F58:$N58,0,AP$174))/(INDEX($F$4:$N$4,0,AP$174+1)-INDEX($F$4:$N$4,0,AP$174))+AO185)))</f>
        <v>0.80705191748179073</v>
      </c>
      <c r="AQ185" s="3" cm="1">
        <f t="array" ref="AQ185">IF(AQ$174=-1,AR185,IF(AQ$174=99,AP185,IF(AQ$174=0,INDEX($F58:$N58,0,AQ$172),(INDEX($F58:$N58,0,AQ$174+1)-INDEX($F58:$N58,0,AQ$174))/(INDEX($F$4:$N$4,0,AQ$174+1)-INDEX($F$4:$N$4,0,AQ$174))+AP185)))</f>
        <v>0.82557794515092275</v>
      </c>
      <c r="AR185" s="3" cm="1">
        <f t="array" ref="AR185">IF(AR$174=-1,AS185,IF(AR$174=99,AQ185,IF(AR$174=0,INDEX($F58:$N58,0,AR$172),(INDEX($F58:$N58,0,AR$174+1)-INDEX($F58:$N58,0,AR$174))/(INDEX($F$4:$N$4,0,AR$174+1)-INDEX($F$4:$N$4,0,AR$174))+AQ185)))</f>
        <v>0.84410397282005478</v>
      </c>
      <c r="AS185" s="3" cm="1">
        <f t="array" ref="AS185">IF(AS$174=-1,AT185,IF(AS$174=99,AR185,IF(AS$174=0,INDEX($F58:$N58,0,AS$172),(INDEX($F58:$N58,0,AS$174+1)-INDEX($F58:$N58,0,AS$174))/(INDEX($F$4:$N$4,0,AS$174+1)-INDEX($F$4:$N$4,0,AS$174))+AR185)))</f>
        <v>0.86263000048918725</v>
      </c>
      <c r="AT185" s="3" cm="1">
        <f t="array" ref="AT185">IF(AT$174=-1,AU185,IF(AT$174=99,AS185,IF(AT$174=0,INDEX($F58:$N58,0,AT$172),(INDEX($F58:$N58,0,AT$174+1)-INDEX($F58:$N58,0,AT$174))/(INDEX($F$4:$N$4,0,AT$174+1)-INDEX($F$4:$N$4,0,AT$174))+AS185)))</f>
        <v>0.88589437173488406</v>
      </c>
      <c r="AU185" s="3" cm="1">
        <f t="array" ref="AU185">IF(AU$174=-1,AV185,IF(AU$174=99,AT185,IF(AU$174=0,INDEX($F58:$N58,0,AU$172),(INDEX($F58:$N58,0,AU$174+1)-INDEX($F58:$N58,0,AU$174))/(INDEX($F$4:$N$4,0,AU$174+1)-INDEX($F$4:$N$4,0,AU$174))+AT185)))</f>
        <v>1.0952737129461556</v>
      </c>
      <c r="AV185" s="3" cm="1">
        <f t="array" ref="AV185">IF(AV$174=-1,AW185,IF(AV$174=99,AU185,IF(AV$174=0,INDEX($F58:$N58,0,AV$172),(INDEX($F58:$N58,0,AV$174+1)-INDEX($F58:$N58,0,AV$174))/(INDEX($F$4:$N$4,0,AV$174+1)-INDEX($F$4:$N$4,0,AV$174))+AU185)))</f>
        <v>1.2942878211311157</v>
      </c>
      <c r="AW185" s="3" cm="1">
        <f t="array" ref="AW185">IF(AW$174=-1,AX185,IF(AW$174=99,AV185,IF(AW$174=0,INDEX($F58:$N58,0,AW$172),(INDEX($F58:$N58,0,AW$174+1)-INDEX($F58:$N58,0,AW$174))/(INDEX($F$4:$N$4,0,AW$174+1)-INDEX($F$4:$N$4,0,AW$174))+AV185)))</f>
        <v>1.3208848650934495</v>
      </c>
      <c r="BF185" s="3"/>
      <c r="BG185" s="3"/>
      <c r="BH185" s="3"/>
      <c r="BI185" s="3"/>
      <c r="BJ185" s="3"/>
      <c r="BK185" s="3"/>
    </row>
    <row r="186" spans="1:63">
      <c r="A186" t="s">
        <v>16</v>
      </c>
      <c r="B186" s="15"/>
      <c r="C186" s="16"/>
      <c r="D186" s="43"/>
      <c r="E186" s="16"/>
      <c r="F186" s="16"/>
      <c r="G186" s="16"/>
      <c r="H186" s="16"/>
      <c r="I186" s="16"/>
      <c r="J186" s="114" t="str">
        <f t="shared" si="366"/>
        <v>TFRCO</v>
      </c>
      <c r="K186" s="3" t="e">
        <f>#REF!</f>
        <v>#REF!</v>
      </c>
      <c r="L186" s="3" t="e">
        <f>#REF!</f>
        <v>#REF!</v>
      </c>
      <c r="M186" s="3" t="e">
        <f>#REF!</f>
        <v>#REF!</v>
      </c>
      <c r="N186" s="3" t="e">
        <f>#REF!</f>
        <v>#REF!</v>
      </c>
      <c r="O186" s="3" t="e">
        <f>#REF!</f>
        <v>#REF!</v>
      </c>
      <c r="P186" s="3" t="e">
        <f>#REF!</f>
        <v>#REF!</v>
      </c>
      <c r="Q186" s="3" t="e">
        <f>#REF!</f>
        <v>#REF!</v>
      </c>
      <c r="R186" s="3">
        <f t="shared" ref="R186:W188" si="367">J147</f>
        <v>22</v>
      </c>
      <c r="S186" s="3">
        <f t="shared" si="367"/>
        <v>20.60902456349335</v>
      </c>
      <c r="T186" s="3">
        <f t="shared" si="367"/>
        <v>19.218049126986699</v>
      </c>
      <c r="U186" s="3">
        <f t="shared" si="367"/>
        <v>17.206637381742077</v>
      </c>
      <c r="V186" s="3">
        <f t="shared" si="367"/>
        <v>16.506720027229584</v>
      </c>
      <c r="W186" s="3">
        <f t="shared" si="367"/>
        <v>17.806373021295286</v>
      </c>
      <c r="X186" s="3">
        <f t="shared" ref="X186:Z188" si="368">N147</f>
        <v>16.506720027229584</v>
      </c>
      <c r="Y186" s="3">
        <f t="shared" si="368"/>
        <v>17.806373021295286</v>
      </c>
      <c r="Z186" s="3">
        <f t="shared" si="368"/>
        <v>19.106026015360989</v>
      </c>
      <c r="AA186" s="3">
        <f t="shared" ref="AA186:AG188" si="369">S147</f>
        <v>20.405679009426692</v>
      </c>
      <c r="AB186" s="3">
        <f t="shared" si="369"/>
        <v>21.705332003492394</v>
      </c>
      <c r="AC186" s="3">
        <f t="shared" si="369"/>
        <v>23.004984997558097</v>
      </c>
      <c r="AD186" s="3">
        <f t="shared" si="369"/>
        <v>24.3046379916238</v>
      </c>
      <c r="AE186" s="3">
        <f t="shared" si="369"/>
        <v>25.604290985689502</v>
      </c>
      <c r="AF186" s="3">
        <f t="shared" si="369"/>
        <v>26.903943979755205</v>
      </c>
      <c r="AG186" s="3">
        <f t="shared" si="369"/>
        <v>28.203596973820897</v>
      </c>
      <c r="AH186" s="3">
        <f t="shared" ref="AH186:AJ188" si="370">X147</f>
        <v>26.903943979755205</v>
      </c>
      <c r="AI186" s="3">
        <f t="shared" si="370"/>
        <v>28.203596973820897</v>
      </c>
      <c r="AJ186" s="3">
        <f t="shared" si="370"/>
        <v>31.536342249582265</v>
      </c>
      <c r="AK186" s="3">
        <f t="shared" ref="AK186:AW188" si="371">AC147</f>
        <v>34.86908752534363</v>
      </c>
      <c r="AL186" s="3">
        <f t="shared" si="371"/>
        <v>38.201832801104999</v>
      </c>
      <c r="AM186" s="3">
        <f t="shared" si="371"/>
        <v>41.534578076866367</v>
      </c>
      <c r="AN186" s="3">
        <f t="shared" si="371"/>
        <v>44.867323352627736</v>
      </c>
      <c r="AO186" s="3">
        <f t="shared" si="371"/>
        <v>48.200068628389104</v>
      </c>
      <c r="AP186" s="3">
        <f t="shared" si="371"/>
        <v>51.532813904150473</v>
      </c>
      <c r="AQ186" s="3">
        <f t="shared" si="371"/>
        <v>54.865559179911841</v>
      </c>
      <c r="AR186" s="3">
        <f t="shared" si="371"/>
        <v>58.19830445567321</v>
      </c>
      <c r="AS186" s="3">
        <f t="shared" si="371"/>
        <v>61.531049731434578</v>
      </c>
      <c r="AT186" s="3">
        <f t="shared" si="371"/>
        <v>80.821075196827948</v>
      </c>
      <c r="AU186" s="3">
        <f t="shared" si="371"/>
        <v>100.11110066222132</v>
      </c>
      <c r="AV186" s="3">
        <f t="shared" si="371"/>
        <v>145.64946887396664</v>
      </c>
      <c r="AW186" s="3">
        <f t="shared" si="371"/>
        <v>178.02134980359452</v>
      </c>
      <c r="BF186" s="3"/>
      <c r="BG186" s="3"/>
      <c r="BH186" s="3"/>
      <c r="BI186" s="3"/>
      <c r="BJ186" s="3"/>
      <c r="BK186" s="3"/>
    </row>
    <row r="187" spans="1:63">
      <c r="A187" t="s">
        <v>16</v>
      </c>
      <c r="B187" s="15"/>
      <c r="C187" s="16"/>
      <c r="D187" s="43"/>
      <c r="E187" s="16"/>
      <c r="F187" s="16"/>
      <c r="G187" s="16"/>
      <c r="H187" s="16"/>
      <c r="I187" s="16"/>
      <c r="J187" s="114" t="str">
        <f t="shared" si="366"/>
        <v>TFROT</v>
      </c>
      <c r="K187" s="3" t="e">
        <f>#REF!</f>
        <v>#REF!</v>
      </c>
      <c r="L187" s="3" t="e">
        <f>#REF!</f>
        <v>#REF!</v>
      </c>
      <c r="M187" s="3" t="e">
        <f>#REF!</f>
        <v>#REF!</v>
      </c>
      <c r="N187" s="3" t="e">
        <f>#REF!</f>
        <v>#REF!</v>
      </c>
      <c r="O187" s="3" t="e">
        <f>#REF!</f>
        <v>#REF!</v>
      </c>
      <c r="P187" s="3" t="e">
        <f>#REF!</f>
        <v>#REF!</v>
      </c>
      <c r="Q187" s="3" t="e">
        <f>#REF!</f>
        <v>#REF!</v>
      </c>
      <c r="R187" s="3">
        <f t="shared" si="367"/>
        <v>27.142505514316699</v>
      </c>
      <c r="S187" s="3">
        <f t="shared" si="367"/>
        <v>26.922878309927583</v>
      </c>
      <c r="T187" s="3">
        <f t="shared" si="367"/>
        <v>26.703251105538467</v>
      </c>
      <c r="U187" s="3">
        <f t="shared" si="367"/>
        <v>25.710844401627732</v>
      </c>
      <c r="V187" s="3">
        <f t="shared" si="367"/>
        <v>25.970242908568729</v>
      </c>
      <c r="W187" s="3">
        <f t="shared" si="367"/>
        <v>26.327626949537315</v>
      </c>
      <c r="X187" s="3">
        <f t="shared" si="368"/>
        <v>25.970242908568729</v>
      </c>
      <c r="Y187" s="3">
        <f t="shared" si="368"/>
        <v>26.327626949537315</v>
      </c>
      <c r="Z187" s="3">
        <f t="shared" si="368"/>
        <v>26.685010990505901</v>
      </c>
      <c r="AA187" s="3">
        <f t="shared" si="369"/>
        <v>27.042395031474488</v>
      </c>
      <c r="AB187" s="3">
        <f t="shared" si="369"/>
        <v>27.399779072443074</v>
      </c>
      <c r="AC187" s="3">
        <f t="shared" si="369"/>
        <v>27.757163113411661</v>
      </c>
      <c r="AD187" s="3">
        <f t="shared" si="369"/>
        <v>28.114547154380247</v>
      </c>
      <c r="AE187" s="3">
        <f t="shared" si="369"/>
        <v>28.471931195348834</v>
      </c>
      <c r="AF187" s="3">
        <f t="shared" si="369"/>
        <v>28.82931523631742</v>
      </c>
      <c r="AG187" s="3">
        <f t="shared" si="369"/>
        <v>29.186699277286003</v>
      </c>
      <c r="AH187" s="3">
        <f t="shared" si="370"/>
        <v>28.82931523631742</v>
      </c>
      <c r="AI187" s="3">
        <f t="shared" si="370"/>
        <v>29.186699277286003</v>
      </c>
      <c r="AJ187" s="3">
        <f t="shared" si="370"/>
        <v>30.270063160100765</v>
      </c>
      <c r="AK187" s="3">
        <f t="shared" si="371"/>
        <v>31.353427042915527</v>
      </c>
      <c r="AL187" s="3">
        <f t="shared" si="371"/>
        <v>32.436790925730286</v>
      </c>
      <c r="AM187" s="3">
        <f t="shared" si="371"/>
        <v>33.520154808545044</v>
      </c>
      <c r="AN187" s="3">
        <f t="shared" si="371"/>
        <v>34.603518691359803</v>
      </c>
      <c r="AO187" s="3">
        <f t="shared" si="371"/>
        <v>35.686882574174561</v>
      </c>
      <c r="AP187" s="3">
        <f t="shared" si="371"/>
        <v>36.770246456989319</v>
      </c>
      <c r="AQ187" s="3">
        <f t="shared" si="371"/>
        <v>37.853610339804078</v>
      </c>
      <c r="AR187" s="3">
        <f t="shared" si="371"/>
        <v>38.936974222618836</v>
      </c>
      <c r="AS187" s="3">
        <f t="shared" si="371"/>
        <v>40.020338105433609</v>
      </c>
      <c r="AT187" s="3">
        <f t="shared" si="371"/>
        <v>47.03085283591134</v>
      </c>
      <c r="AU187" s="3">
        <f t="shared" si="371"/>
        <v>54.041367566389084</v>
      </c>
      <c r="AV187" s="3">
        <f t="shared" si="371"/>
        <v>67.875998645520468</v>
      </c>
      <c r="AW187" s="3">
        <f t="shared" si="371"/>
        <v>73.584170791170493</v>
      </c>
      <c r="BF187" s="3"/>
      <c r="BG187" s="3"/>
      <c r="BH187" s="3"/>
      <c r="BI187" s="3"/>
      <c r="BJ187" s="3"/>
      <c r="BK187" s="3"/>
    </row>
    <row r="188" spans="1:63">
      <c r="A188" t="s">
        <v>16</v>
      </c>
      <c r="J188" s="114" t="str">
        <f t="shared" si="366"/>
        <v>TFREX</v>
      </c>
      <c r="K188" s="3" t="e">
        <f>#REF!</f>
        <v>#REF!</v>
      </c>
      <c r="L188" s="3" t="e">
        <f>#REF!</f>
        <v>#REF!</v>
      </c>
      <c r="M188" s="3" t="e">
        <f>#REF!</f>
        <v>#REF!</v>
      </c>
      <c r="N188" s="3" t="e">
        <f>#REF!</f>
        <v>#REF!</v>
      </c>
      <c r="O188" s="3" t="e">
        <f>#REF!</f>
        <v>#REF!</v>
      </c>
      <c r="P188" s="3" t="e">
        <f>#REF!</f>
        <v>#REF!</v>
      </c>
      <c r="Q188" s="3" t="e">
        <f>#REF!</f>
        <v>#REF!</v>
      </c>
      <c r="R188" s="3">
        <f t="shared" si="367"/>
        <v>88.672727178245694</v>
      </c>
      <c r="S188" s="3">
        <f t="shared" si="367"/>
        <v>88.015304929890732</v>
      </c>
      <c r="T188" s="3">
        <f t="shared" si="367"/>
        <v>87.357882681535756</v>
      </c>
      <c r="U188" s="3">
        <f t="shared" si="367"/>
        <v>84.559607459462228</v>
      </c>
      <c r="V188" s="3">
        <f t="shared" si="367"/>
        <v>86.9457419513449</v>
      </c>
      <c r="W188" s="3">
        <f t="shared" si="367"/>
        <v>87.492893650053077</v>
      </c>
      <c r="X188" s="3">
        <f t="shared" si="368"/>
        <v>86.9457419513449</v>
      </c>
      <c r="Y188" s="3">
        <f t="shared" si="368"/>
        <v>87.492893650053077</v>
      </c>
      <c r="Z188" s="3">
        <f t="shared" si="368"/>
        <v>88.040045348761254</v>
      </c>
      <c r="AA188" s="3">
        <f t="shared" si="369"/>
        <v>88.587197047469431</v>
      </c>
      <c r="AB188" s="3">
        <f t="shared" si="369"/>
        <v>89.134348746177608</v>
      </c>
      <c r="AC188" s="3">
        <f t="shared" si="369"/>
        <v>89.681500444885785</v>
      </c>
      <c r="AD188" s="3">
        <f t="shared" si="369"/>
        <v>90.228652143593962</v>
      </c>
      <c r="AE188" s="3">
        <f t="shared" si="369"/>
        <v>90.775803842302139</v>
      </c>
      <c r="AF188" s="3">
        <f t="shared" si="369"/>
        <v>91.322955541010316</v>
      </c>
      <c r="AG188" s="3">
        <f t="shared" si="369"/>
        <v>91.870107239718436</v>
      </c>
      <c r="AH188" s="3">
        <f t="shared" si="370"/>
        <v>91.322955541010316</v>
      </c>
      <c r="AI188" s="3">
        <f t="shared" si="370"/>
        <v>91.870107239718436</v>
      </c>
      <c r="AJ188" s="3">
        <f t="shared" si="370"/>
        <v>93.941525788489685</v>
      </c>
      <c r="AK188" s="3">
        <f t="shared" si="371"/>
        <v>96.012944337260933</v>
      </c>
      <c r="AL188" s="3">
        <f t="shared" si="371"/>
        <v>98.084362886032181</v>
      </c>
      <c r="AM188" s="3">
        <f t="shared" si="371"/>
        <v>100.15578143480343</v>
      </c>
      <c r="AN188" s="3">
        <f t="shared" si="371"/>
        <v>102.22719998357468</v>
      </c>
      <c r="AO188" s="3">
        <f t="shared" si="371"/>
        <v>104.29861853234593</v>
      </c>
      <c r="AP188" s="3">
        <f t="shared" si="371"/>
        <v>106.37003708111718</v>
      </c>
      <c r="AQ188" s="3">
        <f t="shared" si="371"/>
        <v>108.44145562988842</v>
      </c>
      <c r="AR188" s="3">
        <f t="shared" si="371"/>
        <v>110.51287417865967</v>
      </c>
      <c r="AS188" s="3">
        <f t="shared" si="371"/>
        <v>112.58429272743091</v>
      </c>
      <c r="AT188" s="3">
        <f t="shared" si="371"/>
        <v>130.49756643209119</v>
      </c>
      <c r="AU188" s="3">
        <f t="shared" si="371"/>
        <v>148.41084013675146</v>
      </c>
      <c r="AV188" s="3">
        <f t="shared" si="371"/>
        <v>183.24497714602427</v>
      </c>
      <c r="AW188" s="3">
        <f t="shared" si="371"/>
        <v>196.27767980712804</v>
      </c>
      <c r="BF188" s="3"/>
      <c r="BG188" s="3"/>
      <c r="BH188" s="3"/>
      <c r="BI188" s="3"/>
      <c r="BJ188" s="3"/>
      <c r="BK188" s="3"/>
    </row>
    <row r="189" spans="1:63">
      <c r="A189" t="s">
        <v>16</v>
      </c>
    </row>
    <row r="221" spans="1:43">
      <c r="A221" t="s">
        <v>16</v>
      </c>
      <c r="J221" t="s">
        <v>669</v>
      </c>
    </row>
    <row r="222" spans="1:43">
      <c r="A222" t="s">
        <v>16</v>
      </c>
      <c r="J222" t="s">
        <v>643</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644</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645</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646</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647</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648</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649</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3" t="s">
        <v>396</v>
      </c>
      <c r="J229" t="s">
        <v>650</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3" t="s">
        <v>396</v>
      </c>
      <c r="J230" t="s">
        <v>651</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3" t="s">
        <v>397</v>
      </c>
      <c r="J231" t="s">
        <v>652</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3" t="s">
        <v>398</v>
      </c>
      <c r="J232" t="s">
        <v>653</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3" t="s">
        <v>399</v>
      </c>
      <c r="J233" t="s">
        <v>654</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3" t="s">
        <v>400</v>
      </c>
      <c r="J234" t="s">
        <v>655</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3" t="s">
        <v>401</v>
      </c>
      <c r="J235" t="s">
        <v>656</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3" t="s">
        <v>402</v>
      </c>
      <c r="J236" t="s">
        <v>657</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3" t="s">
        <v>403</v>
      </c>
      <c r="J237" t="s">
        <v>658</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3" t="s">
        <v>404</v>
      </c>
      <c r="J238" t="s">
        <v>659</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3" t="s">
        <v>139</v>
      </c>
      <c r="J239" t="s">
        <v>660</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3" t="s">
        <v>139</v>
      </c>
      <c r="J240" t="s">
        <v>661</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662</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663</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664</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665</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666</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667</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668</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honeticPr fontId="166"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R291"/>
  <sheetViews>
    <sheetView topLeftCell="D151" zoomScale="50" zoomScaleNormal="50" workbookViewId="0">
      <selection activeCell="J275" sqref="J275"/>
    </sheetView>
  </sheetViews>
  <sheetFormatPr defaultColWidth="9.140625" defaultRowHeight="15"/>
  <cols>
    <col min="1" max="1" width="9" customWidth="1"/>
    <col min="2" max="2" width="11.140625" customWidth="1"/>
    <col min="3" max="3" width="42.85546875" customWidth="1"/>
    <col min="4" max="4" width="15.85546875" customWidth="1"/>
    <col min="5" max="5" width="7.42578125" customWidth="1"/>
    <col min="6" max="6" width="8.42578125" bestFit="1" customWidth="1"/>
    <col min="7" max="7" width="8.85546875" bestFit="1" customWidth="1"/>
    <col min="8" max="9" width="11.140625" bestFit="1" customWidth="1"/>
    <col min="10" max="10" width="9.140625" style="31" bestFit="1" customWidth="1"/>
    <col min="11" max="13" width="7.85546875" customWidth="1"/>
    <col min="14" max="14" width="7.7109375" customWidth="1"/>
    <col min="15" max="15" width="8.42578125" bestFit="1" customWidth="1"/>
    <col min="16" max="18" width="12.85546875" customWidth="1"/>
    <col min="19" max="21" width="29.42578125" customWidth="1"/>
    <col min="22" max="22" width="12.85546875" customWidth="1"/>
    <col min="23" max="23" width="23.42578125" customWidth="1"/>
    <col min="24" max="24" width="33" customWidth="1"/>
    <col min="25" max="33" width="10.28515625" customWidth="1"/>
    <col min="34" max="36" width="7.7109375" customWidth="1"/>
    <col min="37" max="37" width="10" customWidth="1"/>
    <col min="38" max="48" width="7.7109375" customWidth="1"/>
    <col min="60" max="60" width="19.140625" customWidth="1"/>
    <col min="61" max="61" width="18.85546875" customWidth="1"/>
  </cols>
  <sheetData>
    <row r="1" spans="1:61" ht="21">
      <c r="A1" t="str">
        <f>IF(TRA,"TS DATA","")</f>
        <v>TS DATA</v>
      </c>
      <c r="B1" t="s">
        <v>17</v>
      </c>
      <c r="D1">
        <f>DriversGams!C164</f>
        <v>1</v>
      </c>
      <c r="J1"/>
      <c r="N1" s="31"/>
      <c r="P1" s="372" t="s">
        <v>797</v>
      </c>
      <c r="Q1" s="372"/>
      <c r="R1" s="372"/>
      <c r="S1" s="372"/>
      <c r="T1" s="372"/>
      <c r="U1" s="372"/>
      <c r="V1" s="372"/>
      <c r="W1" s="372"/>
      <c r="X1" s="372"/>
      <c r="Y1" s="372"/>
      <c r="Z1" s="372"/>
    </row>
    <row r="2" spans="1:61" ht="15.75" thickBot="1">
      <c r="A2" t="s">
        <v>16</v>
      </c>
      <c r="B2" s="369" t="s">
        <v>280</v>
      </c>
      <c r="C2" s="369"/>
      <c r="J2"/>
      <c r="N2" s="119"/>
      <c r="P2" s="165" t="s">
        <v>209</v>
      </c>
      <c r="Q2" s="306" t="s">
        <v>522</v>
      </c>
      <c r="R2" s="306" t="s">
        <v>185</v>
      </c>
      <c r="S2" s="306" t="s">
        <v>526</v>
      </c>
      <c r="T2" s="306"/>
      <c r="U2" s="306"/>
      <c r="V2" s="306"/>
      <c r="W2" s="306" t="s">
        <v>600</v>
      </c>
      <c r="X2" s="306"/>
      <c r="Y2" s="306"/>
      <c r="Z2" s="306"/>
      <c r="AA2" s="24"/>
      <c r="AC2" s="24"/>
      <c r="AD2" s="24"/>
      <c r="AE2" s="24"/>
      <c r="AF2" s="24"/>
      <c r="AG2" s="24"/>
      <c r="AH2" s="24"/>
      <c r="AI2" s="24"/>
      <c r="AJ2" s="24"/>
      <c r="AK2" s="24"/>
      <c r="AL2" s="24"/>
      <c r="AM2" s="24"/>
      <c r="AN2" s="24"/>
      <c r="AO2" s="24"/>
      <c r="AP2" s="24"/>
      <c r="AQ2" s="24"/>
      <c r="AR2" s="24"/>
      <c r="AS2" s="24"/>
      <c r="AT2" s="24"/>
      <c r="AU2" s="24"/>
      <c r="AV2" s="24"/>
    </row>
    <row r="3" spans="1:61" ht="24.75">
      <c r="A3" t="s">
        <v>16</v>
      </c>
      <c r="B3" s="18"/>
      <c r="C3" s="165" t="str">
        <f>INDEX($Q$5:$Q$8,MATCH($D$3,$P$5:$P$8,0))</f>
        <v>NDC-PAMS-central</v>
      </c>
      <c r="D3" s="169">
        <f>DriversGams!C164</f>
        <v>1</v>
      </c>
      <c r="J3"/>
      <c r="N3" s="30"/>
      <c r="P3" s="165"/>
      <c r="Q3" s="306"/>
      <c r="R3" s="306"/>
      <c r="S3" s="306" t="s">
        <v>523</v>
      </c>
      <c r="T3" s="306" t="s">
        <v>523</v>
      </c>
      <c r="U3" s="306" t="s">
        <v>523</v>
      </c>
      <c r="V3" s="306" t="s">
        <v>528</v>
      </c>
      <c r="W3" s="306" t="s">
        <v>597</v>
      </c>
      <c r="X3" s="306" t="s">
        <v>598</v>
      </c>
      <c r="Y3" s="306" t="s">
        <v>599</v>
      </c>
      <c r="Z3" s="306"/>
    </row>
    <row r="4" spans="1:61" ht="24.75">
      <c r="A4" t="s">
        <v>16</v>
      </c>
      <c r="C4" s="2" t="s">
        <v>186</v>
      </c>
      <c r="D4" s="168">
        <f>INDEX($R$5:$R$8,MATCH($D$3,$P$5:$P$8,0))</f>
        <v>1</v>
      </c>
      <c r="E4">
        <v>2017</v>
      </c>
      <c r="F4">
        <v>2019</v>
      </c>
      <c r="G4">
        <v>2020</v>
      </c>
      <c r="H4">
        <v>2021</v>
      </c>
      <c r="I4">
        <v>2030</v>
      </c>
      <c r="J4">
        <v>2040</v>
      </c>
      <c r="K4" s="104">
        <v>2050</v>
      </c>
      <c r="L4">
        <v>2060</v>
      </c>
      <c r="M4" s="104">
        <v>2070</v>
      </c>
      <c r="N4" s="200"/>
      <c r="P4" s="165"/>
      <c r="Q4" s="306"/>
      <c r="R4" s="306"/>
      <c r="S4" s="306" t="s">
        <v>524</v>
      </c>
      <c r="T4" s="306" t="s">
        <v>525</v>
      </c>
      <c r="U4" s="306" t="s">
        <v>625</v>
      </c>
      <c r="V4" s="306"/>
      <c r="W4" s="306"/>
      <c r="X4" s="306"/>
      <c r="Y4" s="306"/>
      <c r="Z4" s="306"/>
      <c r="AA4" s="200"/>
      <c r="AC4" s="200"/>
      <c r="AD4" s="200"/>
      <c r="AE4" s="200"/>
      <c r="AF4" s="200"/>
      <c r="AG4" s="200"/>
      <c r="AH4" s="200"/>
      <c r="AI4" s="200"/>
      <c r="AJ4" s="200"/>
      <c r="AK4" s="200"/>
      <c r="AL4" s="200"/>
      <c r="AM4" s="200"/>
      <c r="AN4" s="200"/>
      <c r="AO4" s="200"/>
      <c r="AP4" s="200"/>
      <c r="AQ4" s="200"/>
      <c r="AR4" s="200"/>
      <c r="AS4" s="200"/>
      <c r="AT4" s="200"/>
      <c r="AU4" s="200"/>
      <c r="AV4" s="200"/>
      <c r="AW4" s="200"/>
    </row>
    <row r="5" spans="1:61" ht="15.75" thickBot="1">
      <c r="A5" t="s">
        <v>16</v>
      </c>
      <c r="B5" s="13"/>
      <c r="C5" s="13"/>
      <c r="J5"/>
      <c r="K5" s="104"/>
      <c r="L5" s="104"/>
      <c r="M5" s="104"/>
      <c r="P5" s="165">
        <v>-1</v>
      </c>
      <c r="Q5" s="165" t="s">
        <v>603</v>
      </c>
      <c r="R5" s="165">
        <v>0</v>
      </c>
      <c r="S5" s="162">
        <v>0.97499999999999998</v>
      </c>
      <c r="T5" s="163">
        <v>0.95</v>
      </c>
      <c r="U5" s="163">
        <v>0.95</v>
      </c>
      <c r="V5" s="173">
        <v>1</v>
      </c>
      <c r="W5" s="163">
        <v>0</v>
      </c>
      <c r="X5" s="160">
        <v>0</v>
      </c>
      <c r="Y5" s="163">
        <v>0</v>
      </c>
      <c r="Z5" s="165"/>
    </row>
    <row r="6" spans="1:61">
      <c r="A6" t="s">
        <v>16</v>
      </c>
      <c r="E6" s="3"/>
      <c r="G6" s="3"/>
      <c r="I6" s="3"/>
      <c r="J6" s="3"/>
      <c r="K6" s="127"/>
      <c r="L6" s="127"/>
      <c r="M6" s="127"/>
      <c r="N6" s="201"/>
      <c r="P6" s="165">
        <v>1</v>
      </c>
      <c r="Q6" s="165" t="s">
        <v>604</v>
      </c>
      <c r="R6" s="165">
        <v>1</v>
      </c>
      <c r="S6" s="364">
        <v>0.95</v>
      </c>
      <c r="T6" s="365">
        <v>0.95</v>
      </c>
      <c r="U6" s="163">
        <v>0.95</v>
      </c>
      <c r="V6" s="173">
        <v>1</v>
      </c>
      <c r="W6" s="163">
        <v>0</v>
      </c>
      <c r="X6" s="160">
        <v>0</v>
      </c>
      <c r="Y6" s="163">
        <v>0</v>
      </c>
      <c r="Z6" s="165"/>
      <c r="AA6" s="201"/>
      <c r="AC6" s="201"/>
      <c r="AD6" s="201"/>
      <c r="AE6" s="201"/>
      <c r="AF6" s="201"/>
      <c r="AG6" s="201"/>
      <c r="AH6" s="201"/>
      <c r="AI6" s="201"/>
      <c r="AJ6" s="201"/>
      <c r="AK6" s="201"/>
      <c r="AL6" s="201"/>
      <c r="AM6" s="201"/>
      <c r="AN6" s="201"/>
      <c r="AO6" s="201"/>
      <c r="AP6" s="201"/>
      <c r="AQ6" s="201"/>
      <c r="AR6" s="201"/>
      <c r="AS6" s="201"/>
      <c r="AT6" s="201"/>
      <c r="AU6" s="201"/>
      <c r="AV6" s="201"/>
      <c r="AW6" s="201"/>
      <c r="AX6" s="201"/>
      <c r="AY6" s="201"/>
    </row>
    <row r="7" spans="1:61">
      <c r="A7" t="s">
        <v>16</v>
      </c>
      <c r="J7"/>
      <c r="N7" s="31"/>
      <c r="P7" s="165">
        <v>2</v>
      </c>
      <c r="Q7" s="165" t="s">
        <v>595</v>
      </c>
      <c r="R7" s="165">
        <v>1</v>
      </c>
      <c r="S7" s="162">
        <v>0.97499999999999998</v>
      </c>
      <c r="T7" s="163">
        <v>0.95</v>
      </c>
      <c r="U7" s="163">
        <v>0.95</v>
      </c>
      <c r="V7" s="174">
        <v>1</v>
      </c>
      <c r="W7" s="163">
        <v>0</v>
      </c>
      <c r="X7" s="214">
        <v>0</v>
      </c>
      <c r="Y7" s="163">
        <v>0</v>
      </c>
      <c r="Z7" s="165"/>
    </row>
    <row r="8" spans="1:61">
      <c r="A8" t="s">
        <v>16</v>
      </c>
      <c r="J8"/>
      <c r="N8" s="31"/>
      <c r="P8" s="165">
        <v>3</v>
      </c>
      <c r="Q8" s="165" t="s">
        <v>605</v>
      </c>
      <c r="R8" s="165">
        <v>1</v>
      </c>
      <c r="S8" s="162">
        <v>0.97499999999999998</v>
      </c>
      <c r="T8" s="163">
        <v>0.95</v>
      </c>
      <c r="U8" s="163">
        <v>0.95</v>
      </c>
      <c r="V8" s="174">
        <v>1</v>
      </c>
      <c r="W8" s="162">
        <v>0.05</v>
      </c>
      <c r="X8" s="162">
        <v>2.5000000000000001E-2</v>
      </c>
      <c r="Y8" s="162">
        <v>0.2</v>
      </c>
      <c r="Z8" s="165"/>
    </row>
    <row r="9" spans="1:61">
      <c r="A9" t="s">
        <v>16</v>
      </c>
      <c r="J9"/>
      <c r="N9" s="31"/>
    </row>
    <row r="10" spans="1:61">
      <c r="A10" t="s">
        <v>16</v>
      </c>
      <c r="B10" s="18"/>
      <c r="C10" s="18"/>
      <c r="J10"/>
      <c r="N10" s="31"/>
    </row>
    <row r="11" spans="1:61" ht="15.75" thickBot="1">
      <c r="A11" t="s">
        <v>16</v>
      </c>
      <c r="B11" s="13"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1"/>
      <c r="O11" s="2" t="s">
        <v>32</v>
      </c>
      <c r="Y11" s="2" t="s">
        <v>185</v>
      </c>
    </row>
    <row r="12" spans="1:61" ht="15.75" thickBot="1">
      <c r="A12" t="s">
        <v>16</v>
      </c>
      <c r="D12" s="13"/>
      <c r="E12" s="4">
        <f t="shared" ref="E12:M12" si="0">E4</f>
        <v>2017</v>
      </c>
      <c r="F12" s="4">
        <f t="shared" si="0"/>
        <v>2019</v>
      </c>
      <c r="G12" s="4">
        <f t="shared" si="0"/>
        <v>2020</v>
      </c>
      <c r="H12" s="4">
        <f t="shared" si="0"/>
        <v>2021</v>
      </c>
      <c r="I12" s="4">
        <f t="shared" si="0"/>
        <v>2030</v>
      </c>
      <c r="J12" s="4">
        <f t="shared" si="0"/>
        <v>2040</v>
      </c>
      <c r="K12" s="4">
        <f t="shared" ref="K12:L12" si="1">K4</f>
        <v>2050</v>
      </c>
      <c r="L12" s="4">
        <f t="shared" si="1"/>
        <v>2060</v>
      </c>
      <c r="M12" s="4">
        <f t="shared" si="0"/>
        <v>2070</v>
      </c>
      <c r="N12" s="31"/>
      <c r="O12" s="4">
        <f t="shared" ref="O12:R15" si="2">E12</f>
        <v>2017</v>
      </c>
      <c r="P12" s="4">
        <f t="shared" si="2"/>
        <v>2019</v>
      </c>
      <c r="Q12" s="4">
        <f t="shared" si="2"/>
        <v>2020</v>
      </c>
      <c r="R12" s="4">
        <f t="shared" si="2"/>
        <v>2021</v>
      </c>
      <c r="S12" s="4">
        <v>2030</v>
      </c>
      <c r="T12" s="4">
        <v>2040</v>
      </c>
      <c r="U12" s="4">
        <v>2050</v>
      </c>
      <c r="V12" s="4">
        <v>2060</v>
      </c>
      <c r="W12" s="4">
        <v>2070</v>
      </c>
      <c r="Y12" s="4">
        <f t="shared" ref="Y12:AD12" si="3">O12</f>
        <v>2017</v>
      </c>
      <c r="Z12" s="4">
        <f t="shared" si="3"/>
        <v>2019</v>
      </c>
      <c r="AA12" s="4">
        <f t="shared" si="3"/>
        <v>2020</v>
      </c>
      <c r="AB12" s="4">
        <f t="shared" si="3"/>
        <v>2021</v>
      </c>
      <c r="AC12" s="4">
        <f t="shared" si="3"/>
        <v>2030</v>
      </c>
      <c r="AD12" s="4">
        <f t="shared" si="3"/>
        <v>2040</v>
      </c>
      <c r="AE12" s="4">
        <v>2050</v>
      </c>
      <c r="AF12" s="4">
        <f>V12</f>
        <v>2060</v>
      </c>
      <c r="AG12" s="4">
        <f>W12</f>
        <v>2070</v>
      </c>
    </row>
    <row r="13" spans="1:61">
      <c r="A13" t="s">
        <v>16</v>
      </c>
      <c r="C13" t="s">
        <v>40</v>
      </c>
      <c r="D13" t="s">
        <v>38</v>
      </c>
      <c r="E13" s="3" cm="1">
        <f t="array" ref="E13">INDEX(Drivers!$C$34:$AG$36,1,E$11)</f>
        <v>25.755361891142741</v>
      </c>
      <c r="F13" s="3" cm="1">
        <f t="array" ref="F13">INDEX(Drivers!$C$34:$AG$36,1,F$11)</f>
        <v>25.946710085536886</v>
      </c>
      <c r="G13" s="3" cm="1">
        <f t="array" ref="G13">INDEX(Drivers!$C$34:$AG$36,1,G$11)</f>
        <v>26.998265626975765</v>
      </c>
      <c r="H13" s="3" cm="1">
        <f t="array" ref="H13">INDEX(Drivers!$C$34:$AG$36,1,H$11)</f>
        <v>27.455328536696602</v>
      </c>
      <c r="I13" s="3" cm="1">
        <f t="array" ref="I13">INDEX(Drivers!$C$34:$AG$36,1,I$11)</f>
        <v>26.935271889842749</v>
      </c>
      <c r="J13" s="3" cm="1">
        <f t="array" ref="J13">INDEX(Drivers!$C$34:$AG$36,1,J$11)</f>
        <v>24.254173810563351</v>
      </c>
      <c r="K13" s="3" cm="1">
        <f t="array" ref="K13">INDEX(Drivers!$C$34:$AG$36,1,K$11)</f>
        <v>20.518919007461761</v>
      </c>
      <c r="L13" s="3" cm="1">
        <f t="array" ref="L13">INDEX(Drivers!$C$34:$AK$36,1,L$11)</f>
        <v>16.031979551451432</v>
      </c>
      <c r="M13" s="3" cm="1">
        <f t="array" ref="M13">INDEX(Drivers!$C$34:$AK$36,1,M$11)</f>
        <v>11.054814108119393</v>
      </c>
      <c r="N13" s="31"/>
      <c r="O13" s="354">
        <f t="shared" si="2"/>
        <v>25.755361891142741</v>
      </c>
      <c r="P13" s="3">
        <f t="shared" si="2"/>
        <v>25.946710085536886</v>
      </c>
      <c r="Q13" s="3">
        <f t="shared" si="2"/>
        <v>26.998265626975765</v>
      </c>
      <c r="R13" s="3">
        <f t="shared" si="2"/>
        <v>27.455328536696602</v>
      </c>
      <c r="S13" s="3">
        <f t="shared" ref="S13:T15" si="4">I13</f>
        <v>26.935271889842749</v>
      </c>
      <c r="T13" s="3">
        <f t="shared" si="4"/>
        <v>24.254173810563351</v>
      </c>
      <c r="U13" s="3">
        <f t="shared" ref="U13:U15" si="5">K13</f>
        <v>20.518919007461761</v>
      </c>
      <c r="V13" s="3">
        <f t="shared" ref="V13:V15" si="6">L13</f>
        <v>16.031979551451432</v>
      </c>
      <c r="W13" s="3">
        <f t="shared" ref="W13:W15" si="7">M13</f>
        <v>11.054814108119393</v>
      </c>
      <c r="Y13" s="3">
        <f t="shared" ref="Y13:AB15" si="8">E13</f>
        <v>25.755361891142741</v>
      </c>
      <c r="Z13" s="3">
        <f t="shared" si="8"/>
        <v>25.946710085536886</v>
      </c>
      <c r="AA13" s="3">
        <f t="shared" si="8"/>
        <v>26.998265626975765</v>
      </c>
      <c r="AB13" s="3">
        <f t="shared" si="8"/>
        <v>27.455328536696602</v>
      </c>
      <c r="AC13" s="4">
        <f>S13</f>
        <v>26.935271889842749</v>
      </c>
      <c r="AD13" s="3">
        <f>J13</f>
        <v>24.254173810563351</v>
      </c>
      <c r="AE13" s="3">
        <f t="shared" ref="AE13:AG15" si="9">K13</f>
        <v>20.518919007461761</v>
      </c>
      <c r="AF13" s="3">
        <f t="shared" si="9"/>
        <v>16.031979551451432</v>
      </c>
      <c r="AG13" s="3">
        <f t="shared" si="9"/>
        <v>11.054814108119393</v>
      </c>
    </row>
    <row r="14" spans="1:61">
      <c r="A14" t="s">
        <v>16</v>
      </c>
      <c r="C14" t="s">
        <v>42</v>
      </c>
      <c r="D14" t="s">
        <v>38</v>
      </c>
      <c r="E14" s="3" cm="1">
        <f t="array" ref="E14">INDEX(Drivers!$C$34:$AG$36,2,E$11)</f>
        <v>17.422744808714206</v>
      </c>
      <c r="F14" s="3" cm="1">
        <f t="array" ref="F14">INDEX(Drivers!$C$34:$AG$36,2,F$11)</f>
        <v>18.376375848815535</v>
      </c>
      <c r="G14" s="3" cm="1">
        <f t="array" ref="G14">INDEX(Drivers!$C$34:$AG$36,2,G$11)</f>
        <v>19.311259441517389</v>
      </c>
      <c r="H14" s="3" cm="1">
        <f t="array" ref="H14">INDEX(Drivers!$C$34:$AG$36,2,H$11)</f>
        <v>18.373603858247002</v>
      </c>
      <c r="I14" s="3" cm="1">
        <f t="array" ref="I14">INDEX(Drivers!$C$34:$AG$36,2,I$11)</f>
        <v>21.192390664584384</v>
      </c>
      <c r="J14" s="3" cm="1">
        <f t="array" ref="J14">INDEX(Drivers!$C$34:$AG$36,2,J$11)</f>
        <v>24.300912429123557</v>
      </c>
      <c r="K14" s="3" cm="1">
        <f t="array" ref="K14">INDEX(Drivers!$C$34:$AG$36,2,K$11)</f>
        <v>27.961733624598693</v>
      </c>
      <c r="L14" s="3" cm="1">
        <f t="array" ref="L14">INDEX(Drivers!$C$34:$AK$36,2,L$11)</f>
        <v>31.113528998547864</v>
      </c>
      <c r="M14" s="3" cm="1">
        <f t="array" ref="M14">INDEX(Drivers!$C$34:$AK$36,2,M$11)</f>
        <v>33.862357303735472</v>
      </c>
      <c r="N14" s="31"/>
      <c r="O14" s="3">
        <f t="shared" si="2"/>
        <v>17.422744808714206</v>
      </c>
      <c r="P14" s="3">
        <f t="shared" si="2"/>
        <v>18.376375848815535</v>
      </c>
      <c r="Q14" s="3">
        <f t="shared" si="2"/>
        <v>19.311259441517389</v>
      </c>
      <c r="R14" s="3">
        <f t="shared" si="2"/>
        <v>18.373603858247002</v>
      </c>
      <c r="S14" s="3">
        <f t="shared" si="4"/>
        <v>21.192390664584384</v>
      </c>
      <c r="T14" s="3">
        <f t="shared" si="4"/>
        <v>24.300912429123557</v>
      </c>
      <c r="U14" s="3">
        <f t="shared" si="5"/>
        <v>27.961733624598693</v>
      </c>
      <c r="V14" s="3">
        <f t="shared" si="6"/>
        <v>31.113528998547864</v>
      </c>
      <c r="W14" s="3">
        <f t="shared" si="7"/>
        <v>33.862357303735472</v>
      </c>
      <c r="Y14" s="3">
        <f t="shared" si="8"/>
        <v>17.422744808714206</v>
      </c>
      <c r="Z14" s="3">
        <f t="shared" si="8"/>
        <v>18.376375848815535</v>
      </c>
      <c r="AA14" s="3">
        <f t="shared" si="8"/>
        <v>19.311259441517389</v>
      </c>
      <c r="AB14" s="3">
        <f t="shared" si="8"/>
        <v>18.373603858247002</v>
      </c>
      <c r="AC14" s="4">
        <f>S14</f>
        <v>21.192390664584384</v>
      </c>
      <c r="AD14" s="3">
        <f>J14</f>
        <v>24.300912429123557</v>
      </c>
      <c r="AE14" s="3">
        <f t="shared" si="9"/>
        <v>27.961733624598693</v>
      </c>
      <c r="AF14" s="3">
        <f t="shared" si="9"/>
        <v>31.113528998547864</v>
      </c>
      <c r="AG14" s="3">
        <f t="shared" si="9"/>
        <v>33.862357303735472</v>
      </c>
    </row>
    <row r="15" spans="1:61">
      <c r="A15" t="s">
        <v>16</v>
      </c>
      <c r="C15" t="s">
        <v>41</v>
      </c>
      <c r="D15" t="s">
        <v>38</v>
      </c>
      <c r="E15" s="3" cm="1">
        <f t="array" ref="E15">INDEX(Drivers!$C$34:$AG$36,3,E$11)</f>
        <v>13.343841341791148</v>
      </c>
      <c r="F15" s="3" cm="1">
        <f t="array" ref="F15">INDEX(Drivers!$C$34:$AG$36,3,F$11)</f>
        <v>14.041748987467024</v>
      </c>
      <c r="G15" s="3" cm="1">
        <f t="array" ref="G15">INDEX(Drivers!$C$34:$AG$36,3,G$11)</f>
        <v>11.858701524628284</v>
      </c>
      <c r="H15" s="3" cm="1">
        <f t="array" ref="H15">INDEX(Drivers!$C$34:$AG$36,3,H$11)</f>
        <v>13.563322605056396</v>
      </c>
      <c r="I15" s="3" cm="1">
        <f t="array" ref="I15">INDEX(Drivers!$C$34:$AG$36,3,I$11)</f>
        <v>16.531615445572868</v>
      </c>
      <c r="J15" s="3" cm="1">
        <f t="array" ref="J15">INDEX(Drivers!$C$34:$AG$36,3,J$11)</f>
        <v>21.158850760313094</v>
      </c>
      <c r="K15" s="3" cm="1">
        <f t="array" ref="K15">INDEX(Drivers!$C$34:$AG$36,3,K$11)</f>
        <v>25.049100367939545</v>
      </c>
      <c r="L15" s="3" cm="1">
        <f t="array" ref="L15">INDEX(Drivers!$C$34:$AK$36,3,L$11)</f>
        <v>28.517689450000706</v>
      </c>
      <c r="M15" s="3" cm="1">
        <f t="array" ref="M15">INDEX(Drivers!$C$34:$AK$36,3,M$11)</f>
        <v>31.584983588145132</v>
      </c>
      <c r="N15" s="31"/>
      <c r="O15" s="3">
        <f t="shared" si="2"/>
        <v>13.343841341791148</v>
      </c>
      <c r="P15" s="3">
        <f t="shared" si="2"/>
        <v>14.041748987467024</v>
      </c>
      <c r="Q15" s="3">
        <f t="shared" si="2"/>
        <v>11.858701524628284</v>
      </c>
      <c r="R15" s="3">
        <f t="shared" si="2"/>
        <v>13.563322605056396</v>
      </c>
      <c r="S15" s="3">
        <f t="shared" si="4"/>
        <v>16.531615445572868</v>
      </c>
      <c r="T15" s="3">
        <f t="shared" si="4"/>
        <v>21.158850760313094</v>
      </c>
      <c r="U15" s="3">
        <f t="shared" si="5"/>
        <v>25.049100367939545</v>
      </c>
      <c r="V15" s="3">
        <f t="shared" si="6"/>
        <v>28.517689450000706</v>
      </c>
      <c r="W15" s="3">
        <f t="shared" si="7"/>
        <v>31.584983588145132</v>
      </c>
      <c r="Y15" s="3">
        <f t="shared" si="8"/>
        <v>13.343841341791148</v>
      </c>
      <c r="Z15" s="3">
        <f t="shared" si="8"/>
        <v>14.041748987467024</v>
      </c>
      <c r="AA15" s="3">
        <f t="shared" si="8"/>
        <v>11.858701524628284</v>
      </c>
      <c r="AB15" s="3">
        <f t="shared" si="8"/>
        <v>13.563322605056396</v>
      </c>
      <c r="AC15" s="4">
        <f>S15</f>
        <v>16.531615445572868</v>
      </c>
      <c r="AD15" s="3">
        <f>J15</f>
        <v>21.158850760313094</v>
      </c>
      <c r="AE15" s="3">
        <f t="shared" si="9"/>
        <v>25.049100367939545</v>
      </c>
      <c r="AF15" s="3">
        <f t="shared" si="9"/>
        <v>28.517689450000706</v>
      </c>
      <c r="AG15" s="3">
        <f t="shared" si="9"/>
        <v>31.584983588145132</v>
      </c>
      <c r="BI15" s="21"/>
    </row>
    <row r="16" spans="1:61">
      <c r="A16" t="s">
        <v>16</v>
      </c>
      <c r="E16" s="1">
        <f t="shared" ref="E16:I16" si="10">SUM(E13:E15)</f>
        <v>56.521948041648095</v>
      </c>
      <c r="F16" s="1">
        <f t="shared" si="10"/>
        <v>58.364834921819444</v>
      </c>
      <c r="G16" s="1">
        <f t="shared" si="10"/>
        <v>58.168226593121446</v>
      </c>
      <c r="H16" s="1">
        <f t="shared" si="10"/>
        <v>59.392255000000006</v>
      </c>
      <c r="I16" s="1">
        <f t="shared" si="10"/>
        <v>64.659278</v>
      </c>
      <c r="J16" s="1">
        <f>SUM(J13:J15)</f>
        <v>69.713937000000001</v>
      </c>
      <c r="K16" s="1">
        <f>SUM(K13:K15)</f>
        <v>73.529752999999999</v>
      </c>
      <c r="L16" s="1">
        <f>SUM(L13:L15)</f>
        <v>75.663197999999994</v>
      </c>
      <c r="M16" s="1">
        <f>SUM(M13:M15)</f>
        <v>76.502155000000002</v>
      </c>
      <c r="N16" s="31"/>
      <c r="O16" s="1">
        <f t="shared" ref="O16:W16" si="11">SUM(O13:O15)</f>
        <v>56.521948041648095</v>
      </c>
      <c r="P16" s="1">
        <f t="shared" si="11"/>
        <v>58.364834921819444</v>
      </c>
      <c r="Q16" s="1">
        <f t="shared" si="11"/>
        <v>58.168226593121446</v>
      </c>
      <c r="R16" s="1">
        <f t="shared" si="11"/>
        <v>59.392255000000006</v>
      </c>
      <c r="S16" s="1">
        <f t="shared" si="11"/>
        <v>64.659278</v>
      </c>
      <c r="T16" s="1">
        <f t="shared" si="11"/>
        <v>69.713937000000001</v>
      </c>
      <c r="U16" s="1">
        <f t="shared" ref="U16:V16" si="12">SUM(U13:U15)</f>
        <v>73.529752999999999</v>
      </c>
      <c r="V16" s="1">
        <f t="shared" si="12"/>
        <v>75.663197999999994</v>
      </c>
      <c r="W16" s="1">
        <f t="shared" si="11"/>
        <v>76.502155000000002</v>
      </c>
      <c r="Y16" s="35">
        <f t="shared" ref="Y16:AG16" si="13">SUM(Y13:Y15)</f>
        <v>56.521948041648095</v>
      </c>
      <c r="Z16" s="35">
        <f t="shared" si="13"/>
        <v>58.364834921819444</v>
      </c>
      <c r="AA16" s="35">
        <f t="shared" si="13"/>
        <v>58.168226593121446</v>
      </c>
      <c r="AB16" s="35">
        <f t="shared" si="13"/>
        <v>59.392255000000006</v>
      </c>
      <c r="AC16" s="4">
        <f>S16</f>
        <v>64.659278</v>
      </c>
      <c r="AD16" s="35">
        <f t="shared" si="13"/>
        <v>69.713937000000001</v>
      </c>
      <c r="AE16" s="35">
        <f t="shared" ref="AE16:AF16" si="14">SUM(AE13:AE15)</f>
        <v>73.529752999999999</v>
      </c>
      <c r="AF16" s="35">
        <f t="shared" si="14"/>
        <v>75.663197999999994</v>
      </c>
      <c r="AG16" s="35">
        <f t="shared" si="13"/>
        <v>76.502155000000002</v>
      </c>
      <c r="BI16" s="21"/>
    </row>
    <row r="17" spans="1:61">
      <c r="A17" t="s">
        <v>16</v>
      </c>
      <c r="B17" s="18"/>
      <c r="J17"/>
      <c r="N17" s="31"/>
      <c r="BI17" s="21"/>
    </row>
    <row r="18" spans="1:61" ht="15.75" thickBot="1">
      <c r="A18" t="s">
        <v>16</v>
      </c>
      <c r="B18" s="19"/>
      <c r="C18" s="13" t="s">
        <v>49</v>
      </c>
      <c r="D18" s="13"/>
      <c r="E18" s="4">
        <f>E12</f>
        <v>2017</v>
      </c>
      <c r="F18" s="4">
        <f t="shared" ref="F18:H18" si="15">F12</f>
        <v>2019</v>
      </c>
      <c r="G18" s="4">
        <f t="shared" si="15"/>
        <v>2020</v>
      </c>
      <c r="H18" s="4">
        <f t="shared" si="15"/>
        <v>2021</v>
      </c>
      <c r="I18" s="4">
        <v>2030</v>
      </c>
      <c r="J18" s="4">
        <v>2040</v>
      </c>
      <c r="K18" s="4">
        <v>2050</v>
      </c>
      <c r="L18" s="4">
        <v>2060</v>
      </c>
      <c r="M18" s="4">
        <v>2070</v>
      </c>
      <c r="N18" s="31"/>
      <c r="O18" s="4">
        <f t="shared" ref="O18:T18" si="16">E18</f>
        <v>2017</v>
      </c>
      <c r="P18" s="4">
        <f t="shared" si="16"/>
        <v>2019</v>
      </c>
      <c r="Q18" s="4">
        <f t="shared" si="16"/>
        <v>2020</v>
      </c>
      <c r="R18" s="4">
        <f t="shared" si="16"/>
        <v>2021</v>
      </c>
      <c r="S18" s="4">
        <f t="shared" si="16"/>
        <v>2030</v>
      </c>
      <c r="T18" s="4">
        <f t="shared" si="16"/>
        <v>2040</v>
      </c>
      <c r="U18" s="4">
        <f>L18</f>
        <v>2060</v>
      </c>
      <c r="V18" s="4">
        <f>L18</f>
        <v>2060</v>
      </c>
      <c r="W18" s="4">
        <f>M18</f>
        <v>2070</v>
      </c>
    </row>
    <row r="19" spans="1:61">
      <c r="A19" t="s">
        <v>16</v>
      </c>
      <c r="B19" s="18"/>
      <c r="C19" t="s">
        <v>7</v>
      </c>
      <c r="D19" s="26" t="s">
        <v>495</v>
      </c>
      <c r="E19" s="176">
        <f>RES!E43</f>
        <v>1</v>
      </c>
      <c r="F19" s="176">
        <f>AVERAGE(E19,G19)</f>
        <v>1</v>
      </c>
      <c r="G19" s="6">
        <f>RES!F43</f>
        <v>1</v>
      </c>
      <c r="H19" s="176">
        <f>AVERAGE(G19,I19)</f>
        <v>1</v>
      </c>
      <c r="I19" s="6">
        <f>RES!G43</f>
        <v>1</v>
      </c>
      <c r="J19" s="6">
        <f>RES!H43</f>
        <v>1</v>
      </c>
      <c r="K19" s="6">
        <f>RES!H43</f>
        <v>1</v>
      </c>
      <c r="L19" s="6">
        <f>RES!H43</f>
        <v>1</v>
      </c>
      <c r="M19" s="6">
        <f>RES!I43</f>
        <v>1</v>
      </c>
      <c r="N19" s="33"/>
      <c r="Q19" s="6"/>
      <c r="S19" s="6"/>
      <c r="T19" s="6"/>
      <c r="U19" s="6"/>
      <c r="V19" s="6"/>
      <c r="W19" s="6"/>
      <c r="X19" s="6"/>
      <c r="AA19" s="6"/>
      <c r="AC19" s="6"/>
      <c r="AD19" s="6"/>
      <c r="AE19" s="6"/>
      <c r="AF19" s="6"/>
      <c r="AG19" s="6"/>
      <c r="AH19" s="6"/>
      <c r="AI19" s="6"/>
      <c r="AJ19" s="6"/>
      <c r="AK19" s="6"/>
      <c r="AL19" s="6"/>
      <c r="AM19" s="6"/>
      <c r="AN19" s="6"/>
      <c r="AO19" s="6"/>
      <c r="AP19" s="6"/>
      <c r="AQ19" s="6"/>
      <c r="AR19" s="6"/>
      <c r="AS19" s="6"/>
      <c r="AT19" s="6"/>
      <c r="AU19" s="6"/>
      <c r="AV19" s="6"/>
      <c r="AW19" s="6"/>
      <c r="AX19" s="6"/>
      <c r="AY19" s="6"/>
    </row>
    <row r="20" spans="1:61">
      <c r="A20" t="s">
        <v>16</v>
      </c>
      <c r="B20" s="18"/>
      <c r="C20" s="18" t="s">
        <v>8</v>
      </c>
      <c r="D20" s="26" t="s">
        <v>495</v>
      </c>
      <c r="E20" s="176">
        <f>RES!E44</f>
        <v>1</v>
      </c>
      <c r="F20" s="176">
        <f t="shared" ref="F20:F21" si="17">AVERAGE(E20,G20)</f>
        <v>1</v>
      </c>
      <c r="G20" s="6">
        <f>RES!F44</f>
        <v>1</v>
      </c>
      <c r="H20" s="176">
        <f t="shared" ref="H20:H21" si="18">AVERAGE(G20,I20)</f>
        <v>1</v>
      </c>
      <c r="I20" s="6">
        <f>RES!G44</f>
        <v>1</v>
      </c>
      <c r="J20" s="6">
        <f>RES!H44</f>
        <v>1</v>
      </c>
      <c r="K20" s="6">
        <f>RES!H44</f>
        <v>1</v>
      </c>
      <c r="L20" s="6">
        <f>RES!H44</f>
        <v>1</v>
      </c>
      <c r="M20" s="6">
        <f>RES!I44</f>
        <v>1</v>
      </c>
      <c r="N20" s="33"/>
      <c r="Q20" s="6"/>
      <c r="S20" s="6"/>
      <c r="T20" s="6"/>
      <c r="U20" s="6"/>
      <c r="V20" s="6"/>
      <c r="W20" s="6"/>
      <c r="X20" s="6"/>
      <c r="AA20" s="6"/>
      <c r="AC20" s="6"/>
      <c r="AD20" s="6"/>
      <c r="AE20" s="6"/>
      <c r="AF20" s="6"/>
      <c r="AG20" s="6"/>
      <c r="AH20" s="6"/>
      <c r="AI20" s="6"/>
      <c r="AJ20" s="6"/>
      <c r="AK20" s="6"/>
      <c r="AL20" s="6"/>
      <c r="AM20" s="6"/>
      <c r="AN20" s="6"/>
      <c r="AO20" s="6"/>
      <c r="AP20" s="6"/>
      <c r="AQ20" s="6"/>
      <c r="AR20" s="6"/>
      <c r="AS20" s="6"/>
      <c r="AT20" s="6"/>
      <c r="AU20" s="6"/>
      <c r="AV20" s="6"/>
      <c r="AW20" s="6"/>
      <c r="AX20" s="6"/>
      <c r="AY20" s="6"/>
    </row>
    <row r="21" spans="1:61">
      <c r="A21" t="s">
        <v>16</v>
      </c>
      <c r="C21" s="18" t="s">
        <v>390</v>
      </c>
      <c r="D21" s="26" t="s">
        <v>495</v>
      </c>
      <c r="E21" s="176">
        <f>RES!E45</f>
        <v>1.0761183212512533</v>
      </c>
      <c r="F21" s="176">
        <f t="shared" si="17"/>
        <v>1.0376646442834887</v>
      </c>
      <c r="G21" s="3">
        <f>RES!F45</f>
        <v>0.99921096731572434</v>
      </c>
      <c r="H21" s="176">
        <f t="shared" si="18"/>
        <v>1.1170935951260446</v>
      </c>
      <c r="I21" s="6">
        <f>RES!G45</f>
        <v>1.2349762229363646</v>
      </c>
      <c r="J21" s="6">
        <f>RES!H45</f>
        <v>1.6919547229380809</v>
      </c>
      <c r="K21" s="6">
        <f>RES!I45</f>
        <v>2.2230447152746691</v>
      </c>
      <c r="L21" s="6">
        <f>RES!J45</f>
        <v>2.5121731010596071</v>
      </c>
      <c r="M21" s="6">
        <f>RES!K45</f>
        <v>2.7411143514484757</v>
      </c>
      <c r="N21" s="33"/>
      <c r="Q21" s="34">
        <v>0.25</v>
      </c>
      <c r="R21" s="34">
        <v>0.25</v>
      </c>
      <c r="S21" s="34">
        <f>Q21</f>
        <v>0.25</v>
      </c>
      <c r="T21" s="34">
        <f>S21</f>
        <v>0.25</v>
      </c>
      <c r="U21" s="34">
        <f>S21</f>
        <v>0.25</v>
      </c>
      <c r="V21" s="34">
        <f>S21</f>
        <v>0.25</v>
      </c>
      <c r="W21" s="34">
        <f>T21</f>
        <v>0.25</v>
      </c>
      <c r="X21" s="6"/>
      <c r="AA21" s="92"/>
      <c r="AC21" s="6"/>
      <c r="AD21" s="6"/>
      <c r="AE21" s="6"/>
      <c r="AF21" s="6"/>
      <c r="AG21" s="6"/>
      <c r="AH21" s="6"/>
      <c r="AI21" s="6"/>
      <c r="AJ21" s="6"/>
      <c r="AK21" s="6"/>
      <c r="AL21" s="6"/>
      <c r="AM21" s="6"/>
      <c r="AN21" s="6"/>
      <c r="AO21" s="6"/>
      <c r="AP21" s="6"/>
      <c r="AQ21" s="6"/>
      <c r="AR21" s="6"/>
      <c r="AS21" s="6"/>
      <c r="AT21" s="6"/>
      <c r="AU21" s="6"/>
      <c r="AV21" s="6"/>
      <c r="AW21" s="6"/>
      <c r="AX21" s="6"/>
      <c r="AY21" s="5"/>
    </row>
    <row r="22" spans="1:61">
      <c r="A22" t="s">
        <v>16</v>
      </c>
      <c r="C22" s="18"/>
      <c r="J22"/>
      <c r="N22" s="33"/>
      <c r="Q22" s="6"/>
      <c r="S22" s="6"/>
      <c r="T22" s="6"/>
      <c r="U22" s="6"/>
      <c r="V22" s="6"/>
      <c r="W22" s="6"/>
      <c r="X22" s="6"/>
      <c r="AA22" s="6"/>
      <c r="AC22" s="6"/>
      <c r="AD22" s="6"/>
      <c r="AE22" s="6"/>
      <c r="AF22" s="6"/>
      <c r="AG22" s="6"/>
      <c r="AH22" s="6"/>
      <c r="AI22" s="6"/>
      <c r="AJ22" s="6"/>
      <c r="AK22" s="6"/>
      <c r="AL22" s="6"/>
      <c r="AM22" s="6"/>
      <c r="AN22" s="6"/>
      <c r="AO22" s="6"/>
      <c r="AP22" s="6"/>
      <c r="AQ22" s="6"/>
      <c r="AR22" s="6"/>
      <c r="AS22" s="6"/>
      <c r="AT22" s="6"/>
      <c r="AU22" s="6"/>
      <c r="AV22" s="6"/>
      <c r="AW22" s="6"/>
      <c r="AX22" s="6"/>
      <c r="AY22" s="6"/>
    </row>
    <row r="23" spans="1:61">
      <c r="A23" t="s">
        <v>16</v>
      </c>
      <c r="B23" s="18"/>
      <c r="C23" s="18"/>
      <c r="J23"/>
      <c r="N23" s="31"/>
      <c r="Y23" t="s">
        <v>800</v>
      </c>
    </row>
    <row r="24" spans="1:61" ht="15.75" thickBot="1">
      <c r="A24" t="s">
        <v>16</v>
      </c>
      <c r="B24" s="13" t="s">
        <v>148</v>
      </c>
      <c r="D24" s="13"/>
      <c r="E24" s="4">
        <f t="shared" ref="E24:M24" si="19">E4</f>
        <v>2017</v>
      </c>
      <c r="F24" s="4">
        <f t="shared" si="19"/>
        <v>2019</v>
      </c>
      <c r="G24" s="4">
        <f t="shared" si="19"/>
        <v>2020</v>
      </c>
      <c r="H24" s="4">
        <f t="shared" si="19"/>
        <v>2021</v>
      </c>
      <c r="I24" s="4">
        <f t="shared" si="19"/>
        <v>2030</v>
      </c>
      <c r="J24" s="4">
        <f t="shared" si="19"/>
        <v>2040</v>
      </c>
      <c r="K24" s="4">
        <f t="shared" ref="K24:L24" si="20">K4</f>
        <v>2050</v>
      </c>
      <c r="L24" s="4">
        <f t="shared" si="20"/>
        <v>2060</v>
      </c>
      <c r="M24" s="4">
        <f t="shared" si="19"/>
        <v>2070</v>
      </c>
      <c r="N24" s="31"/>
      <c r="O24" s="4">
        <f t="shared" ref="O24:T24" si="21">E24</f>
        <v>2017</v>
      </c>
      <c r="P24" s="4">
        <f t="shared" si="21"/>
        <v>2019</v>
      </c>
      <c r="Q24" s="4">
        <f t="shared" si="21"/>
        <v>2020</v>
      </c>
      <c r="R24" s="4">
        <f t="shared" si="21"/>
        <v>2021</v>
      </c>
      <c r="S24" s="4">
        <f t="shared" si="21"/>
        <v>2030</v>
      </c>
      <c r="T24" s="4">
        <f t="shared" si="21"/>
        <v>2040</v>
      </c>
      <c r="U24" s="4">
        <f>L24</f>
        <v>2060</v>
      </c>
      <c r="V24" s="4">
        <f>L24</f>
        <v>2060</v>
      </c>
      <c r="W24" s="4">
        <f>M24</f>
        <v>2070</v>
      </c>
      <c r="Y24" s="248">
        <f t="shared" ref="Y24:AG24" si="22">Y$12</f>
        <v>2017</v>
      </c>
      <c r="Z24" s="248">
        <f t="shared" si="22"/>
        <v>2019</v>
      </c>
      <c r="AA24" s="248">
        <f t="shared" si="22"/>
        <v>2020</v>
      </c>
      <c r="AB24" s="248">
        <f t="shared" si="22"/>
        <v>2021</v>
      </c>
      <c r="AC24" s="248">
        <f t="shared" si="22"/>
        <v>2030</v>
      </c>
      <c r="AD24" s="248">
        <f t="shared" si="22"/>
        <v>2040</v>
      </c>
      <c r="AE24" s="248">
        <f t="shared" si="22"/>
        <v>2050</v>
      </c>
      <c r="AF24" s="248">
        <f t="shared" si="22"/>
        <v>2060</v>
      </c>
      <c r="AG24" s="248">
        <f t="shared" si="22"/>
        <v>2070</v>
      </c>
    </row>
    <row r="25" spans="1:61">
      <c r="A25" t="s">
        <v>16</v>
      </c>
      <c r="B25" s="166">
        <f>INDEX($U$5:$U$8,MATCH($D$3,$P$5:$P$8,0))</f>
        <v>0.95</v>
      </c>
      <c r="C25" s="18" t="str">
        <f>C19</f>
        <v>Low Income</v>
      </c>
      <c r="D25" t="s">
        <v>39</v>
      </c>
      <c r="E25" s="195">
        <v>0.02</v>
      </c>
      <c r="F25" s="48">
        <f t="shared" ref="F25:J27" si="23">IF($D$4,Z25,P25)</f>
        <v>0.02</v>
      </c>
      <c r="G25" s="48">
        <f t="shared" si="23"/>
        <v>0.02</v>
      </c>
      <c r="H25" s="48">
        <f t="shared" si="23"/>
        <v>0.02</v>
      </c>
      <c r="I25" s="48">
        <f t="shared" si="23"/>
        <v>0.02</v>
      </c>
      <c r="J25" s="48">
        <f t="shared" si="23"/>
        <v>0.02</v>
      </c>
      <c r="K25" s="48">
        <f>IF($D$4,AD25,T25)</f>
        <v>0.02</v>
      </c>
      <c r="L25" s="48">
        <f>IF($D$4,AD25,T25)</f>
        <v>0.02</v>
      </c>
      <c r="M25" s="48">
        <f>IF($D$4,AG25,W25)</f>
        <v>0.02</v>
      </c>
      <c r="N25" s="202"/>
      <c r="O25" s="355">
        <f>E25</f>
        <v>0.02</v>
      </c>
      <c r="P25" s="48">
        <f>O25</f>
        <v>0.02</v>
      </c>
      <c r="Q25" s="48">
        <f t="shared" ref="Q25:T25" si="24">P25</f>
        <v>0.02</v>
      </c>
      <c r="R25" s="48">
        <f t="shared" si="24"/>
        <v>0.02</v>
      </c>
      <c r="S25" s="25">
        <f t="shared" si="24"/>
        <v>0.02</v>
      </c>
      <c r="T25" s="25">
        <f t="shared" si="24"/>
        <v>0.02</v>
      </c>
      <c r="U25" s="25">
        <f>S25</f>
        <v>0.02</v>
      </c>
      <c r="V25" s="25">
        <f t="shared" ref="V25:W27" si="25">S25</f>
        <v>0.02</v>
      </c>
      <c r="W25" s="25">
        <f t="shared" si="25"/>
        <v>0.02</v>
      </c>
      <c r="X25" s="203"/>
      <c r="Y25" s="117">
        <f t="shared" ref="Y25:AB27" si="26">O25</f>
        <v>0.02</v>
      </c>
      <c r="Z25" s="117">
        <f t="shared" si="26"/>
        <v>0.02</v>
      </c>
      <c r="AA25" s="117">
        <f t="shared" si="26"/>
        <v>0.02</v>
      </c>
      <c r="AB25" s="117">
        <f t="shared" si="26"/>
        <v>0.02</v>
      </c>
      <c r="AC25" s="56">
        <f>AB25</f>
        <v>0.02</v>
      </c>
      <c r="AD25" s="56">
        <f t="shared" ref="AD25:AG25" si="27">AC25</f>
        <v>0.02</v>
      </c>
      <c r="AE25" s="56">
        <f t="shared" si="27"/>
        <v>0.02</v>
      </c>
      <c r="AF25" s="56">
        <f t="shared" si="27"/>
        <v>0.02</v>
      </c>
      <c r="AG25" s="56">
        <f t="shared" si="27"/>
        <v>0.02</v>
      </c>
      <c r="AH25" s="203"/>
      <c r="AI25" s="203"/>
      <c r="AJ25" s="203"/>
      <c r="AK25" s="203"/>
      <c r="AL25" s="203"/>
      <c r="AM25" s="203"/>
      <c r="AN25" s="203"/>
      <c r="AO25" s="203"/>
      <c r="AP25" s="203"/>
      <c r="AQ25" s="203"/>
      <c r="AR25" s="203"/>
      <c r="AS25" s="203"/>
      <c r="AT25" s="203"/>
      <c r="AU25" s="203"/>
      <c r="AV25" s="203"/>
      <c r="AW25" s="203"/>
      <c r="AX25" s="203"/>
      <c r="AY25" s="203"/>
    </row>
    <row r="26" spans="1:61">
      <c r="A26" t="s">
        <v>16</v>
      </c>
      <c r="B26" s="166">
        <f>INDEX($T$5:$T$8,MATCH($D$3,$P$5:$P$8,0))</f>
        <v>0.95</v>
      </c>
      <c r="C26" s="18" t="str">
        <f>C20</f>
        <v>Middle Income</v>
      </c>
      <c r="D26" t="s">
        <v>39</v>
      </c>
      <c r="E26" s="195">
        <v>0.53</v>
      </c>
      <c r="F26" s="48">
        <f t="shared" si="23"/>
        <v>0.53</v>
      </c>
      <c r="G26" s="48">
        <f t="shared" si="23"/>
        <v>0.53</v>
      </c>
      <c r="H26" s="48">
        <f t="shared" si="23"/>
        <v>0.53</v>
      </c>
      <c r="I26" s="48">
        <f t="shared" si="23"/>
        <v>0.50349999999999995</v>
      </c>
      <c r="J26" s="48">
        <f t="shared" si="23"/>
        <v>0.47832499999999994</v>
      </c>
      <c r="K26" s="48">
        <f>IF($D$4,AD26,T26)</f>
        <v>0.47832499999999994</v>
      </c>
      <c r="L26" s="48">
        <f>IF($D$4,AD26,T26)</f>
        <v>0.47832499999999994</v>
      </c>
      <c r="M26" s="48">
        <f>IF($D$4,AG26,W26)</f>
        <v>0.45440874999999992</v>
      </c>
      <c r="N26" s="202"/>
      <c r="O26" s="48">
        <f>E26</f>
        <v>0.53</v>
      </c>
      <c r="P26" s="48">
        <f t="shared" ref="P26:P27" si="28">O26</f>
        <v>0.53</v>
      </c>
      <c r="Q26" s="48">
        <f t="shared" ref="Q26:T26" si="29">P26</f>
        <v>0.53</v>
      </c>
      <c r="R26" s="48">
        <f t="shared" si="29"/>
        <v>0.53</v>
      </c>
      <c r="S26" s="25">
        <f t="shared" si="29"/>
        <v>0.53</v>
      </c>
      <c r="T26" s="25">
        <f t="shared" si="29"/>
        <v>0.53</v>
      </c>
      <c r="U26" s="25">
        <f>S26</f>
        <v>0.53</v>
      </c>
      <c r="V26" s="25">
        <f t="shared" si="25"/>
        <v>0.53</v>
      </c>
      <c r="W26" s="25">
        <f t="shared" si="25"/>
        <v>0.53</v>
      </c>
      <c r="X26" s="203"/>
      <c r="Y26" s="48">
        <f t="shared" si="26"/>
        <v>0.53</v>
      </c>
      <c r="Z26" s="48">
        <f t="shared" si="26"/>
        <v>0.53</v>
      </c>
      <c r="AA26" s="48">
        <f t="shared" si="26"/>
        <v>0.53</v>
      </c>
      <c r="AB26" s="48">
        <f t="shared" si="26"/>
        <v>0.53</v>
      </c>
      <c r="AC26" s="363">
        <f>IF(INDEX($V$5:$V$8,MATCH($D$3,$P$5:$P$8,0)),AA26*$B$26,AA26)</f>
        <v>0.50349999999999995</v>
      </c>
      <c r="AD26" s="363">
        <f>IF(INDEX($V$5:$V$8,MATCH($D$3,$P$5:$P$8,0)),AC26*$B$26,AC26)</f>
        <v>0.47832499999999994</v>
      </c>
      <c r="AE26" s="363">
        <f>IF(INDEX($V$5:$V$8,MATCH($D$3,$P$5:$P$8,0)),AC26*$B$26,AC26)</f>
        <v>0.47832499999999994</v>
      </c>
      <c r="AF26" s="363">
        <f>IF(INDEX($V$5:$V$8,MATCH($D$3,$P$5:$P$8,0)),AC26*$B$26,AC26)</f>
        <v>0.47832499999999994</v>
      </c>
      <c r="AG26" s="363">
        <f>IF(INDEX($V$5:$V$8,MATCH($D$3,$P$5:$P$8,0)),AD26*$B$26,AD26)</f>
        <v>0.45440874999999992</v>
      </c>
      <c r="AH26" s="92" t="s">
        <v>798</v>
      </c>
      <c r="AI26" s="203"/>
      <c r="AJ26" s="203"/>
      <c r="AK26" s="203"/>
      <c r="AL26" s="203"/>
      <c r="AM26" s="203"/>
      <c r="AN26" s="203"/>
      <c r="AO26" s="203"/>
      <c r="AP26" s="203"/>
      <c r="AQ26" s="203"/>
      <c r="AR26" s="203"/>
      <c r="AS26" s="203"/>
      <c r="AT26" s="203"/>
      <c r="AU26" s="203"/>
      <c r="AV26" s="203"/>
      <c r="AW26" s="203"/>
      <c r="AX26" s="203"/>
      <c r="AY26" s="203"/>
    </row>
    <row r="27" spans="1:61">
      <c r="A27" t="s">
        <v>16</v>
      </c>
      <c r="B27" s="166">
        <f>INDEX($S$5:$S$8,MATCH($D$3,$P$5:$P$8,0))</f>
        <v>0.95</v>
      </c>
      <c r="C27" s="18" t="str">
        <f>C21</f>
        <v>High Income</v>
      </c>
      <c r="D27" t="s">
        <v>39</v>
      </c>
      <c r="E27" s="232">
        <v>0.76810810810810803</v>
      </c>
      <c r="F27" s="48">
        <f t="shared" si="23"/>
        <v>0.76810810810810803</v>
      </c>
      <c r="G27" s="48">
        <f t="shared" si="23"/>
        <v>0.76810810810810803</v>
      </c>
      <c r="H27" s="48">
        <f t="shared" si="23"/>
        <v>0.76810810810810803</v>
      </c>
      <c r="I27" s="48">
        <f t="shared" si="23"/>
        <v>0.72970270270270254</v>
      </c>
      <c r="J27" s="48">
        <f t="shared" si="23"/>
        <v>0.69321756756756736</v>
      </c>
      <c r="K27" s="48">
        <f>IF($D$4,AD27,T27)</f>
        <v>0.69321756756756736</v>
      </c>
      <c r="L27" s="48">
        <f>IF($D$4,AD27,T27)</f>
        <v>0.69321756756756736</v>
      </c>
      <c r="M27" s="48">
        <f>IF($D$4,AG27,W27)</f>
        <v>0.65855668918918897</v>
      </c>
      <c r="N27" s="202"/>
      <c r="O27" s="48">
        <f>E27</f>
        <v>0.76810810810810803</v>
      </c>
      <c r="P27" s="48">
        <f t="shared" si="28"/>
        <v>0.76810810810810803</v>
      </c>
      <c r="Q27" s="48">
        <f t="shared" ref="Q27:T27" si="30">P27</f>
        <v>0.76810810810810803</v>
      </c>
      <c r="R27" s="48">
        <f t="shared" si="30"/>
        <v>0.76810810810810803</v>
      </c>
      <c r="S27" s="25">
        <f t="shared" si="30"/>
        <v>0.76810810810810803</v>
      </c>
      <c r="T27" s="25">
        <f t="shared" si="30"/>
        <v>0.76810810810810803</v>
      </c>
      <c r="U27" s="25">
        <f>S27</f>
        <v>0.76810810810810803</v>
      </c>
      <c r="V27" s="25">
        <f t="shared" si="25"/>
        <v>0.76810810810810803</v>
      </c>
      <c r="W27" s="25">
        <f t="shared" si="25"/>
        <v>0.76810810810810803</v>
      </c>
      <c r="X27" s="203"/>
      <c r="Y27" s="48">
        <f t="shared" si="26"/>
        <v>0.76810810810810803</v>
      </c>
      <c r="Z27" s="48">
        <f t="shared" si="26"/>
        <v>0.76810810810810803</v>
      </c>
      <c r="AA27" s="48">
        <f t="shared" si="26"/>
        <v>0.76810810810810803</v>
      </c>
      <c r="AB27" s="48">
        <f t="shared" si="26"/>
        <v>0.76810810810810803</v>
      </c>
      <c r="AC27" s="363">
        <f>IF(INDEX($V$5:$V$8,MATCH($D$3,$P$5:$P$8,0)),AA27*$B$27,AA27)</f>
        <v>0.72970270270270254</v>
      </c>
      <c r="AD27" s="363">
        <f>IF(INDEX($V$5:$V$8,MATCH($D$3,$P$5:$P$8,0)),AC27*$B$27,AC27)</f>
        <v>0.69321756756756736</v>
      </c>
      <c r="AE27" s="363">
        <f>IF(INDEX($V$5:$V$8,MATCH($D$3,$P$5:$P$8,0)),AC27*$B$27,AC27)</f>
        <v>0.69321756756756736</v>
      </c>
      <c r="AF27" s="363">
        <f>IF(INDEX($V$5:$V$8,MATCH($D$3,$P$5:$P$8,0)),AC27*$B$27,AC27)</f>
        <v>0.69321756756756736</v>
      </c>
      <c r="AG27" s="363">
        <f>IF(INDEX($V$5:$V$8,MATCH($D$3,$P$5:$P$8,0)),AD27*$B$27,AD27)</f>
        <v>0.65855668918918897</v>
      </c>
      <c r="AH27" s="203"/>
      <c r="AI27" s="203"/>
      <c r="AJ27" s="203"/>
      <c r="AK27" s="203"/>
      <c r="AL27" s="203"/>
      <c r="AM27" s="203"/>
      <c r="AN27" s="203"/>
      <c r="AO27" s="203"/>
      <c r="AP27" s="203"/>
      <c r="AQ27" s="203"/>
      <c r="AR27" s="203"/>
      <c r="AS27" s="203"/>
      <c r="AT27" s="203"/>
      <c r="AU27" s="203"/>
      <c r="AV27" s="203"/>
      <c r="AW27" s="203"/>
      <c r="AX27" s="203"/>
      <c r="AY27" s="203"/>
    </row>
    <row r="28" spans="1:61">
      <c r="A28" t="s">
        <v>16</v>
      </c>
      <c r="B28" s="18"/>
      <c r="C28" s="18"/>
      <c r="E28" s="164">
        <f t="shared" ref="E28" si="31">SUMPRODUCT(E25:E27,E13:E15)/E16</f>
        <v>0.35382139871830592</v>
      </c>
      <c r="F28" s="164">
        <f>SUMPRODUCT(F25:F27,F13:F15)/F16</f>
        <v>0.36055948207621846</v>
      </c>
      <c r="G28" s="164">
        <f t="shared" ref="G28:M28" si="32">SUMPRODUCT(G25:G27,G13:G15)/G16</f>
        <v>0.34183090621497481</v>
      </c>
      <c r="H28" s="164">
        <f t="shared" si="32"/>
        <v>0.34861809307349323</v>
      </c>
      <c r="I28" s="164">
        <f t="shared" si="32"/>
        <v>0.35992110224446611</v>
      </c>
      <c r="J28" s="164">
        <f t="shared" si="32"/>
        <v>0.38409112471242596</v>
      </c>
      <c r="K28" s="164">
        <f t="shared" ref="K28:L28" si="33">SUMPRODUCT(K25:K27,K13:K15)/K16</f>
        <v>0.42363328818681484</v>
      </c>
      <c r="L28" s="164">
        <f t="shared" si="33"/>
        <v>0.46220596785290785</v>
      </c>
      <c r="M28" s="164">
        <f t="shared" si="32"/>
        <v>0.47592057970798224</v>
      </c>
      <c r="N28" s="31"/>
      <c r="Y28" t="s">
        <v>187</v>
      </c>
      <c r="AA28" s="164"/>
      <c r="AC28" s="164"/>
      <c r="AD28" s="24"/>
    </row>
    <row r="29" spans="1:61" ht="15.75" thickBot="1">
      <c r="A29" t="s">
        <v>16</v>
      </c>
      <c r="B29" s="13" t="s">
        <v>176</v>
      </c>
      <c r="D29" s="13"/>
      <c r="E29" s="4">
        <f>E4</f>
        <v>2017</v>
      </c>
      <c r="F29" s="4">
        <f t="shared" ref="F29:H29" si="34">F4</f>
        <v>2019</v>
      </c>
      <c r="G29" s="4">
        <f t="shared" si="34"/>
        <v>2020</v>
      </c>
      <c r="H29" s="4">
        <f t="shared" si="34"/>
        <v>2021</v>
      </c>
      <c r="I29" s="4">
        <v>2030</v>
      </c>
      <c r="J29" s="4">
        <v>2040</v>
      </c>
      <c r="K29" s="4">
        <v>2050</v>
      </c>
      <c r="L29" s="4">
        <v>2050</v>
      </c>
      <c r="M29" s="4">
        <v>2050</v>
      </c>
      <c r="N29" s="31"/>
      <c r="O29" s="4">
        <f t="shared" ref="O29:W29" si="35">O24</f>
        <v>2017</v>
      </c>
      <c r="P29" s="4">
        <f t="shared" si="35"/>
        <v>2019</v>
      </c>
      <c r="Q29" s="4">
        <f t="shared" si="35"/>
        <v>2020</v>
      </c>
      <c r="R29" s="4">
        <f t="shared" si="35"/>
        <v>2021</v>
      </c>
      <c r="S29" s="4">
        <f t="shared" si="35"/>
        <v>2030</v>
      </c>
      <c r="T29" s="4">
        <f t="shared" si="35"/>
        <v>2040</v>
      </c>
      <c r="U29" s="4">
        <f t="shared" ref="U29:V29" si="36">U24</f>
        <v>2060</v>
      </c>
      <c r="V29" s="4">
        <f t="shared" si="36"/>
        <v>2060</v>
      </c>
      <c r="W29" s="4">
        <f t="shared" si="35"/>
        <v>2070</v>
      </c>
      <c r="Y29" s="4">
        <f t="shared" ref="Y29:AD29" si="37">E29</f>
        <v>2017</v>
      </c>
      <c r="Z29" s="4">
        <f t="shared" si="37"/>
        <v>2019</v>
      </c>
      <c r="AA29" s="4">
        <f t="shared" si="37"/>
        <v>2020</v>
      </c>
      <c r="AB29" s="4">
        <f t="shared" si="37"/>
        <v>2021</v>
      </c>
      <c r="AC29" s="4">
        <f t="shared" si="37"/>
        <v>2030</v>
      </c>
      <c r="AD29" s="4">
        <f t="shared" si="37"/>
        <v>2040</v>
      </c>
      <c r="AE29" s="4">
        <f>L29</f>
        <v>2050</v>
      </c>
      <c r="AF29" s="4">
        <f>L29</f>
        <v>2050</v>
      </c>
      <c r="AG29" s="4">
        <f>M29</f>
        <v>2050</v>
      </c>
    </row>
    <row r="30" spans="1:61">
      <c r="A30" t="s">
        <v>16</v>
      </c>
      <c r="C30" s="18" t="str">
        <f>C25</f>
        <v>Low Income</v>
      </c>
      <c r="D30" t="s">
        <v>39</v>
      </c>
      <c r="E30" s="37">
        <v>0.25</v>
      </c>
      <c r="F30" s="47">
        <f t="shared" ref="F30:J32" si="38">IF($D$4,Z30,P30)</f>
        <v>0.25</v>
      </c>
      <c r="G30" s="47">
        <f t="shared" si="38"/>
        <v>0.25</v>
      </c>
      <c r="H30" s="47">
        <f t="shared" si="38"/>
        <v>0.25</v>
      </c>
      <c r="I30" s="47">
        <f t="shared" si="38"/>
        <v>0.23749999999999999</v>
      </c>
      <c r="J30" s="47">
        <f t="shared" si="38"/>
        <v>0.23749999999999999</v>
      </c>
      <c r="K30" s="47">
        <f>IF($D$4,AD30,T30)</f>
        <v>0.23749999999999999</v>
      </c>
      <c r="L30" s="47">
        <f>IF($D$4,AD30,T30)</f>
        <v>0.23749999999999999</v>
      </c>
      <c r="M30" s="47">
        <f>IF($D$4,AG30,W30)</f>
        <v>0.21434374999999997</v>
      </c>
      <c r="N30" s="32"/>
      <c r="O30" s="356">
        <f>E30</f>
        <v>0.25</v>
      </c>
      <c r="P30" s="47">
        <f>O30</f>
        <v>0.25</v>
      </c>
      <c r="Q30" s="47">
        <f>P30</f>
        <v>0.25</v>
      </c>
      <c r="R30" s="47">
        <f>Q30</f>
        <v>0.25</v>
      </c>
      <c r="S30" s="34">
        <f t="shared" ref="S30:T30" si="39">R30</f>
        <v>0.25</v>
      </c>
      <c r="T30" s="34">
        <f t="shared" si="39"/>
        <v>0.25</v>
      </c>
      <c r="U30" s="34">
        <f>S30</f>
        <v>0.25</v>
      </c>
      <c r="V30" s="34">
        <f>S30</f>
        <v>0.25</v>
      </c>
      <c r="W30" s="34">
        <f>T30</f>
        <v>0.25</v>
      </c>
      <c r="X30" s="194"/>
      <c r="Y30" s="48">
        <f t="shared" ref="Y30:AB32" si="40">O30</f>
        <v>0.25</v>
      </c>
      <c r="Z30" s="48">
        <f t="shared" si="40"/>
        <v>0.25</v>
      </c>
      <c r="AA30" s="48">
        <f t="shared" si="40"/>
        <v>0.25</v>
      </c>
      <c r="AB30" s="48">
        <f t="shared" si="40"/>
        <v>0.25</v>
      </c>
      <c r="AC30" s="55">
        <f>AA30*$B25</f>
        <v>0.23749999999999999</v>
      </c>
      <c r="AD30" s="55">
        <f>AB30*$B25</f>
        <v>0.23749999999999999</v>
      </c>
      <c r="AE30" s="55">
        <f t="shared" ref="AE30:AG30" si="41">AC30*$B25</f>
        <v>0.22562499999999999</v>
      </c>
      <c r="AF30" s="55">
        <f t="shared" si="41"/>
        <v>0.22562499999999999</v>
      </c>
      <c r="AG30" s="55">
        <f t="shared" si="41"/>
        <v>0.21434374999999997</v>
      </c>
      <c r="AH30" s="194"/>
      <c r="AI30" s="194"/>
      <c r="AJ30" s="194"/>
      <c r="AK30" s="194"/>
      <c r="AL30" s="194"/>
      <c r="AM30" s="194"/>
      <c r="AN30" s="194"/>
      <c r="AO30" s="194"/>
      <c r="AP30" s="194"/>
      <c r="AQ30" s="194"/>
      <c r="AR30" s="194"/>
      <c r="AS30" s="194"/>
      <c r="AT30" s="194"/>
      <c r="AU30" s="194"/>
      <c r="AV30" s="194"/>
      <c r="AW30" s="194"/>
      <c r="AX30" s="194"/>
      <c r="AY30" s="194"/>
    </row>
    <row r="31" spans="1:61">
      <c r="A31" t="s">
        <v>16</v>
      </c>
      <c r="C31" s="18" t="str">
        <f>C26</f>
        <v>Middle Income</v>
      </c>
      <c r="D31" t="s">
        <v>39</v>
      </c>
      <c r="E31" s="37">
        <v>0.3</v>
      </c>
      <c r="F31" s="47">
        <f t="shared" si="38"/>
        <v>0.3</v>
      </c>
      <c r="G31" s="47">
        <f t="shared" si="38"/>
        <v>0.3</v>
      </c>
      <c r="H31" s="47">
        <f t="shared" si="38"/>
        <v>0.3</v>
      </c>
      <c r="I31" s="47">
        <f t="shared" si="38"/>
        <v>0.28499999999999998</v>
      </c>
      <c r="J31" s="47">
        <f t="shared" si="38"/>
        <v>0.28499999999999998</v>
      </c>
      <c r="K31" s="47">
        <f>IF($D$4,AD31,T31)</f>
        <v>0.28499999999999998</v>
      </c>
      <c r="L31" s="47">
        <f>IF($D$4,AD31,T31)</f>
        <v>0.28499999999999998</v>
      </c>
      <c r="M31" s="47">
        <f>IF($D$4,AG31,W31)</f>
        <v>0.28499999999999998</v>
      </c>
      <c r="N31" s="32"/>
      <c r="O31" s="47">
        <f>E31</f>
        <v>0.3</v>
      </c>
      <c r="P31" s="47">
        <f t="shared" ref="P31:P32" si="42">O31</f>
        <v>0.3</v>
      </c>
      <c r="Q31" s="47">
        <f>P31</f>
        <v>0.3</v>
      </c>
      <c r="R31" s="47">
        <f>Q31</f>
        <v>0.3</v>
      </c>
      <c r="S31" s="34">
        <f t="shared" ref="S31:T31" si="43">R31</f>
        <v>0.3</v>
      </c>
      <c r="T31" s="34">
        <f t="shared" si="43"/>
        <v>0.3</v>
      </c>
      <c r="U31" s="34">
        <f>S31</f>
        <v>0.3</v>
      </c>
      <c r="V31" s="34">
        <f>S31</f>
        <v>0.3</v>
      </c>
      <c r="W31" s="34">
        <f>T31</f>
        <v>0.3</v>
      </c>
      <c r="X31" s="194"/>
      <c r="Y31" s="48">
        <f t="shared" si="40"/>
        <v>0.3</v>
      </c>
      <c r="Z31" s="48">
        <f t="shared" si="40"/>
        <v>0.3</v>
      </c>
      <c r="AA31" s="48">
        <f t="shared" si="40"/>
        <v>0.3</v>
      </c>
      <c r="AB31" s="48">
        <f t="shared" si="40"/>
        <v>0.3</v>
      </c>
      <c r="AC31" s="366">
        <f t="shared" ref="AC31:AG31" si="44">S31*$B26</f>
        <v>0.28499999999999998</v>
      </c>
      <c r="AD31" s="366">
        <f t="shared" si="44"/>
        <v>0.28499999999999998</v>
      </c>
      <c r="AE31" s="366">
        <f t="shared" si="44"/>
        <v>0.28499999999999998</v>
      </c>
      <c r="AF31" s="366">
        <f t="shared" si="44"/>
        <v>0.28499999999999998</v>
      </c>
      <c r="AG31" s="366">
        <f t="shared" si="44"/>
        <v>0.28499999999999998</v>
      </c>
      <c r="AH31" s="367" t="s">
        <v>799</v>
      </c>
      <c r="AI31" s="194"/>
      <c r="AJ31" s="194"/>
      <c r="AK31" s="194"/>
      <c r="AL31" s="194"/>
      <c r="AM31" s="194"/>
      <c r="AN31" s="194"/>
      <c r="AO31" s="194"/>
      <c r="AP31" s="194"/>
      <c r="AQ31" s="194"/>
      <c r="AR31" s="194"/>
      <c r="AS31" s="194"/>
      <c r="AT31" s="194"/>
      <c r="AU31" s="194"/>
      <c r="AV31" s="194"/>
      <c r="AW31" s="194"/>
      <c r="AX31" s="194"/>
      <c r="AY31" s="194"/>
    </row>
    <row r="32" spans="1:61" ht="15.75" thickBot="1">
      <c r="A32" t="s">
        <v>16</v>
      </c>
      <c r="C32" s="18" t="str">
        <f>C27</f>
        <v>High Income</v>
      </c>
      <c r="D32" t="s">
        <v>39</v>
      </c>
      <c r="E32" s="37">
        <v>0.40039186287579059</v>
      </c>
      <c r="F32" s="47">
        <f t="shared" si="38"/>
        <v>0.40039186287579059</v>
      </c>
      <c r="G32" s="47">
        <f t="shared" si="38"/>
        <v>0.3966824420527032</v>
      </c>
      <c r="H32" s="47">
        <f t="shared" si="38"/>
        <v>0.40045855369940653</v>
      </c>
      <c r="I32" s="47">
        <f t="shared" si="38"/>
        <v>0.39047210628406526</v>
      </c>
      <c r="J32" s="47">
        <f t="shared" si="38"/>
        <v>0.42659372427723158</v>
      </c>
      <c r="K32" s="47">
        <f>IF($D$4,AD32,T32)</f>
        <v>0.42659372427723158</v>
      </c>
      <c r="L32" s="47">
        <f>IF($D$4,AD32,T32)</f>
        <v>0.42659372427723158</v>
      </c>
      <c r="M32" s="47">
        <f>IF($D$4,AG32,W32)</f>
        <v>0.49272506148440709</v>
      </c>
      <c r="N32" s="32"/>
      <c r="O32" s="47">
        <f>E32</f>
        <v>0.40039186287579059</v>
      </c>
      <c r="P32" s="47">
        <f t="shared" si="42"/>
        <v>0.40039186287579059</v>
      </c>
      <c r="Q32" s="47">
        <f>P32*(1+Q21*(G21/F21-1))</f>
        <v>0.3966824420527032</v>
      </c>
      <c r="R32" s="47">
        <f>Q32*(1+R21*(H21/E21-1))</f>
        <v>0.40045855369940653</v>
      </c>
      <c r="S32" s="34">
        <f>R32*(1+S21*(I21/H21-1))</f>
        <v>0.41102326977270026</v>
      </c>
      <c r="T32" s="34">
        <f>S32*(1+T21*(J21/I21-1))</f>
        <v>0.44904602555498063</v>
      </c>
      <c r="U32" s="34">
        <f>S32*(1+U21*(L21/I21-1))</f>
        <v>0.51729204386729877</v>
      </c>
      <c r="V32" s="34">
        <f>S32*(1+V21*(L21/I21-1))</f>
        <v>0.51729204386729877</v>
      </c>
      <c r="W32" s="34">
        <f>T32*(1+W21*(M21/J21-1))</f>
        <v>0.51865795945727067</v>
      </c>
      <c r="X32" s="194"/>
      <c r="Y32" s="48">
        <f t="shared" si="40"/>
        <v>0.40039186287579059</v>
      </c>
      <c r="Z32" s="48">
        <f t="shared" si="40"/>
        <v>0.40039186287579059</v>
      </c>
      <c r="AA32" s="48">
        <f t="shared" si="40"/>
        <v>0.3966824420527032</v>
      </c>
      <c r="AB32" s="48">
        <f t="shared" si="40"/>
        <v>0.40045855369940653</v>
      </c>
      <c r="AC32" s="366">
        <f>S32*$B27</f>
        <v>0.39047210628406526</v>
      </c>
      <c r="AD32" s="366">
        <f>T32*$B27</f>
        <v>0.42659372427723158</v>
      </c>
      <c r="AE32" s="366">
        <f>U32*$B27</f>
        <v>0.49142744167393382</v>
      </c>
      <c r="AF32" s="366">
        <f>V32*$B27</f>
        <v>0.49142744167393382</v>
      </c>
      <c r="AG32" s="366">
        <f>W32*$B27</f>
        <v>0.49272506148440709</v>
      </c>
      <c r="AH32" s="194"/>
      <c r="AI32" s="194"/>
      <c r="AJ32" s="194"/>
      <c r="AK32" s="194"/>
      <c r="AL32" s="194"/>
      <c r="AM32" s="194"/>
      <c r="AN32" s="194"/>
      <c r="AO32" s="194"/>
      <c r="AP32" s="194"/>
      <c r="AQ32" s="194"/>
      <c r="AR32" s="194"/>
      <c r="AS32" s="194"/>
      <c r="AT32" s="194"/>
      <c r="AU32" s="194"/>
      <c r="AV32" s="194"/>
      <c r="AW32" s="194"/>
      <c r="AX32" s="194"/>
      <c r="AY32" s="194"/>
    </row>
    <row r="33" spans="1:51" ht="48.75">
      <c r="A33" t="s">
        <v>16</v>
      </c>
      <c r="C33" s="18"/>
      <c r="D33" s="361" t="s">
        <v>796</v>
      </c>
      <c r="E33" s="289">
        <f t="shared" ref="E33:M33" si="45">SUMPRODUCT(E30:E32,E$13:E$15)/E$16</f>
        <v>0.30091725422531551</v>
      </c>
      <c r="F33" s="289">
        <f t="shared" si="45"/>
        <v>0.30192482056635134</v>
      </c>
      <c r="G33" s="289">
        <f t="shared" si="45"/>
        <v>0.29650350250840096</v>
      </c>
      <c r="H33" s="289">
        <f t="shared" si="45"/>
        <v>0.29982801369349593</v>
      </c>
      <c r="I33" s="289">
        <f t="shared" si="45"/>
        <v>0.29217915357105018</v>
      </c>
      <c r="J33" s="289">
        <f t="shared" si="45"/>
        <v>0.31144933429275556</v>
      </c>
      <c r="K33" s="289">
        <f t="shared" ref="K33:L33" si="46">SUMPRODUCT(K30:K32,K$13:K$15)/K$16</f>
        <v>0.31998103356931307</v>
      </c>
      <c r="L33" s="289">
        <f t="shared" si="46"/>
        <v>0.32830251581902703</v>
      </c>
      <c r="M33" s="289">
        <f t="shared" si="45"/>
        <v>0.36055213246613277</v>
      </c>
      <c r="N33" s="32"/>
      <c r="X33" s="194"/>
      <c r="Y33" s="4" t="s">
        <v>795</v>
      </c>
      <c r="AH33" s="194"/>
      <c r="AI33" s="194"/>
      <c r="AJ33" s="194"/>
      <c r="AK33" s="194"/>
      <c r="AL33" s="194"/>
      <c r="AM33" s="194"/>
      <c r="AN33" s="194"/>
      <c r="AO33" s="194"/>
      <c r="AP33" s="194"/>
      <c r="AQ33" s="194"/>
      <c r="AR33" s="194"/>
      <c r="AS33" s="194"/>
      <c r="AT33" s="194"/>
      <c r="AU33" s="194"/>
      <c r="AV33" s="194"/>
      <c r="AW33" s="194"/>
      <c r="AX33" s="194"/>
      <c r="AY33" s="194"/>
    </row>
    <row r="34" spans="1:51" ht="15.75" thickBot="1">
      <c r="A34" t="s">
        <v>16</v>
      </c>
      <c r="B34" s="13" t="s">
        <v>177</v>
      </c>
      <c r="D34" s="362">
        <f>INDEX($X$5:$X$8,MATCH($D$3,$P$5:$P$8,0))</f>
        <v>0</v>
      </c>
      <c r="E34" s="4">
        <f>E4</f>
        <v>2017</v>
      </c>
      <c r="F34" s="4">
        <f t="shared" ref="F34:H34" si="47">F4</f>
        <v>2019</v>
      </c>
      <c r="G34" s="4">
        <f t="shared" si="47"/>
        <v>2020</v>
      </c>
      <c r="H34" s="4">
        <f t="shared" si="47"/>
        <v>2021</v>
      </c>
      <c r="I34" s="4">
        <v>2030</v>
      </c>
      <c r="J34" s="4">
        <v>2040</v>
      </c>
      <c r="K34" s="4">
        <v>2050</v>
      </c>
      <c r="L34" s="4">
        <v>2050</v>
      </c>
      <c r="M34" s="4">
        <v>2050</v>
      </c>
      <c r="N34" s="31"/>
      <c r="O34" s="4">
        <f t="shared" ref="O34:S34" si="48">O29</f>
        <v>2017</v>
      </c>
      <c r="P34" s="4">
        <f t="shared" si="48"/>
        <v>2019</v>
      </c>
      <c r="Q34" s="4">
        <f t="shared" si="48"/>
        <v>2020</v>
      </c>
      <c r="R34" s="4">
        <f t="shared" si="48"/>
        <v>2021</v>
      </c>
      <c r="S34" s="4">
        <f t="shared" si="48"/>
        <v>2030</v>
      </c>
      <c r="T34" s="4">
        <f>J34</f>
        <v>2040</v>
      </c>
      <c r="U34" s="4">
        <f>L34</f>
        <v>2050</v>
      </c>
      <c r="V34" s="4">
        <f>L34</f>
        <v>2050</v>
      </c>
      <c r="W34" s="4">
        <f>M34</f>
        <v>2050</v>
      </c>
      <c r="X34" s="194"/>
      <c r="Y34" s="4">
        <f t="shared" ref="Y34:AD34" si="49">E34</f>
        <v>2017</v>
      </c>
      <c r="Z34" s="4">
        <f t="shared" si="49"/>
        <v>2019</v>
      </c>
      <c r="AA34" s="4">
        <f t="shared" si="49"/>
        <v>2020</v>
      </c>
      <c r="AB34" s="4">
        <f t="shared" si="49"/>
        <v>2021</v>
      </c>
      <c r="AC34" s="4">
        <f t="shared" si="49"/>
        <v>2030</v>
      </c>
      <c r="AD34" s="4">
        <f t="shared" si="49"/>
        <v>2040</v>
      </c>
      <c r="AE34" s="4">
        <f>L34</f>
        <v>2050</v>
      </c>
      <c r="AF34" s="4">
        <f>L34</f>
        <v>2050</v>
      </c>
      <c r="AG34" s="4">
        <f>M34</f>
        <v>2050</v>
      </c>
    </row>
    <row r="35" spans="1:51">
      <c r="A35" t="s">
        <v>16</v>
      </c>
      <c r="C35" s="18" t="str">
        <f>C30</f>
        <v>Low Income</v>
      </c>
      <c r="D35" t="s">
        <v>85</v>
      </c>
      <c r="E35" s="37">
        <v>1.4</v>
      </c>
      <c r="F35" s="47">
        <f t="shared" ref="F35:J38" si="50">IF($D$4,Z35,P35)</f>
        <v>1.4</v>
      </c>
      <c r="G35" s="47">
        <f t="shared" si="50"/>
        <v>1.4</v>
      </c>
      <c r="H35" s="47">
        <f t="shared" si="50"/>
        <v>1.4</v>
      </c>
      <c r="I35" s="47">
        <f t="shared" si="50"/>
        <v>1.4</v>
      </c>
      <c r="J35" s="47">
        <f t="shared" si="50"/>
        <v>1.4</v>
      </c>
      <c r="K35" s="47">
        <f>IF($D$4,AD35,T35)</f>
        <v>1.4</v>
      </c>
      <c r="L35" s="47">
        <f>IF($D$4,AD35,T35)</f>
        <v>1.4</v>
      </c>
      <c r="M35" s="47">
        <f>IF($D$4,AG35,W35)</f>
        <v>1.4</v>
      </c>
      <c r="N35" s="32"/>
      <c r="O35" s="335">
        <f>E35</f>
        <v>1.4</v>
      </c>
      <c r="P35" s="358">
        <f t="shared" ref="P35:T35" si="51">O35</f>
        <v>1.4</v>
      </c>
      <c r="Q35" s="358">
        <f t="shared" si="51"/>
        <v>1.4</v>
      </c>
      <c r="R35" s="358">
        <f t="shared" ref="R35" si="52">Q35</f>
        <v>1.4</v>
      </c>
      <c r="S35" s="358">
        <f t="shared" si="51"/>
        <v>1.4</v>
      </c>
      <c r="T35" s="358">
        <f t="shared" si="51"/>
        <v>1.4</v>
      </c>
      <c r="U35" s="358">
        <f>S35</f>
        <v>1.4</v>
      </c>
      <c r="V35" s="358">
        <f t="shared" ref="V35:W38" si="53">S35</f>
        <v>1.4</v>
      </c>
      <c r="W35" s="358">
        <f t="shared" si="53"/>
        <v>1.4</v>
      </c>
      <c r="X35" s="359" t="s">
        <v>794</v>
      </c>
      <c r="Y35" s="358">
        <f t="shared" ref="Y35:AB38" si="54">O35</f>
        <v>1.4</v>
      </c>
      <c r="Z35" s="358">
        <f t="shared" si="54"/>
        <v>1.4</v>
      </c>
      <c r="AA35" s="358">
        <f t="shared" si="54"/>
        <v>1.4</v>
      </c>
      <c r="AB35" s="358">
        <f t="shared" si="54"/>
        <v>1.4</v>
      </c>
      <c r="AC35" s="360">
        <f>AA35*(1+$D$34)</f>
        <v>1.4</v>
      </c>
      <c r="AD35" s="360">
        <f t="shared" ref="AD35:AD38" si="55">AC35*(1+$D$34)</f>
        <v>1.4</v>
      </c>
      <c r="AE35" s="360">
        <f>AC35*(1+$D$34)</f>
        <v>1.4</v>
      </c>
      <c r="AF35" s="360">
        <f t="shared" ref="AF35:AG38" si="56">AC35*(1+$D$34)</f>
        <v>1.4</v>
      </c>
      <c r="AG35" s="360">
        <f t="shared" si="56"/>
        <v>1.4</v>
      </c>
      <c r="AH35" s="194"/>
      <c r="AI35" s="194"/>
      <c r="AJ35" s="194"/>
      <c r="AK35" s="194"/>
      <c r="AL35" s="194"/>
      <c r="AM35" s="194"/>
      <c r="AN35" s="194"/>
      <c r="AO35" s="194"/>
      <c r="AP35" s="194"/>
      <c r="AQ35" s="194"/>
      <c r="AR35" s="194"/>
      <c r="AS35" s="194"/>
      <c r="AT35" s="194"/>
      <c r="AU35" s="194"/>
      <c r="AV35" s="194"/>
      <c r="AW35" s="194"/>
      <c r="AX35" s="194"/>
      <c r="AY35" s="194"/>
    </row>
    <row r="36" spans="1:51">
      <c r="A36" t="s">
        <v>16</v>
      </c>
      <c r="C36" s="18" t="str">
        <f>C31</f>
        <v>Middle Income</v>
      </c>
      <c r="D36" t="s">
        <v>85</v>
      </c>
      <c r="E36" s="37">
        <v>1.4</v>
      </c>
      <c r="F36" s="47">
        <f t="shared" si="50"/>
        <v>1.4</v>
      </c>
      <c r="G36" s="47">
        <f t="shared" si="50"/>
        <v>1.4</v>
      </c>
      <c r="H36" s="47">
        <f t="shared" si="50"/>
        <v>1.4</v>
      </c>
      <c r="I36" s="47">
        <f t="shared" si="50"/>
        <v>1.4</v>
      </c>
      <c r="J36" s="47">
        <f t="shared" si="50"/>
        <v>1.4</v>
      </c>
      <c r="K36" s="47">
        <f>IF($D$4,AD36,T36)</f>
        <v>1.4</v>
      </c>
      <c r="L36" s="47">
        <f>IF($D$4,AD36,T36)</f>
        <v>1.4</v>
      </c>
      <c r="M36" s="47">
        <f>IF($D$4,AG36,W36)</f>
        <v>1.4</v>
      </c>
      <c r="N36" s="32"/>
      <c r="O36" s="335">
        <f t="shared" ref="O36:O38" si="57">E36</f>
        <v>1.4</v>
      </c>
      <c r="P36" s="358">
        <f t="shared" ref="P36:T38" si="58">O36</f>
        <v>1.4</v>
      </c>
      <c r="Q36" s="358">
        <f t="shared" si="58"/>
        <v>1.4</v>
      </c>
      <c r="R36" s="358">
        <f t="shared" ref="R36" si="59">Q36</f>
        <v>1.4</v>
      </c>
      <c r="S36" s="358">
        <f t="shared" si="58"/>
        <v>1.4</v>
      </c>
      <c r="T36" s="358">
        <f t="shared" si="58"/>
        <v>1.4</v>
      </c>
      <c r="U36" s="358">
        <f>S36</f>
        <v>1.4</v>
      </c>
      <c r="V36" s="358">
        <f t="shared" si="53"/>
        <v>1.4</v>
      </c>
      <c r="W36" s="358">
        <f t="shared" si="53"/>
        <v>1.4</v>
      </c>
      <c r="X36" s="359"/>
      <c r="Y36" s="358">
        <f t="shared" si="54"/>
        <v>1.4</v>
      </c>
      <c r="Z36" s="358">
        <f t="shared" si="54"/>
        <v>1.4</v>
      </c>
      <c r="AA36" s="358">
        <f t="shared" si="54"/>
        <v>1.4</v>
      </c>
      <c r="AB36" s="358">
        <f t="shared" si="54"/>
        <v>1.4</v>
      </c>
      <c r="AC36" s="360">
        <f>AA36*(1+$D$34)</f>
        <v>1.4</v>
      </c>
      <c r="AD36" s="360">
        <f t="shared" si="55"/>
        <v>1.4</v>
      </c>
      <c r="AE36" s="360">
        <f>AC36*(1+$D$34)</f>
        <v>1.4</v>
      </c>
      <c r="AF36" s="360">
        <f t="shared" si="56"/>
        <v>1.4</v>
      </c>
      <c r="AG36" s="360">
        <f t="shared" si="56"/>
        <v>1.4</v>
      </c>
      <c r="AH36" s="194"/>
      <c r="AI36" s="194"/>
      <c r="AJ36" s="194"/>
      <c r="AK36" s="194"/>
      <c r="AL36" s="194"/>
      <c r="AM36" s="194"/>
      <c r="AN36" s="194"/>
      <c r="AO36" s="194"/>
      <c r="AP36" s="194"/>
      <c r="AQ36" s="194"/>
      <c r="AR36" s="194"/>
      <c r="AS36" s="194"/>
      <c r="AT36" s="194"/>
      <c r="AU36" s="194"/>
      <c r="AV36" s="194"/>
      <c r="AW36" s="194"/>
      <c r="AX36" s="194"/>
      <c r="AY36" s="194"/>
    </row>
    <row r="37" spans="1:51">
      <c r="A37" t="s">
        <v>16</v>
      </c>
      <c r="C37" s="18" t="str">
        <f>C32</f>
        <v>High Income</v>
      </c>
      <c r="D37" t="s">
        <v>85</v>
      </c>
      <c r="E37" s="37">
        <v>1.4</v>
      </c>
      <c r="F37" s="47">
        <f t="shared" si="50"/>
        <v>1.4</v>
      </c>
      <c r="G37" s="47">
        <f t="shared" si="50"/>
        <v>1.4</v>
      </c>
      <c r="H37" s="47">
        <f t="shared" si="50"/>
        <v>1.4</v>
      </c>
      <c r="I37" s="47">
        <f t="shared" si="50"/>
        <v>1.4</v>
      </c>
      <c r="J37" s="47">
        <f t="shared" si="50"/>
        <v>1.4</v>
      </c>
      <c r="K37" s="47">
        <f>IF($D$4,AD37,T37)</f>
        <v>1.4</v>
      </c>
      <c r="L37" s="47">
        <f>IF($D$4,AD37,T37)</f>
        <v>1.4</v>
      </c>
      <c r="M37" s="47">
        <f>IF($D$4,AG37,W37)</f>
        <v>1.4</v>
      </c>
      <c r="N37" s="32"/>
      <c r="O37" s="335">
        <f t="shared" si="57"/>
        <v>1.4</v>
      </c>
      <c r="P37" s="358">
        <f t="shared" si="58"/>
        <v>1.4</v>
      </c>
      <c r="Q37" s="358">
        <f t="shared" si="58"/>
        <v>1.4</v>
      </c>
      <c r="R37" s="358">
        <f t="shared" ref="R37" si="60">Q37</f>
        <v>1.4</v>
      </c>
      <c r="S37" s="358">
        <f t="shared" si="58"/>
        <v>1.4</v>
      </c>
      <c r="T37" s="358">
        <f t="shared" si="58"/>
        <v>1.4</v>
      </c>
      <c r="U37" s="358">
        <f>S37</f>
        <v>1.4</v>
      </c>
      <c r="V37" s="358">
        <f t="shared" si="53"/>
        <v>1.4</v>
      </c>
      <c r="W37" s="358">
        <f t="shared" si="53"/>
        <v>1.4</v>
      </c>
      <c r="X37" s="359"/>
      <c r="Y37" s="358">
        <f t="shared" si="54"/>
        <v>1.4</v>
      </c>
      <c r="Z37" s="358">
        <f t="shared" si="54"/>
        <v>1.4</v>
      </c>
      <c r="AA37" s="358">
        <f t="shared" si="54"/>
        <v>1.4</v>
      </c>
      <c r="AB37" s="358">
        <f t="shared" si="54"/>
        <v>1.4</v>
      </c>
      <c r="AC37" s="360">
        <f>AA37*(1+$D$34)</f>
        <v>1.4</v>
      </c>
      <c r="AD37" s="360">
        <f t="shared" si="55"/>
        <v>1.4</v>
      </c>
      <c r="AE37" s="360">
        <f>AC37*(1+$D$34)</f>
        <v>1.4</v>
      </c>
      <c r="AF37" s="360">
        <f t="shared" si="56"/>
        <v>1.4</v>
      </c>
      <c r="AG37" s="360">
        <f t="shared" si="56"/>
        <v>1.4</v>
      </c>
      <c r="AH37" s="194"/>
      <c r="AI37" s="194"/>
      <c r="AJ37" s="194"/>
      <c r="AK37" s="194"/>
      <c r="AL37" s="194"/>
      <c r="AM37" s="194"/>
      <c r="AN37" s="194"/>
      <c r="AO37" s="194"/>
      <c r="AP37" s="194"/>
      <c r="AQ37" s="194"/>
      <c r="AR37" s="194"/>
      <c r="AS37" s="194"/>
      <c r="AT37" s="194"/>
      <c r="AU37" s="194"/>
      <c r="AV37" s="194"/>
      <c r="AW37" s="194"/>
      <c r="AX37" s="194"/>
      <c r="AY37" s="194"/>
    </row>
    <row r="38" spans="1:51">
      <c r="A38" t="s">
        <v>16</v>
      </c>
      <c r="C38" s="18" t="s">
        <v>183</v>
      </c>
      <c r="D38" t="s">
        <v>85</v>
      </c>
      <c r="E38" s="37">
        <v>1.4</v>
      </c>
      <c r="F38" s="47">
        <f t="shared" si="50"/>
        <v>1.4</v>
      </c>
      <c r="G38" s="47">
        <f t="shared" si="50"/>
        <v>1.4</v>
      </c>
      <c r="H38" s="47">
        <f t="shared" si="50"/>
        <v>1.4</v>
      </c>
      <c r="I38" s="47">
        <f t="shared" si="50"/>
        <v>1.4</v>
      </c>
      <c r="J38" s="47">
        <f t="shared" si="50"/>
        <v>1.4</v>
      </c>
      <c r="K38" s="47">
        <f>IF($D$4,AD38,T38)</f>
        <v>1.4</v>
      </c>
      <c r="L38" s="47">
        <f>IF($D$4,AD38,T38)</f>
        <v>1.4</v>
      </c>
      <c r="M38" s="47">
        <f>IF($D$4,AG38,W38)</f>
        <v>1.4</v>
      </c>
      <c r="N38" s="31"/>
      <c r="O38" s="335">
        <f t="shared" si="57"/>
        <v>1.4</v>
      </c>
      <c r="P38" s="358">
        <f t="shared" si="58"/>
        <v>1.4</v>
      </c>
      <c r="Q38" s="358">
        <f t="shared" si="58"/>
        <v>1.4</v>
      </c>
      <c r="R38" s="358">
        <f t="shared" ref="R38" si="61">Q38</f>
        <v>1.4</v>
      </c>
      <c r="S38" s="358">
        <f t="shared" si="58"/>
        <v>1.4</v>
      </c>
      <c r="T38" s="358">
        <f t="shared" si="58"/>
        <v>1.4</v>
      </c>
      <c r="U38" s="358">
        <f>S38</f>
        <v>1.4</v>
      </c>
      <c r="V38" s="358">
        <f t="shared" si="53"/>
        <v>1.4</v>
      </c>
      <c r="W38" s="358">
        <f t="shared" si="53"/>
        <v>1.4</v>
      </c>
      <c r="X38" s="281"/>
      <c r="Y38" s="358">
        <f t="shared" si="54"/>
        <v>1.4</v>
      </c>
      <c r="Z38" s="358">
        <f t="shared" si="54"/>
        <v>1.4</v>
      </c>
      <c r="AA38" s="358">
        <f t="shared" si="54"/>
        <v>1.4</v>
      </c>
      <c r="AB38" s="358">
        <f t="shared" si="54"/>
        <v>1.4</v>
      </c>
      <c r="AC38" s="360">
        <f>AA38*(1+$D$34)</f>
        <v>1.4</v>
      </c>
      <c r="AD38" s="360">
        <f t="shared" si="55"/>
        <v>1.4</v>
      </c>
      <c r="AE38" s="360">
        <f>AC38*(1+$D$34)</f>
        <v>1.4</v>
      </c>
      <c r="AF38" s="360">
        <f t="shared" si="56"/>
        <v>1.4</v>
      </c>
      <c r="AG38" s="360">
        <f t="shared" si="56"/>
        <v>1.4</v>
      </c>
    </row>
    <row r="39" spans="1:51">
      <c r="A39" t="s">
        <v>16</v>
      </c>
      <c r="C39" s="18"/>
      <c r="J39"/>
      <c r="N39" s="32"/>
      <c r="O39" s="3">
        <v>1</v>
      </c>
      <c r="P39" s="3"/>
      <c r="Q39" s="3"/>
      <c r="R39" s="3"/>
      <c r="S39" s="3"/>
      <c r="X39" s="194"/>
      <c r="Y39" t="s">
        <v>188</v>
      </c>
      <c r="AH39" s="194"/>
      <c r="AI39" s="194"/>
      <c r="AJ39" s="194"/>
      <c r="AK39" s="194"/>
      <c r="AL39" s="194"/>
      <c r="AM39" s="194"/>
      <c r="AN39" s="194"/>
      <c r="AO39" s="194"/>
      <c r="AP39" s="194"/>
      <c r="AQ39" s="194"/>
      <c r="AR39" s="194"/>
      <c r="AS39" s="194"/>
      <c r="AT39" s="194"/>
      <c r="AU39" s="194"/>
      <c r="AV39" s="194"/>
      <c r="AW39" s="194"/>
      <c r="AX39" s="194"/>
      <c r="AY39" s="194"/>
    </row>
    <row r="40" spans="1:51" ht="15.75" thickBot="1">
      <c r="A40" t="s">
        <v>16</v>
      </c>
      <c r="B40" s="13" t="s">
        <v>178</v>
      </c>
      <c r="D40" s="13"/>
      <c r="E40" s="4">
        <f>E4</f>
        <v>2017</v>
      </c>
      <c r="F40" s="4">
        <f t="shared" ref="F40:H40" si="62">F4</f>
        <v>2019</v>
      </c>
      <c r="G40" s="4">
        <f t="shared" si="62"/>
        <v>2020</v>
      </c>
      <c r="H40" s="4">
        <f t="shared" si="62"/>
        <v>2021</v>
      </c>
      <c r="I40" s="4">
        <v>2030</v>
      </c>
      <c r="J40" s="4">
        <v>2040</v>
      </c>
      <c r="K40" s="4">
        <v>2050</v>
      </c>
      <c r="L40" s="4">
        <v>2050</v>
      </c>
      <c r="M40" s="4">
        <v>2050</v>
      </c>
      <c r="N40" s="246" t="s">
        <v>626</v>
      </c>
      <c r="O40" s="4">
        <f t="shared" ref="O40:W40" si="63">O34</f>
        <v>2017</v>
      </c>
      <c r="P40" s="4">
        <f t="shared" si="63"/>
        <v>2019</v>
      </c>
      <c r="Q40" s="4">
        <f t="shared" si="63"/>
        <v>2020</v>
      </c>
      <c r="R40" s="4">
        <f t="shared" si="63"/>
        <v>2021</v>
      </c>
      <c r="S40" s="4">
        <f t="shared" si="63"/>
        <v>2030</v>
      </c>
      <c r="T40" s="4">
        <f t="shared" si="63"/>
        <v>2040</v>
      </c>
      <c r="U40" s="4">
        <f t="shared" ref="U40:V40" si="64">U34</f>
        <v>2050</v>
      </c>
      <c r="V40" s="4">
        <f t="shared" si="64"/>
        <v>2050</v>
      </c>
      <c r="W40" s="4">
        <f t="shared" si="63"/>
        <v>2050</v>
      </c>
      <c r="Y40" s="4">
        <f t="shared" ref="Y40:AD40" si="65">E40</f>
        <v>2017</v>
      </c>
      <c r="Z40" s="4">
        <f t="shared" si="65"/>
        <v>2019</v>
      </c>
      <c r="AA40" s="4">
        <f t="shared" si="65"/>
        <v>2020</v>
      </c>
      <c r="AB40" s="4">
        <f t="shared" si="65"/>
        <v>2021</v>
      </c>
      <c r="AC40" s="4">
        <f t="shared" si="65"/>
        <v>2030</v>
      </c>
      <c r="AD40" s="4">
        <f t="shared" si="65"/>
        <v>2040</v>
      </c>
      <c r="AE40" s="4">
        <f>L40</f>
        <v>2050</v>
      </c>
      <c r="AF40" s="4">
        <f>L40</f>
        <v>2050</v>
      </c>
      <c r="AG40" s="4">
        <f>M40</f>
        <v>2050</v>
      </c>
    </row>
    <row r="41" spans="1:51">
      <c r="A41" t="s">
        <v>16</v>
      </c>
      <c r="B41" s="166">
        <f>B25</f>
        <v>0.95</v>
      </c>
      <c r="C41" s="18" t="str">
        <f>C35</f>
        <v>Low Income</v>
      </c>
      <c r="D41" s="26" t="s">
        <v>159</v>
      </c>
      <c r="E41" s="37">
        <v>7.3852190250507794</v>
      </c>
      <c r="F41" s="47">
        <f t="shared" ref="F41:J44" si="66">IF($D$4,Z41,P41)</f>
        <v>7.3852190250507794</v>
      </c>
      <c r="G41" s="47">
        <f t="shared" si="66"/>
        <v>7.3852190250507794</v>
      </c>
      <c r="H41" s="47">
        <f t="shared" si="66"/>
        <v>7.3852190250507794</v>
      </c>
      <c r="I41" s="47">
        <f t="shared" si="66"/>
        <v>7.0159580737982399</v>
      </c>
      <c r="J41" s="47">
        <f t="shared" si="66"/>
        <v>6.6651601701083276</v>
      </c>
      <c r="K41" s="47">
        <f>IF($D$4,AD41,T41)</f>
        <v>6.6651601701083276</v>
      </c>
      <c r="L41" s="47">
        <f>IF($D$4,AD41,T41)</f>
        <v>6.6651601701083276</v>
      </c>
      <c r="M41" s="47">
        <f>IF($D$4,AG41,W41)</f>
        <v>6.331902161602911</v>
      </c>
      <c r="N41" s="247">
        <v>1</v>
      </c>
      <c r="O41" s="337">
        <f>E41*O$39</f>
        <v>7.3852190250507794</v>
      </c>
      <c r="P41">
        <f t="shared" ref="P41:T41" si="67">O41</f>
        <v>7.3852190250507794</v>
      </c>
      <c r="Q41" s="47">
        <f>P41*$N41</f>
        <v>7.3852190250507794</v>
      </c>
      <c r="R41" s="47">
        <f>P41</f>
        <v>7.3852190250507794</v>
      </c>
      <c r="S41" s="34">
        <f t="shared" si="67"/>
        <v>7.3852190250507794</v>
      </c>
      <c r="T41" s="34">
        <f t="shared" si="67"/>
        <v>7.3852190250507794</v>
      </c>
      <c r="U41" s="34">
        <f>S41</f>
        <v>7.3852190250507794</v>
      </c>
      <c r="V41" s="34">
        <f t="shared" ref="V41:W44" si="68">S41</f>
        <v>7.3852190250507794</v>
      </c>
      <c r="W41" s="34">
        <f t="shared" si="68"/>
        <v>7.3852190250507794</v>
      </c>
      <c r="Y41" s="47">
        <f t="shared" ref="Y41:AB44" si="69">O41</f>
        <v>7.3852190250507794</v>
      </c>
      <c r="Z41" s="47">
        <f t="shared" si="69"/>
        <v>7.3852190250507794</v>
      </c>
      <c r="AA41" s="47">
        <f t="shared" si="69"/>
        <v>7.3852190250507794</v>
      </c>
      <c r="AB41" s="47">
        <f t="shared" si="69"/>
        <v>7.3852190250507794</v>
      </c>
      <c r="AC41" s="55">
        <f t="shared" ref="AC41:AD43" si="70">AB41*$B41</f>
        <v>7.0159580737982399</v>
      </c>
      <c r="AD41" s="55">
        <f t="shared" si="70"/>
        <v>6.6651601701083276</v>
      </c>
      <c r="AE41" s="55">
        <f>AC41*$B41</f>
        <v>6.6651601701083276</v>
      </c>
      <c r="AF41" s="55">
        <f t="shared" ref="AF41:AG44" si="71">AC41*$B41</f>
        <v>6.6651601701083276</v>
      </c>
      <c r="AG41" s="55">
        <f t="shared" si="71"/>
        <v>6.331902161602911</v>
      </c>
      <c r="AH41" s="194"/>
      <c r="AI41" s="194"/>
      <c r="AJ41" s="194"/>
      <c r="AK41" s="194"/>
      <c r="AL41" s="194"/>
      <c r="AM41" s="194"/>
      <c r="AN41" s="194"/>
      <c r="AO41" s="194"/>
      <c r="AP41" s="194"/>
      <c r="AQ41" s="194"/>
      <c r="AR41" s="194"/>
      <c r="AS41" s="194"/>
      <c r="AT41" s="194"/>
      <c r="AU41" s="194"/>
      <c r="AV41" s="194"/>
      <c r="AW41" s="194"/>
      <c r="AX41" s="194"/>
      <c r="AY41" s="194"/>
    </row>
    <row r="42" spans="1:51">
      <c r="A42" t="s">
        <v>16</v>
      </c>
      <c r="B42" s="166">
        <f t="shared" ref="B42:B43" si="72">B26</f>
        <v>0.95</v>
      </c>
      <c r="C42" s="18" t="str">
        <f>C36</f>
        <v>Middle Income</v>
      </c>
      <c r="D42" s="26" t="s">
        <v>159</v>
      </c>
      <c r="E42" s="37">
        <v>12.3446275646806</v>
      </c>
      <c r="F42" s="47">
        <f t="shared" si="66"/>
        <v>12.3446275646806</v>
      </c>
      <c r="G42" s="47">
        <f t="shared" si="66"/>
        <v>12.3446275646806</v>
      </c>
      <c r="H42" s="47">
        <f t="shared" si="66"/>
        <v>12.3446275646806</v>
      </c>
      <c r="I42" s="47">
        <f t="shared" si="66"/>
        <v>11.727396186446569</v>
      </c>
      <c r="J42" s="47">
        <f t="shared" si="66"/>
        <v>11.141026377124239</v>
      </c>
      <c r="K42" s="47">
        <f>IF($D$4,AD42,T42)</f>
        <v>11.141026377124239</v>
      </c>
      <c r="L42" s="47">
        <f>IF($D$4,AD42,T42)</f>
        <v>11.141026377124239</v>
      </c>
      <c r="M42" s="47">
        <f>IF($D$4,AG42,W42)</f>
        <v>10.583975058268027</v>
      </c>
      <c r="N42" s="247">
        <v>1</v>
      </c>
      <c r="O42" s="337">
        <f>E42*O$39</f>
        <v>12.3446275646806</v>
      </c>
      <c r="P42">
        <f t="shared" ref="P42:T44" si="73">O42</f>
        <v>12.3446275646806</v>
      </c>
      <c r="Q42" s="47">
        <f t="shared" ref="Q42:Q44" si="74">P42*$N42</f>
        <v>12.3446275646806</v>
      </c>
      <c r="R42" s="47">
        <f t="shared" ref="R42:R44" si="75">P42</f>
        <v>12.3446275646806</v>
      </c>
      <c r="S42" s="159">
        <f>R42</f>
        <v>12.3446275646806</v>
      </c>
      <c r="T42" s="159">
        <f t="shared" si="73"/>
        <v>12.3446275646806</v>
      </c>
      <c r="U42" s="159">
        <f>S42</f>
        <v>12.3446275646806</v>
      </c>
      <c r="V42" s="159">
        <f t="shared" si="68"/>
        <v>12.3446275646806</v>
      </c>
      <c r="W42" s="159">
        <f t="shared" si="68"/>
        <v>12.3446275646806</v>
      </c>
      <c r="Y42" s="47">
        <f t="shared" si="69"/>
        <v>12.3446275646806</v>
      </c>
      <c r="Z42" s="47">
        <f t="shared" si="69"/>
        <v>12.3446275646806</v>
      </c>
      <c r="AA42" s="47">
        <f t="shared" si="69"/>
        <v>12.3446275646806</v>
      </c>
      <c r="AB42" s="47">
        <f t="shared" si="69"/>
        <v>12.3446275646806</v>
      </c>
      <c r="AC42" s="55">
        <f t="shared" si="70"/>
        <v>11.727396186446569</v>
      </c>
      <c r="AD42" s="55">
        <f t="shared" si="70"/>
        <v>11.141026377124239</v>
      </c>
      <c r="AE42" s="55">
        <f>AC42*$B42</f>
        <v>11.141026377124239</v>
      </c>
      <c r="AF42" s="55">
        <f t="shared" si="71"/>
        <v>11.141026377124239</v>
      </c>
      <c r="AG42" s="55">
        <f t="shared" si="71"/>
        <v>10.583975058268027</v>
      </c>
      <c r="AH42" s="194"/>
      <c r="AI42" s="194"/>
      <c r="AJ42" s="194"/>
      <c r="AK42" s="194"/>
      <c r="AL42" s="194"/>
      <c r="AM42" s="194"/>
      <c r="AN42" s="194"/>
      <c r="AO42" s="194"/>
      <c r="AP42" s="194"/>
      <c r="AQ42" s="194"/>
      <c r="AR42" s="194"/>
      <c r="AS42" s="194"/>
      <c r="AT42" s="194"/>
      <c r="AU42" s="194"/>
      <c r="AV42" s="194"/>
      <c r="AW42" s="194"/>
      <c r="AX42" s="194"/>
      <c r="AY42" s="194"/>
    </row>
    <row r="43" spans="1:51">
      <c r="A43" t="s">
        <v>16</v>
      </c>
      <c r="B43" s="166">
        <f t="shared" si="72"/>
        <v>0.95</v>
      </c>
      <c r="C43" s="18" t="str">
        <f>C37</f>
        <v>High Income</v>
      </c>
      <c r="D43" s="26" t="s">
        <v>159</v>
      </c>
      <c r="E43" s="37">
        <v>13.330035321564491</v>
      </c>
      <c r="F43" s="47">
        <f t="shared" si="66"/>
        <v>13.330035321564491</v>
      </c>
      <c r="G43" s="47">
        <f t="shared" si="66"/>
        <v>13.330035321564491</v>
      </c>
      <c r="H43" s="47">
        <f t="shared" si="66"/>
        <v>13.330035321564491</v>
      </c>
      <c r="I43" s="47">
        <f t="shared" si="66"/>
        <v>12.663533555486266</v>
      </c>
      <c r="J43" s="47">
        <f t="shared" si="66"/>
        <v>12.030356877711952</v>
      </c>
      <c r="K43" s="47">
        <f>IF($D$4,AD43,T43)</f>
        <v>12.030356877711952</v>
      </c>
      <c r="L43" s="47">
        <f>IF($D$4,AD43,T43)</f>
        <v>12.030356877711952</v>
      </c>
      <c r="M43" s="47">
        <f>IF($D$4,AG43,W43)</f>
        <v>11.428839033826353</v>
      </c>
      <c r="N43" s="247">
        <v>1</v>
      </c>
      <c r="O43" s="337">
        <f>E43*O$39</f>
        <v>13.330035321564491</v>
      </c>
      <c r="P43">
        <f t="shared" si="73"/>
        <v>13.330035321564491</v>
      </c>
      <c r="Q43" s="47">
        <f t="shared" si="74"/>
        <v>13.330035321564491</v>
      </c>
      <c r="R43" s="47">
        <f t="shared" si="75"/>
        <v>13.330035321564491</v>
      </c>
      <c r="S43" s="34">
        <f t="shared" si="73"/>
        <v>13.330035321564491</v>
      </c>
      <c r="T43" s="34">
        <f t="shared" si="73"/>
        <v>13.330035321564491</v>
      </c>
      <c r="U43" s="34">
        <f>S43</f>
        <v>13.330035321564491</v>
      </c>
      <c r="V43" s="34">
        <f t="shared" si="68"/>
        <v>13.330035321564491</v>
      </c>
      <c r="W43" s="34">
        <f t="shared" si="68"/>
        <v>13.330035321564491</v>
      </c>
      <c r="Y43" s="47">
        <f t="shared" si="69"/>
        <v>13.330035321564491</v>
      </c>
      <c r="Z43" s="47">
        <f t="shared" si="69"/>
        <v>13.330035321564491</v>
      </c>
      <c r="AA43" s="47">
        <f t="shared" si="69"/>
        <v>13.330035321564491</v>
      </c>
      <c r="AB43" s="47">
        <f t="shared" si="69"/>
        <v>13.330035321564491</v>
      </c>
      <c r="AC43" s="55">
        <f t="shared" si="70"/>
        <v>12.663533555486266</v>
      </c>
      <c r="AD43" s="55">
        <f t="shared" si="70"/>
        <v>12.030356877711952</v>
      </c>
      <c r="AE43" s="55">
        <f>AC43*$B43</f>
        <v>12.030356877711952</v>
      </c>
      <c r="AF43" s="55">
        <f t="shared" si="71"/>
        <v>12.030356877711952</v>
      </c>
      <c r="AG43" s="55">
        <f t="shared" si="71"/>
        <v>11.428839033826353</v>
      </c>
      <c r="AH43" s="194"/>
      <c r="AI43" s="194"/>
      <c r="AJ43" s="194"/>
      <c r="AK43" s="194"/>
      <c r="AL43" s="194"/>
      <c r="AM43" s="194"/>
      <c r="AN43" s="194"/>
      <c r="AO43" s="194"/>
      <c r="AP43" s="194"/>
      <c r="AQ43" s="194"/>
      <c r="AR43" s="194"/>
      <c r="AS43" s="194"/>
      <c r="AT43" s="194"/>
      <c r="AU43" s="194"/>
      <c r="AV43" s="194"/>
      <c r="AW43" s="194"/>
      <c r="AX43" s="194"/>
      <c r="AY43" s="194"/>
    </row>
    <row r="44" spans="1:51">
      <c r="A44" t="s">
        <v>16</v>
      </c>
      <c r="B44" s="166">
        <f>B43</f>
        <v>0.95</v>
      </c>
      <c r="C44" s="18" t="s">
        <v>183</v>
      </c>
      <c r="D44" s="26" t="s">
        <v>159</v>
      </c>
      <c r="E44" s="37">
        <v>13.5</v>
      </c>
      <c r="F44" s="47">
        <f t="shared" si="66"/>
        <v>13.5</v>
      </c>
      <c r="G44" s="47">
        <f t="shared" si="66"/>
        <v>13.5</v>
      </c>
      <c r="H44" s="47">
        <f t="shared" si="66"/>
        <v>13.5</v>
      </c>
      <c r="I44" s="47">
        <f t="shared" si="66"/>
        <v>12.824999999999999</v>
      </c>
      <c r="J44" s="47">
        <f t="shared" si="66"/>
        <v>12.183749999999998</v>
      </c>
      <c r="K44" s="47">
        <f>IF($D$4,AD44,T44)</f>
        <v>12.183749999999998</v>
      </c>
      <c r="L44" s="47">
        <f>IF($D$4,AD44,T44)</f>
        <v>12.183749999999998</v>
      </c>
      <c r="M44" s="47">
        <f>IF($D$4,AG44,W44)</f>
        <v>11.574562499999997</v>
      </c>
      <c r="N44" s="247">
        <v>1</v>
      </c>
      <c r="O44" s="257">
        <f>E44</f>
        <v>13.5</v>
      </c>
      <c r="P44">
        <f t="shared" si="73"/>
        <v>13.5</v>
      </c>
      <c r="Q44" s="47">
        <f t="shared" si="74"/>
        <v>13.5</v>
      </c>
      <c r="R44" s="47">
        <f t="shared" si="75"/>
        <v>13.5</v>
      </c>
      <c r="S44" s="34">
        <f>R44</f>
        <v>13.5</v>
      </c>
      <c r="T44" s="34">
        <f t="shared" si="73"/>
        <v>13.5</v>
      </c>
      <c r="U44" s="34">
        <f>S44</f>
        <v>13.5</v>
      </c>
      <c r="V44" s="34">
        <f t="shared" si="68"/>
        <v>13.5</v>
      </c>
      <c r="W44" s="34">
        <f t="shared" si="68"/>
        <v>13.5</v>
      </c>
      <c r="Y44" s="47">
        <f t="shared" si="69"/>
        <v>13.5</v>
      </c>
      <c r="Z44" s="47">
        <f t="shared" si="69"/>
        <v>13.5</v>
      </c>
      <c r="AA44" s="47">
        <f t="shared" si="69"/>
        <v>13.5</v>
      </c>
      <c r="AB44" s="47">
        <f t="shared" si="69"/>
        <v>13.5</v>
      </c>
      <c r="AC44" s="55">
        <f>AB44*$B44</f>
        <v>12.824999999999999</v>
      </c>
      <c r="AD44" s="55">
        <f t="shared" ref="AD44" si="76">AC44*$B44</f>
        <v>12.183749999999998</v>
      </c>
      <c r="AE44" s="55">
        <f>AC44*$B44</f>
        <v>12.183749999999998</v>
      </c>
      <c r="AF44" s="55">
        <f t="shared" si="71"/>
        <v>12.183749999999998</v>
      </c>
      <c r="AG44" s="55">
        <f t="shared" si="71"/>
        <v>11.574562499999997</v>
      </c>
      <c r="AH44" s="194"/>
      <c r="AI44" s="194"/>
      <c r="AJ44" s="194"/>
      <c r="AK44" s="194"/>
      <c r="AL44" s="194"/>
      <c r="AM44" s="194"/>
      <c r="AN44" s="194"/>
      <c r="AO44" s="194"/>
      <c r="AP44" s="194"/>
      <c r="AQ44" s="194"/>
      <c r="AR44" s="194"/>
      <c r="AS44" s="194"/>
      <c r="AT44" s="194"/>
      <c r="AU44" s="194"/>
      <c r="AV44" s="194"/>
      <c r="AW44" s="194"/>
      <c r="AX44" s="194"/>
      <c r="AY44" s="194"/>
    </row>
    <row r="45" spans="1:51">
      <c r="A45" t="s">
        <v>16</v>
      </c>
      <c r="C45" s="18" t="s">
        <v>6</v>
      </c>
      <c r="D45" s="26" t="s">
        <v>159</v>
      </c>
      <c r="E45" s="3">
        <f t="shared" ref="E45:J45" si="77">SUMPRODUCT(E41:E44,E54:E57)/SUM(E54:E57)</f>
        <v>12.901036769438678</v>
      </c>
      <c r="F45" s="3">
        <f t="shared" si="77"/>
        <v>12.901919445200708</v>
      </c>
      <c r="G45" s="3">
        <f t="shared" si="77"/>
        <v>12.84553690620824</v>
      </c>
      <c r="H45" s="3">
        <f t="shared" si="77"/>
        <v>12.888418631359706</v>
      </c>
      <c r="I45" s="3">
        <f t="shared" si="77"/>
        <v>12.272378121789403</v>
      </c>
      <c r="J45" s="3">
        <f t="shared" si="77"/>
        <v>11.712160433239573</v>
      </c>
      <c r="K45" s="3">
        <f>SUMPRODUCT(K41:K44,K54:K57)/SUM(K54:K57)</f>
        <v>11.712160433239573</v>
      </c>
      <c r="L45" s="3">
        <f>SUMPRODUCT(L41:L44,L54:L57)/SUM(L54:L57)</f>
        <v>11.712160433239573</v>
      </c>
      <c r="M45" s="3">
        <f>SUMPRODUCT(M41:M44,M54:M57)/SUM(M54:M57)</f>
        <v>11.19011966272847</v>
      </c>
      <c r="N45" s="32"/>
      <c r="X45" s="194"/>
      <c r="AA45" s="194"/>
      <c r="AC45" s="194"/>
      <c r="AD45" s="194"/>
      <c r="AE45" s="194"/>
      <c r="AF45" s="194"/>
      <c r="AG45" s="194"/>
      <c r="AH45" s="194"/>
      <c r="AI45" s="194"/>
      <c r="AJ45" s="194"/>
      <c r="AK45" s="194"/>
      <c r="AL45" s="194"/>
      <c r="AM45" s="194"/>
      <c r="AN45" s="194"/>
      <c r="AO45" s="194"/>
      <c r="AP45" s="194"/>
      <c r="AQ45" s="194"/>
      <c r="AR45" s="194"/>
      <c r="AS45" s="194"/>
      <c r="AT45" s="194"/>
      <c r="AU45" s="194"/>
      <c r="AV45" s="194"/>
      <c r="AW45" s="194"/>
      <c r="AX45" s="194"/>
      <c r="AY45" s="194"/>
    </row>
    <row r="46" spans="1:51" ht="15.75" thickBot="1">
      <c r="A46" t="s">
        <v>16</v>
      </c>
      <c r="C46" s="13" t="s">
        <v>149</v>
      </c>
      <c r="D46" s="13"/>
      <c r="E46" s="4"/>
      <c r="F46" s="4"/>
      <c r="G46" s="4"/>
      <c r="H46" s="4"/>
      <c r="I46" s="4"/>
      <c r="J46" s="4"/>
      <c r="K46" s="4"/>
      <c r="L46" s="4"/>
      <c r="M46" s="4"/>
      <c r="N46" s="32"/>
      <c r="O46" s="4"/>
      <c r="P46" s="4"/>
      <c r="Q46" s="4"/>
      <c r="R46" s="4"/>
      <c r="S46" s="4"/>
      <c r="T46" s="4"/>
      <c r="U46" s="4"/>
      <c r="V46" s="4"/>
      <c r="W46" s="4"/>
      <c r="AA46" s="4"/>
      <c r="AC46" s="4"/>
      <c r="AD46" s="4"/>
      <c r="AE46" s="4"/>
      <c r="AF46" s="4"/>
      <c r="AG46" s="4"/>
      <c r="AH46" s="194"/>
      <c r="AI46" s="194"/>
      <c r="AJ46" s="194"/>
      <c r="AK46" s="194"/>
      <c r="AL46" s="194"/>
      <c r="AM46" s="194"/>
      <c r="AN46" s="194"/>
      <c r="AO46" s="194"/>
      <c r="AP46" s="194"/>
      <c r="AQ46" s="194"/>
      <c r="AR46" s="194"/>
      <c r="AS46" s="194"/>
      <c r="AT46" s="194"/>
      <c r="AU46" s="194"/>
      <c r="AV46" s="194"/>
      <c r="AW46" s="194"/>
      <c r="AX46" s="194"/>
      <c r="AY46" s="194"/>
    </row>
    <row r="47" spans="1:51">
      <c r="A47" t="s">
        <v>16</v>
      </c>
      <c r="C47" t="s">
        <v>13</v>
      </c>
      <c r="E47" s="37">
        <f>INDEX(Drivers!$H$28:$AK$28,1,MATCH(E40,Drivers!$H$5:$AK$5,0))</f>
        <v>4369.2882721535752</v>
      </c>
      <c r="F47" s="37">
        <f>INDEX(Drivers!$H$28:$AK$28,1,MATCH(F40,Drivers!$H$5:$AK$5,0))</f>
        <v>4454.71</v>
      </c>
      <c r="G47" s="37">
        <f>INDEX(Drivers!$H$28:$AK$28,1,MATCH(G40,Drivers!$H$5:$AK$5,0))</f>
        <v>4168.5599999999995</v>
      </c>
      <c r="H47" s="37">
        <f>INDEX(Drivers!$H$28:$AK$28,1,MATCH(H40,Drivers!$H$5:$AK$5,0))</f>
        <v>4364.6310325648556</v>
      </c>
      <c r="I47" s="37">
        <f>INDEX(Drivers!$H$28:$AK$28,1,MATCH(I40,Drivers!$H$5:$AK$5,0))</f>
        <v>5005.9886470812162</v>
      </c>
      <c r="J47" s="37">
        <f>INDEX(Drivers!$H$28:$AK$28,1,MATCH(J40,Drivers!$H$5:$AK$5,0))</f>
        <v>7009.392166140904</v>
      </c>
      <c r="K47" s="37">
        <f>INDEX(Drivers!$H$28:$AK$28,1,MATCH(K40,Drivers!$H$5:$AK$5,0))</f>
        <v>9889.0394007788</v>
      </c>
      <c r="L47" s="37">
        <f>INDEX(Drivers!$H$28:$AK$28,1,MATCH(L40,Drivers!$H$5:$AK$5,0))</f>
        <v>9889.0394007788</v>
      </c>
      <c r="M47" s="37">
        <f>INDEX(Drivers!$H$28:$AK$28,1,MATCH(M40,Drivers!$H$5:$AK$5,0))</f>
        <v>9889.0394007788</v>
      </c>
      <c r="N47" s="32"/>
      <c r="O47" s="3">
        <f>E47</f>
        <v>4369.2882721535752</v>
      </c>
      <c r="P47" s="3">
        <f t="shared" ref="P47:W47" si="78">F47</f>
        <v>4454.71</v>
      </c>
      <c r="Q47" s="3">
        <f t="shared" si="78"/>
        <v>4168.5599999999995</v>
      </c>
      <c r="R47" s="3">
        <f t="shared" si="78"/>
        <v>4364.6310325648556</v>
      </c>
      <c r="S47" s="3">
        <f t="shared" si="78"/>
        <v>5005.9886470812162</v>
      </c>
      <c r="T47" s="3">
        <f t="shared" si="78"/>
        <v>7009.392166140904</v>
      </c>
      <c r="U47" s="3">
        <f t="shared" si="78"/>
        <v>9889.0394007788</v>
      </c>
      <c r="V47" s="3">
        <f t="shared" si="78"/>
        <v>9889.0394007788</v>
      </c>
      <c r="W47" s="3">
        <f t="shared" si="78"/>
        <v>9889.0394007788</v>
      </c>
      <c r="X47" s="194"/>
      <c r="Y47" s="3">
        <f>E47</f>
        <v>4369.2882721535752</v>
      </c>
      <c r="Z47" s="3">
        <f t="shared" ref="Z47:AG47" si="79">F47</f>
        <v>4454.71</v>
      </c>
      <c r="AA47" s="3">
        <f t="shared" si="79"/>
        <v>4168.5599999999995</v>
      </c>
      <c r="AB47" s="3">
        <f t="shared" si="79"/>
        <v>4364.6310325648556</v>
      </c>
      <c r="AC47" s="3">
        <f t="shared" si="79"/>
        <v>5005.9886470812162</v>
      </c>
      <c r="AD47" s="3">
        <f t="shared" si="79"/>
        <v>7009.392166140904</v>
      </c>
      <c r="AE47" s="3">
        <f t="shared" si="79"/>
        <v>9889.0394007788</v>
      </c>
      <c r="AF47" s="3">
        <f t="shared" si="79"/>
        <v>9889.0394007788</v>
      </c>
      <c r="AG47" s="3">
        <f t="shared" si="79"/>
        <v>9889.0394007788</v>
      </c>
      <c r="AH47" s="194"/>
      <c r="AI47" s="194"/>
      <c r="AJ47" s="194"/>
      <c r="AK47" s="194"/>
      <c r="AL47" s="194"/>
      <c r="AM47" s="194"/>
      <c r="AN47" s="194"/>
      <c r="AO47" s="194"/>
      <c r="AP47" s="194"/>
      <c r="AQ47" s="194"/>
      <c r="AR47" s="194"/>
      <c r="AS47" s="194"/>
      <c r="AT47" s="194"/>
      <c r="AU47" s="194"/>
      <c r="AV47" s="194"/>
      <c r="AW47" s="194"/>
      <c r="AX47" s="194"/>
      <c r="AY47" s="194"/>
    </row>
    <row r="48" spans="1:51">
      <c r="A48" t="s">
        <v>16</v>
      </c>
      <c r="C48" t="s">
        <v>151</v>
      </c>
      <c r="E48" s="37">
        <v>0.5</v>
      </c>
      <c r="F48" s="57">
        <f t="shared" ref="F48:J51" si="80">IF($D$4,Z48,P48)</f>
        <v>0.5</v>
      </c>
      <c r="G48" s="57">
        <f t="shared" si="80"/>
        <v>0.5</v>
      </c>
      <c r="H48" s="57">
        <f t="shared" si="80"/>
        <v>0.5</v>
      </c>
      <c r="I48" s="57">
        <f t="shared" si="80"/>
        <v>0.5</v>
      </c>
      <c r="J48" s="57">
        <f t="shared" si="80"/>
        <v>0.4</v>
      </c>
      <c r="K48" s="57">
        <f>IF($D$4,AD48,T48)</f>
        <v>0.4</v>
      </c>
      <c r="L48" s="57">
        <f>IF($D$4,AD48,T48)</f>
        <v>0.4</v>
      </c>
      <c r="M48" s="57">
        <f>IF($D$4,AG48,W48)</f>
        <v>0.3</v>
      </c>
      <c r="N48" s="32"/>
      <c r="O48" s="57">
        <f>E48</f>
        <v>0.5</v>
      </c>
      <c r="P48" s="57">
        <f>E48</f>
        <v>0.5</v>
      </c>
      <c r="Q48" s="57">
        <f>F48</f>
        <v>0.5</v>
      </c>
      <c r="R48" s="57">
        <f>G48</f>
        <v>0.5</v>
      </c>
      <c r="S48" s="34">
        <f>H48</f>
        <v>0.5</v>
      </c>
      <c r="T48" s="34">
        <f>I48</f>
        <v>0.5</v>
      </c>
      <c r="U48" s="34">
        <f>I48</f>
        <v>0.5</v>
      </c>
      <c r="V48" s="34">
        <f>I48</f>
        <v>0.5</v>
      </c>
      <c r="W48" s="34">
        <f>J48</f>
        <v>0.4</v>
      </c>
      <c r="X48" s="194"/>
      <c r="Y48" s="57">
        <f t="shared" ref="Y48:AB51" si="81">O48</f>
        <v>0.5</v>
      </c>
      <c r="Z48" s="57">
        <f t="shared" si="81"/>
        <v>0.5</v>
      </c>
      <c r="AA48" s="57">
        <f t="shared" si="81"/>
        <v>0.5</v>
      </c>
      <c r="AB48" s="57">
        <f t="shared" si="81"/>
        <v>0.5</v>
      </c>
      <c r="AC48" s="34">
        <f>AB48</f>
        <v>0.5</v>
      </c>
      <c r="AD48" s="34">
        <v>0.4</v>
      </c>
      <c r="AE48" s="34">
        <v>0.3</v>
      </c>
      <c r="AF48" s="34">
        <v>0.3</v>
      </c>
      <c r="AG48" s="34">
        <v>0.3</v>
      </c>
      <c r="AH48" s="194"/>
      <c r="AI48" s="194"/>
      <c r="AJ48" s="194"/>
      <c r="AK48" s="194"/>
      <c r="AL48" s="194"/>
      <c r="AM48" s="194"/>
      <c r="AN48" s="194"/>
      <c r="AO48" s="194"/>
      <c r="AP48" s="194"/>
      <c r="AQ48" s="194"/>
      <c r="AR48" s="194"/>
      <c r="AS48" s="194"/>
      <c r="AT48" s="194"/>
      <c r="AU48" s="194"/>
      <c r="AV48" s="194"/>
      <c r="AW48" s="194"/>
      <c r="AX48" s="194"/>
      <c r="AY48" s="194"/>
    </row>
    <row r="49" spans="1:51">
      <c r="A49" t="s">
        <v>16</v>
      </c>
      <c r="C49" s="18" t="s">
        <v>150</v>
      </c>
      <c r="D49" t="s">
        <v>152</v>
      </c>
      <c r="E49" s="37">
        <v>0.82</v>
      </c>
      <c r="F49" s="57">
        <f t="shared" si="80"/>
        <v>0.82801570101021782</v>
      </c>
      <c r="G49" s="57">
        <f t="shared" si="80"/>
        <v>0.80142174844719194</v>
      </c>
      <c r="H49" s="57">
        <f t="shared" si="80"/>
        <v>0.82026945481797375</v>
      </c>
      <c r="I49" s="57">
        <f t="shared" si="80"/>
        <v>0.88192119316474382</v>
      </c>
      <c r="J49" s="57">
        <f t="shared" si="80"/>
        <v>1.0230996213619183</v>
      </c>
      <c r="K49" s="57">
        <f>IF($D$4,AD49,T49)</f>
        <v>1.0230996213619183</v>
      </c>
      <c r="L49" s="57">
        <f>IF($D$4,AD49,T49)</f>
        <v>1.0230996213619183</v>
      </c>
      <c r="M49" s="57">
        <f>IF($D$4,AG49,W49)</f>
        <v>1.1491946917581279</v>
      </c>
      <c r="N49" s="32"/>
      <c r="O49" s="17">
        <f>E49</f>
        <v>0.82</v>
      </c>
      <c r="P49" s="17">
        <f>E49*(1+(P48*(P47/E47-1)))</f>
        <v>0.82801570101021782</v>
      </c>
      <c r="Q49" s="57">
        <f>F49*(1+(Q48*(Q47/F47-1)))</f>
        <v>0.80142174844719194</v>
      </c>
      <c r="R49" s="57">
        <f>G49*(1+(R48*(R47/G47-1)))</f>
        <v>0.82026945481797375</v>
      </c>
      <c r="S49" s="34">
        <f>H49*(1+(S48*(S47/H47-1)))</f>
        <v>0.8805364117356973</v>
      </c>
      <c r="T49" s="34">
        <f>I49*(1+(T48*(T47/I47-1)))</f>
        <v>1.058394228411212</v>
      </c>
      <c r="U49" s="34">
        <f>I49*(1+(U48*(U47/I47-1)))</f>
        <v>1.3120526068162606</v>
      </c>
      <c r="V49" s="34">
        <f>I49*(1+(V48*(V47/I47-1)))</f>
        <v>1.3120526068162606</v>
      </c>
      <c r="W49" s="34">
        <f>J49*(1+(W48*(W47/J47-1)))</f>
        <v>1.1912263818901978</v>
      </c>
      <c r="X49" s="194"/>
      <c r="Y49" s="57">
        <f t="shared" si="81"/>
        <v>0.82</v>
      </c>
      <c r="Z49" s="57">
        <f t="shared" si="81"/>
        <v>0.82801570101021782</v>
      </c>
      <c r="AA49" s="57">
        <f t="shared" si="81"/>
        <v>0.80142174844719194</v>
      </c>
      <c r="AB49" s="57">
        <f t="shared" si="81"/>
        <v>0.82026945481797375</v>
      </c>
      <c r="AC49" s="34">
        <f>AA49*(1+(AC48*(AC47/AA47-1)))</f>
        <v>0.88192119316474382</v>
      </c>
      <c r="AD49" s="34">
        <f>AC49*(1+(AD48*(AD47/AC47-1)))</f>
        <v>1.0230996213619183</v>
      </c>
      <c r="AE49" s="34">
        <f>AC49*(1+(AE48*(AE47/AC47-1)))</f>
        <v>1.1400000413556539</v>
      </c>
      <c r="AF49" s="34">
        <f>AC49*(1+(AF48*(AF47/AC47-1)))</f>
        <v>1.1400000413556539</v>
      </c>
      <c r="AG49" s="34">
        <f>AD49*(1+(AG48*(AG47/AD47-1)))</f>
        <v>1.1491946917581279</v>
      </c>
      <c r="AH49" s="194"/>
      <c r="AI49" s="194"/>
      <c r="AJ49" s="194"/>
      <c r="AK49" s="194"/>
      <c r="AL49" s="194"/>
      <c r="AM49" s="194"/>
      <c r="AN49" s="194"/>
      <c r="AO49" s="194"/>
      <c r="AP49" s="194"/>
      <c r="AQ49" s="194"/>
      <c r="AR49" s="194"/>
      <c r="AS49" s="194"/>
      <c r="AT49" s="194"/>
      <c r="AU49" s="194"/>
      <c r="AV49" s="194"/>
      <c r="AW49" s="194"/>
      <c r="AX49" s="194"/>
      <c r="AY49" s="194"/>
    </row>
    <row r="50" spans="1:51">
      <c r="A50" t="s">
        <v>16</v>
      </c>
      <c r="C50" s="18" t="s">
        <v>160</v>
      </c>
      <c r="D50" t="s">
        <v>161</v>
      </c>
      <c r="E50" s="37">
        <v>6.8311858080285788</v>
      </c>
      <c r="F50" s="57">
        <f t="shared" si="80"/>
        <v>11.17821196363794</v>
      </c>
      <c r="G50" s="57">
        <f t="shared" si="80"/>
        <v>10.819193604037091</v>
      </c>
      <c r="H50" s="57">
        <f t="shared" si="80"/>
        <v>11.073637640042646</v>
      </c>
      <c r="I50" s="57">
        <f t="shared" si="80"/>
        <v>11.310639302337838</v>
      </c>
      <c r="J50" s="57">
        <f t="shared" si="80"/>
        <v>12.465190011768271</v>
      </c>
      <c r="K50" s="57">
        <f>IF($D$4,AD50,T50)</f>
        <v>12.465190011768271</v>
      </c>
      <c r="L50" s="57">
        <f>IF($D$4,AD50,T50)</f>
        <v>12.465190011768271</v>
      </c>
      <c r="M50" s="57">
        <f>IF($D$4,AG50,W50)</f>
        <v>13.301425784422683</v>
      </c>
      <c r="N50" s="32"/>
      <c r="O50" s="3">
        <f t="shared" ref="O50:W50" si="82">O49*O44</f>
        <v>11.069999999999999</v>
      </c>
      <c r="P50" s="3">
        <f t="shared" si="82"/>
        <v>11.17821196363794</v>
      </c>
      <c r="Q50" s="57">
        <f t="shared" si="82"/>
        <v>10.819193604037091</v>
      </c>
      <c r="R50" s="57">
        <f t="shared" si="82"/>
        <v>11.073637640042646</v>
      </c>
      <c r="S50" s="34">
        <f t="shared" si="82"/>
        <v>11.887241558431914</v>
      </c>
      <c r="T50" s="34">
        <f t="shared" si="82"/>
        <v>14.288322083551362</v>
      </c>
      <c r="U50" s="34">
        <f t="shared" ref="U50:V50" si="83">U49*U44</f>
        <v>17.712710192019518</v>
      </c>
      <c r="V50" s="34">
        <f t="shared" si="83"/>
        <v>17.712710192019518</v>
      </c>
      <c r="W50" s="34">
        <f t="shared" si="82"/>
        <v>16.081556155517671</v>
      </c>
      <c r="X50" s="194"/>
      <c r="Y50" s="57">
        <f t="shared" si="81"/>
        <v>11.069999999999999</v>
      </c>
      <c r="Z50" s="57">
        <f t="shared" si="81"/>
        <v>11.17821196363794</v>
      </c>
      <c r="AA50" s="57">
        <f t="shared" si="81"/>
        <v>10.819193604037091</v>
      </c>
      <c r="AB50" s="57">
        <f t="shared" si="81"/>
        <v>11.073637640042646</v>
      </c>
      <c r="AC50" s="34">
        <f>AC49*AC44</f>
        <v>11.310639302337838</v>
      </c>
      <c r="AD50" s="34">
        <f>AD49*AD44</f>
        <v>12.465190011768271</v>
      </c>
      <c r="AE50" s="34">
        <f>AE49*AE44</f>
        <v>13.889475503866946</v>
      </c>
      <c r="AF50" s="34">
        <f>AF49*AF44</f>
        <v>13.889475503866946</v>
      </c>
      <c r="AG50" s="34">
        <f>AG49*AG44</f>
        <v>13.301425784422683</v>
      </c>
      <c r="AH50" s="194"/>
      <c r="AI50" s="194"/>
      <c r="AJ50" s="194"/>
      <c r="AK50" s="194"/>
      <c r="AL50" s="194"/>
      <c r="AM50" s="194"/>
      <c r="AN50" s="194"/>
      <c r="AO50" s="194"/>
      <c r="AP50" s="194"/>
      <c r="AQ50" s="194"/>
      <c r="AR50" s="194"/>
      <c r="AS50" s="194"/>
      <c r="AT50" s="194"/>
      <c r="AU50" s="194"/>
      <c r="AV50" s="194"/>
      <c r="AW50" s="194"/>
      <c r="AX50" s="194"/>
      <c r="AY50" s="194"/>
    </row>
    <row r="51" spans="1:51" ht="15.75" thickBot="1">
      <c r="A51" t="s">
        <v>16</v>
      </c>
      <c r="C51" s="18" t="s">
        <v>162</v>
      </c>
      <c r="D51" t="s">
        <v>124</v>
      </c>
      <c r="E51" s="37">
        <v>9.5636601312400096</v>
      </c>
      <c r="F51" s="57">
        <f t="shared" si="80"/>
        <v>15.649496749093116</v>
      </c>
      <c r="G51" s="57">
        <f t="shared" si="80"/>
        <v>15.146871045651926</v>
      </c>
      <c r="H51" s="57">
        <f t="shared" si="80"/>
        <v>15.503092696059703</v>
      </c>
      <c r="I51" s="57">
        <f t="shared" si="80"/>
        <v>15.834895023272972</v>
      </c>
      <c r="J51" s="57">
        <f t="shared" si="80"/>
        <v>17.451266016475579</v>
      </c>
      <c r="K51" s="57">
        <f>IF($D$4,AD51,T51)</f>
        <v>17.451266016475579</v>
      </c>
      <c r="L51" s="57">
        <f>IF($D$4,AD51,T51)</f>
        <v>17.451266016475579</v>
      </c>
      <c r="M51" s="57">
        <f>IF($D$4,AG51,W51)</f>
        <v>18.621996098191754</v>
      </c>
      <c r="N51" s="32"/>
      <c r="O51" s="3">
        <f t="shared" ref="O51:W51" si="84">O50*O38</f>
        <v>15.497999999999998</v>
      </c>
      <c r="P51" s="3">
        <f t="shared" si="84"/>
        <v>15.649496749093116</v>
      </c>
      <c r="Q51" s="320">
        <f>Q50*Q38</f>
        <v>15.146871045651926</v>
      </c>
      <c r="R51" s="320">
        <f t="shared" si="84"/>
        <v>15.503092696059703</v>
      </c>
      <c r="S51" s="321">
        <f t="shared" si="84"/>
        <v>16.642138181804679</v>
      </c>
      <c r="T51" s="321">
        <f t="shared" si="84"/>
        <v>20.003650916971907</v>
      </c>
      <c r="U51" s="321">
        <f t="shared" ref="U51:V51" si="85">U50*U38</f>
        <v>24.797794268827325</v>
      </c>
      <c r="V51" s="321">
        <f t="shared" si="85"/>
        <v>24.797794268827325</v>
      </c>
      <c r="W51" s="321">
        <f t="shared" si="84"/>
        <v>22.514178617724738</v>
      </c>
      <c r="X51" s="194"/>
      <c r="Y51" s="320">
        <f t="shared" si="81"/>
        <v>15.497999999999998</v>
      </c>
      <c r="Z51" s="320">
        <f t="shared" si="81"/>
        <v>15.649496749093116</v>
      </c>
      <c r="AA51" s="320">
        <f t="shared" si="81"/>
        <v>15.146871045651926</v>
      </c>
      <c r="AB51" s="320">
        <f t="shared" si="81"/>
        <v>15.503092696059703</v>
      </c>
      <c r="AC51" s="321">
        <f>AC50*AC38</f>
        <v>15.834895023272972</v>
      </c>
      <c r="AD51" s="321">
        <f>AD50*AD38</f>
        <v>17.451266016475579</v>
      </c>
      <c r="AE51" s="321">
        <f>AE50*AE38</f>
        <v>19.445265705413721</v>
      </c>
      <c r="AF51" s="321">
        <f>AF50*AF38</f>
        <v>19.445265705413721</v>
      </c>
      <c r="AG51" s="321">
        <f>AG50*AG38</f>
        <v>18.621996098191754</v>
      </c>
      <c r="AH51" s="194"/>
      <c r="AI51" s="194"/>
      <c r="AJ51" s="194"/>
      <c r="AK51" s="194"/>
      <c r="AL51" s="194"/>
      <c r="AM51" s="194"/>
      <c r="AN51" s="194"/>
      <c r="AO51" s="194"/>
      <c r="AP51" s="194"/>
      <c r="AQ51" s="194"/>
      <c r="AR51" s="194"/>
      <c r="AS51" s="194"/>
      <c r="AT51" s="194"/>
      <c r="AU51" s="194"/>
      <c r="AV51" s="194"/>
      <c r="AW51" s="194"/>
      <c r="AX51" s="194"/>
      <c r="AY51" s="194"/>
    </row>
    <row r="52" spans="1:51" ht="15.75" thickTop="1">
      <c r="A52" t="s">
        <v>16</v>
      </c>
      <c r="C52" s="18"/>
      <c r="J52"/>
      <c r="N52" s="308"/>
      <c r="O52" s="329" t="s">
        <v>785</v>
      </c>
      <c r="P52" s="309"/>
      <c r="Q52" s="309"/>
      <c r="R52" s="309"/>
      <c r="S52" s="328" t="s">
        <v>792</v>
      </c>
      <c r="T52" s="309"/>
      <c r="U52" s="309"/>
      <c r="V52" s="309"/>
      <c r="W52" s="309"/>
      <c r="X52" s="309"/>
      <c r="Y52" s="309"/>
      <c r="Z52" s="309"/>
      <c r="AA52" s="309"/>
      <c r="AB52" s="309"/>
      <c r="AC52" s="309"/>
      <c r="AD52" s="309"/>
      <c r="AE52" s="309"/>
      <c r="AF52" s="309"/>
      <c r="AG52" s="309"/>
      <c r="AH52" s="310"/>
    </row>
    <row r="53" spans="1:51" ht="15.75" thickBot="1">
      <c r="A53" t="s">
        <v>16</v>
      </c>
      <c r="B53" s="13" t="s">
        <v>73</v>
      </c>
      <c r="D53" s="13"/>
      <c r="E53" s="4">
        <f t="shared" ref="E53:M53" si="86">E40</f>
        <v>2017</v>
      </c>
      <c r="F53" s="4">
        <f t="shared" si="86"/>
        <v>2019</v>
      </c>
      <c r="G53" s="4">
        <f t="shared" si="86"/>
        <v>2020</v>
      </c>
      <c r="H53" s="4">
        <f t="shared" si="86"/>
        <v>2021</v>
      </c>
      <c r="I53" s="4">
        <f t="shared" si="86"/>
        <v>2030</v>
      </c>
      <c r="J53" s="4">
        <f t="shared" si="86"/>
        <v>2040</v>
      </c>
      <c r="K53" s="4">
        <f t="shared" ref="K53:L53" si="87">K40</f>
        <v>2050</v>
      </c>
      <c r="L53" s="4">
        <f t="shared" si="87"/>
        <v>2050</v>
      </c>
      <c r="M53" s="4">
        <f t="shared" si="86"/>
        <v>2050</v>
      </c>
      <c r="N53" s="311"/>
      <c r="O53" s="4">
        <f t="shared" ref="O53:W53" si="88">O40</f>
        <v>2017</v>
      </c>
      <c r="P53" s="4">
        <f t="shared" si="88"/>
        <v>2019</v>
      </c>
      <c r="Q53" s="4">
        <f t="shared" si="88"/>
        <v>2020</v>
      </c>
      <c r="R53" s="4">
        <f t="shared" si="88"/>
        <v>2021</v>
      </c>
      <c r="S53" s="4">
        <f t="shared" si="88"/>
        <v>2030</v>
      </c>
      <c r="T53" s="4">
        <f t="shared" si="88"/>
        <v>2040</v>
      </c>
      <c r="U53" s="4">
        <f t="shared" ref="U53:V53" si="89">U40</f>
        <v>2050</v>
      </c>
      <c r="V53" s="4">
        <f t="shared" si="89"/>
        <v>2050</v>
      </c>
      <c r="W53" s="4">
        <f t="shared" si="88"/>
        <v>2050</v>
      </c>
      <c r="Y53" s="248">
        <f t="shared" ref="Y53:AG53" si="90">Y$12</f>
        <v>2017</v>
      </c>
      <c r="Z53" s="248">
        <f t="shared" si="90"/>
        <v>2019</v>
      </c>
      <c r="AA53" s="248">
        <f t="shared" si="90"/>
        <v>2020</v>
      </c>
      <c r="AB53" s="248">
        <f t="shared" si="90"/>
        <v>2021</v>
      </c>
      <c r="AC53" s="248">
        <f t="shared" si="90"/>
        <v>2030</v>
      </c>
      <c r="AD53" s="248">
        <f t="shared" si="90"/>
        <v>2040</v>
      </c>
      <c r="AE53" s="248">
        <f t="shared" si="90"/>
        <v>2050</v>
      </c>
      <c r="AF53" s="248">
        <f t="shared" si="90"/>
        <v>2060</v>
      </c>
      <c r="AG53" s="248">
        <f t="shared" si="90"/>
        <v>2070</v>
      </c>
      <c r="AH53" s="312"/>
    </row>
    <row r="54" spans="1:51">
      <c r="A54" t="s">
        <v>16</v>
      </c>
      <c r="C54" s="18" t="str">
        <f>C30</f>
        <v>Low Income</v>
      </c>
      <c r="D54" t="s">
        <v>58</v>
      </c>
      <c r="E54" s="47">
        <f t="shared" ref="E54:J59" si="91">IF($D$4,Y54,O54)</f>
        <v>0.12877680945571371</v>
      </c>
      <c r="F54" s="47">
        <f t="shared" si="91"/>
        <v>0.12973355042768442</v>
      </c>
      <c r="G54" s="47">
        <f t="shared" si="91"/>
        <v>0.13499132813487882</v>
      </c>
      <c r="H54" s="47">
        <f t="shared" si="91"/>
        <v>0.13727664268348302</v>
      </c>
      <c r="I54" s="47">
        <f t="shared" si="91"/>
        <v>0.12794254147675305</v>
      </c>
      <c r="J54" s="47">
        <f t="shared" si="91"/>
        <v>0.11520732560017592</v>
      </c>
      <c r="K54" s="47">
        <f t="shared" ref="K54:K59" si="92">IF($D$4,AD54,T54)</f>
        <v>0.11520732560017592</v>
      </c>
      <c r="L54" s="47">
        <f t="shared" ref="L54:L59" si="93">IF($D$4,AD54,T54)</f>
        <v>0.11520732560017592</v>
      </c>
      <c r="M54" s="319">
        <f t="shared" ref="M54:M59" si="94">IF($D$4,AG54,W54)</f>
        <v>4.7390606229744323E-2</v>
      </c>
      <c r="N54" s="323"/>
      <c r="O54" s="357">
        <f t="shared" ref="O54:Q56" si="95">O30*O25*O13</f>
        <v>0.12877680945571371</v>
      </c>
      <c r="P54" s="3">
        <f t="shared" si="95"/>
        <v>0.12973355042768442</v>
      </c>
      <c r="Q54" s="3">
        <f t="shared" si="95"/>
        <v>0.13499132813487882</v>
      </c>
      <c r="R54" s="3">
        <f>R30*R25*R13</f>
        <v>0.13727664268348302</v>
      </c>
      <c r="S54" s="350">
        <f t="shared" ref="S54:W54" si="96">S30*S25*S13</f>
        <v>0.13467635944921375</v>
      </c>
      <c r="T54" s="350">
        <f t="shared" si="96"/>
        <v>0.12127086905281675</v>
      </c>
      <c r="U54" s="350">
        <f t="shared" ref="U54:V54" si="97">U30*U25*U13</f>
        <v>0.10259459503730881</v>
      </c>
      <c r="V54" s="350">
        <f t="shared" si="97"/>
        <v>8.0159897757257167E-2</v>
      </c>
      <c r="W54" s="350">
        <f t="shared" si="96"/>
        <v>5.5274070540596965E-2</v>
      </c>
      <c r="X54" s="351"/>
      <c r="Y54" s="3">
        <f t="shared" ref="Y54:AB56" si="98">Y30*Y25*Y13</f>
        <v>0.12877680945571371</v>
      </c>
      <c r="Z54" s="3">
        <f t="shared" si="98"/>
        <v>0.12973355042768442</v>
      </c>
      <c r="AA54" s="3">
        <f t="shared" si="98"/>
        <v>0.13499132813487882</v>
      </c>
      <c r="AB54" s="3">
        <f t="shared" si="98"/>
        <v>0.13727664268348302</v>
      </c>
      <c r="AC54" s="350">
        <f t="shared" ref="AC54" si="99">AC30*AC25*AC13</f>
        <v>0.12794254147675305</v>
      </c>
      <c r="AD54" s="350">
        <f t="shared" ref="AD54:AG56" si="100">AD30*AD25*AD13</f>
        <v>0.11520732560017592</v>
      </c>
      <c r="AE54" s="350">
        <f t="shared" ref="AE54:AF54" si="101">AE30*AE25*AE13</f>
        <v>9.2591622021171202E-2</v>
      </c>
      <c r="AF54" s="350">
        <f t="shared" si="101"/>
        <v>7.2344307725924581E-2</v>
      </c>
      <c r="AG54" s="350">
        <f t="shared" si="100"/>
        <v>4.7390606229744323E-2</v>
      </c>
      <c r="AH54" s="324"/>
      <c r="AI54" s="194"/>
      <c r="AJ54" s="194"/>
      <c r="AK54" s="194"/>
      <c r="AL54" s="194"/>
      <c r="AM54" s="194"/>
      <c r="AN54" s="194"/>
      <c r="AO54" s="194"/>
      <c r="AP54" s="194"/>
      <c r="AQ54" s="194"/>
      <c r="AR54" s="194"/>
      <c r="AS54" s="194"/>
      <c r="AT54" s="194"/>
      <c r="AU54" s="194"/>
      <c r="AV54" s="194"/>
      <c r="AW54" s="194"/>
      <c r="AX54" s="194"/>
      <c r="AY54" s="194"/>
    </row>
    <row r="55" spans="1:51">
      <c r="A55" t="s">
        <v>16</v>
      </c>
      <c r="C55" s="18" t="str">
        <f>C31</f>
        <v>Middle Income</v>
      </c>
      <c r="D55" t="s">
        <v>58</v>
      </c>
      <c r="E55" s="47">
        <f t="shared" si="91"/>
        <v>2.7702164245855587</v>
      </c>
      <c r="F55" s="47">
        <f t="shared" si="91"/>
        <v>2.92184375996167</v>
      </c>
      <c r="G55" s="47">
        <f t="shared" si="91"/>
        <v>3.0704902512012651</v>
      </c>
      <c r="H55" s="47">
        <f t="shared" si="91"/>
        <v>2.9214030134612732</v>
      </c>
      <c r="I55" s="47">
        <f t="shared" si="91"/>
        <v>3.0410550793911968</v>
      </c>
      <c r="J55" s="47">
        <f t="shared" si="91"/>
        <v>3.312764172233249</v>
      </c>
      <c r="K55" s="47">
        <f t="shared" si="92"/>
        <v>3.312764172233249</v>
      </c>
      <c r="L55" s="47">
        <f t="shared" si="93"/>
        <v>3.312764172233249</v>
      </c>
      <c r="M55" s="319">
        <f t="shared" si="94"/>
        <v>4.385395164516483</v>
      </c>
      <c r="N55" s="323"/>
      <c r="O55" s="257">
        <f t="shared" si="95"/>
        <v>2.7702164245855587</v>
      </c>
      <c r="P55" s="3">
        <f t="shared" si="95"/>
        <v>2.92184375996167</v>
      </c>
      <c r="Q55" s="3">
        <f>Q31*Q26*Q14</f>
        <v>3.0704902512012651</v>
      </c>
      <c r="R55" s="3">
        <f t="shared" ref="R55:W55" si="102">R31*R26*R14</f>
        <v>2.9214030134612732</v>
      </c>
      <c r="S55" s="350">
        <f t="shared" si="102"/>
        <v>3.3695901156689172</v>
      </c>
      <c r="T55" s="350">
        <f t="shared" si="102"/>
        <v>3.8638450762306458</v>
      </c>
      <c r="U55" s="350">
        <f t="shared" ref="U55:V55" si="103">U31*U26*U14</f>
        <v>4.4459156463111924</v>
      </c>
      <c r="V55" s="350">
        <f t="shared" si="103"/>
        <v>4.9470511107691104</v>
      </c>
      <c r="W55" s="350">
        <f t="shared" si="102"/>
        <v>5.3841148112939399</v>
      </c>
      <c r="X55" s="351"/>
      <c r="Y55" s="3">
        <f t="shared" si="98"/>
        <v>2.7702164245855587</v>
      </c>
      <c r="Z55" s="3">
        <f t="shared" si="98"/>
        <v>2.92184375996167</v>
      </c>
      <c r="AA55" s="3">
        <f t="shared" si="98"/>
        <v>3.0704902512012651</v>
      </c>
      <c r="AB55" s="3">
        <f t="shared" si="98"/>
        <v>2.9214030134612732</v>
      </c>
      <c r="AC55" s="350">
        <f t="shared" ref="AC55" si="104">AC31*AC26*AC14</f>
        <v>3.0410550793911968</v>
      </c>
      <c r="AD55" s="350">
        <f t="shared" si="100"/>
        <v>3.312764172233249</v>
      </c>
      <c r="AE55" s="350">
        <f t="shared" ref="AE55:AF55" si="105">AE31*AE26*AE14</f>
        <v>3.8118169272560576</v>
      </c>
      <c r="AF55" s="350">
        <f t="shared" si="105"/>
        <v>4.2414779460956655</v>
      </c>
      <c r="AG55" s="350">
        <f t="shared" si="100"/>
        <v>4.385395164516483</v>
      </c>
      <c r="AH55" s="324"/>
      <c r="AI55" s="194"/>
      <c r="AJ55" s="194"/>
      <c r="AK55" s="194"/>
      <c r="AL55" s="194"/>
      <c r="AM55" s="194"/>
      <c r="AN55" s="194"/>
      <c r="AO55" s="194"/>
      <c r="AP55" s="194"/>
      <c r="AQ55" s="194"/>
      <c r="AR55" s="194"/>
      <c r="AS55" s="194"/>
      <c r="AT55" s="194"/>
      <c r="AU55" s="194"/>
      <c r="AV55" s="194"/>
      <c r="AW55" s="194"/>
      <c r="AX55" s="194"/>
      <c r="AY55" s="194"/>
    </row>
    <row r="56" spans="1:51">
      <c r="A56" t="s">
        <v>16</v>
      </c>
      <c r="C56" s="18" t="str">
        <f>C32</f>
        <v>High Income</v>
      </c>
      <c r="D56" t="s">
        <v>58</v>
      </c>
      <c r="E56" s="47">
        <f t="shared" si="91"/>
        <v>4.1038214947082041</v>
      </c>
      <c r="F56" s="47">
        <f t="shared" si="91"/>
        <v>4.3184589686023154</v>
      </c>
      <c r="G56" s="47">
        <f t="shared" si="91"/>
        <v>3.6132870620523043</v>
      </c>
      <c r="H56" s="47">
        <f t="shared" si="91"/>
        <v>4.172016483740788</v>
      </c>
      <c r="I56" s="47">
        <f t="shared" si="91"/>
        <v>4.7103292393160618</v>
      </c>
      <c r="J56" s="47">
        <f t="shared" si="91"/>
        <v>6.2571432480034241</v>
      </c>
      <c r="K56" s="47">
        <f t="shared" si="92"/>
        <v>6.2571432480034241</v>
      </c>
      <c r="L56" s="47">
        <f t="shared" si="93"/>
        <v>6.2571432480034241</v>
      </c>
      <c r="M56" s="319">
        <f t="shared" si="94"/>
        <v>10.248928735208612</v>
      </c>
      <c r="N56" s="323"/>
      <c r="O56" s="257">
        <f t="shared" si="95"/>
        <v>4.1038214947082041</v>
      </c>
      <c r="P56" s="3">
        <f t="shared" si="95"/>
        <v>4.3184589686023154</v>
      </c>
      <c r="Q56" s="3">
        <f t="shared" si="95"/>
        <v>3.6132870620523043</v>
      </c>
      <c r="R56" s="3">
        <f t="shared" ref="R56:W56" si="106">R32*R27*R15</f>
        <v>4.172016483740788</v>
      </c>
      <c r="S56" s="350">
        <f t="shared" si="106"/>
        <v>5.2192013732033935</v>
      </c>
      <c r="T56" s="350">
        <f t="shared" si="106"/>
        <v>7.2980239078622837</v>
      </c>
      <c r="U56" s="350">
        <f t="shared" ref="U56:V56" si="107">U32*U27*U15</f>
        <v>9.9529146831187632</v>
      </c>
      <c r="V56" s="350">
        <f t="shared" si="107"/>
        <v>11.331110733973251</v>
      </c>
      <c r="W56" s="350">
        <f t="shared" si="106"/>
        <v>12.582995815205363</v>
      </c>
      <c r="X56" s="351"/>
      <c r="Y56" s="3">
        <f t="shared" si="98"/>
        <v>4.1038214947082041</v>
      </c>
      <c r="Z56" s="3">
        <f t="shared" si="98"/>
        <v>4.3184589686023154</v>
      </c>
      <c r="AA56" s="3">
        <f t="shared" si="98"/>
        <v>3.6132870620523043</v>
      </c>
      <c r="AB56" s="3">
        <f t="shared" si="98"/>
        <v>4.172016483740788</v>
      </c>
      <c r="AC56" s="350">
        <f t="shared" ref="AC56" si="108">AC32*AC27*AC15</f>
        <v>4.7103292393160618</v>
      </c>
      <c r="AD56" s="350">
        <f t="shared" si="100"/>
        <v>6.2571432480034241</v>
      </c>
      <c r="AE56" s="350">
        <f t="shared" ref="AE56:AF56" si="109">AE32*AE27*AE15</f>
        <v>8.5333802264389469</v>
      </c>
      <c r="AF56" s="350">
        <f t="shared" si="109"/>
        <v>9.7150110655403132</v>
      </c>
      <c r="AG56" s="350">
        <f t="shared" si="100"/>
        <v>10.248928735208612</v>
      </c>
      <c r="AH56" s="324"/>
      <c r="AI56" s="194"/>
      <c r="AJ56" s="194"/>
      <c r="AK56" s="194"/>
      <c r="AL56" s="194"/>
      <c r="AM56" s="194"/>
      <c r="AN56" s="194"/>
      <c r="AO56" s="194"/>
      <c r="AP56" s="194"/>
      <c r="AQ56" s="194"/>
      <c r="AR56" s="194"/>
      <c r="AS56" s="194"/>
      <c r="AT56" s="194"/>
      <c r="AU56" s="194"/>
      <c r="AV56" s="194"/>
      <c r="AW56" s="194"/>
      <c r="AX56" s="194"/>
      <c r="AY56" s="194"/>
    </row>
    <row r="57" spans="1:51" ht="15.75" thickBot="1">
      <c r="A57" t="s">
        <v>16</v>
      </c>
      <c r="C57" s="18" t="s">
        <v>153</v>
      </c>
      <c r="D57" t="s">
        <v>58</v>
      </c>
      <c r="E57" s="47">
        <f t="shared" si="91"/>
        <v>0.82</v>
      </c>
      <c r="F57" s="47">
        <f t="shared" si="91"/>
        <v>0.82801570101021782</v>
      </c>
      <c r="G57" s="47">
        <f t="shared" si="91"/>
        <v>0.80142174844719194</v>
      </c>
      <c r="H57" s="47">
        <f t="shared" si="91"/>
        <v>0.82026945481797375</v>
      </c>
      <c r="I57" s="47">
        <f t="shared" si="91"/>
        <v>0.88192119316474382</v>
      </c>
      <c r="J57" s="47">
        <f t="shared" si="91"/>
        <v>1.0230996213619183</v>
      </c>
      <c r="K57" s="47">
        <f t="shared" si="92"/>
        <v>1.0230996213619183</v>
      </c>
      <c r="L57" s="47">
        <f t="shared" si="93"/>
        <v>1.0230996213619183</v>
      </c>
      <c r="M57" s="319">
        <f t="shared" si="94"/>
        <v>1.1491946917581279</v>
      </c>
      <c r="N57" s="325"/>
      <c r="O57" s="336">
        <f t="shared" ref="O57:Q57" si="110">O49</f>
        <v>0.82</v>
      </c>
      <c r="P57" s="326">
        <f t="shared" si="110"/>
        <v>0.82801570101021782</v>
      </c>
      <c r="Q57" s="326">
        <f t="shared" si="110"/>
        <v>0.80142174844719194</v>
      </c>
      <c r="R57" s="326">
        <f>R49</f>
        <v>0.82026945481797375</v>
      </c>
      <c r="S57" s="352">
        <f t="shared" ref="S57:W57" si="111">S49</f>
        <v>0.8805364117356973</v>
      </c>
      <c r="T57" s="352">
        <f t="shared" si="111"/>
        <v>1.058394228411212</v>
      </c>
      <c r="U57" s="352">
        <f t="shared" ref="U57:V57" si="112">U49</f>
        <v>1.3120526068162606</v>
      </c>
      <c r="V57" s="352">
        <f t="shared" si="112"/>
        <v>1.3120526068162606</v>
      </c>
      <c r="W57" s="352">
        <f t="shared" si="111"/>
        <v>1.1912263818901978</v>
      </c>
      <c r="X57" s="353" t="s">
        <v>793</v>
      </c>
      <c r="Y57" s="326">
        <f t="shared" ref="Y57:AB57" si="113">Y49</f>
        <v>0.82</v>
      </c>
      <c r="Z57" s="326">
        <f t="shared" si="113"/>
        <v>0.82801570101021782</v>
      </c>
      <c r="AA57" s="326">
        <f t="shared" si="113"/>
        <v>0.80142174844719194</v>
      </c>
      <c r="AB57" s="326">
        <f t="shared" si="113"/>
        <v>0.82026945481797375</v>
      </c>
      <c r="AC57" s="352">
        <f t="shared" ref="AC57" si="114">AC49</f>
        <v>0.88192119316474382</v>
      </c>
      <c r="AD57" s="352">
        <f>AD49</f>
        <v>1.0230996213619183</v>
      </c>
      <c r="AE57" s="352">
        <f>AE49</f>
        <v>1.1400000413556539</v>
      </c>
      <c r="AF57" s="352">
        <f>AF49</f>
        <v>1.1400000413556539</v>
      </c>
      <c r="AG57" s="352">
        <f>AG49</f>
        <v>1.1491946917581279</v>
      </c>
      <c r="AH57" s="327"/>
      <c r="AI57" s="194"/>
      <c r="AJ57" s="194"/>
      <c r="AK57" s="194"/>
      <c r="AL57" s="194"/>
      <c r="AM57" s="194"/>
      <c r="AN57" s="194"/>
      <c r="AO57" s="194"/>
      <c r="AP57" s="194"/>
      <c r="AQ57" s="194"/>
      <c r="AR57" s="194"/>
      <c r="AS57" s="194"/>
      <c r="AT57" s="194"/>
      <c r="AU57" s="194"/>
      <c r="AV57" s="194"/>
      <c r="AW57" s="194"/>
      <c r="AX57" s="194"/>
      <c r="AY57" s="194"/>
    </row>
    <row r="58" spans="1:51" ht="15.75" thickTop="1">
      <c r="A58" t="s">
        <v>16</v>
      </c>
      <c r="C58" s="18" t="s">
        <v>55</v>
      </c>
      <c r="D58" t="s">
        <v>58</v>
      </c>
      <c r="E58" s="47">
        <f t="shared" si="91"/>
        <v>7.8228147287494769</v>
      </c>
      <c r="F58" s="47">
        <f t="shared" si="91"/>
        <v>8.1980519800018872</v>
      </c>
      <c r="G58" s="47">
        <f t="shared" si="91"/>
        <v>7.6201903898356402</v>
      </c>
      <c r="H58" s="47">
        <f t="shared" si="91"/>
        <v>8.0509655947035181</v>
      </c>
      <c r="I58" s="47">
        <f t="shared" si="91"/>
        <v>8.7612480533487549</v>
      </c>
      <c r="J58" s="47">
        <f t="shared" si="91"/>
        <v>10.708214367198767</v>
      </c>
      <c r="K58" s="47">
        <f t="shared" si="92"/>
        <v>10.708214367198767</v>
      </c>
      <c r="L58" s="47">
        <f t="shared" si="93"/>
        <v>10.708214367198767</v>
      </c>
      <c r="M58" s="47">
        <f t="shared" si="94"/>
        <v>15.830909197712968</v>
      </c>
      <c r="N58" s="32"/>
      <c r="O58" s="3">
        <f t="shared" ref="O58:Q58" si="115">SUM(O54:O57)</f>
        <v>7.8228147287494769</v>
      </c>
      <c r="P58" s="3">
        <f t="shared" si="115"/>
        <v>8.1980519800018872</v>
      </c>
      <c r="Q58" s="3">
        <f t="shared" si="115"/>
        <v>7.6201903898356402</v>
      </c>
      <c r="R58" s="3">
        <f>SUM(R54:R57)</f>
        <v>8.0509655947035181</v>
      </c>
      <c r="S58" s="322">
        <f t="shared" ref="S58" si="116">SUM(S54:S57)</f>
        <v>9.6040042600572217</v>
      </c>
      <c r="T58" s="322">
        <f t="shared" ref="T58" si="117">SUM(T54:T57)</f>
        <v>12.341534081556958</v>
      </c>
      <c r="U58" s="322">
        <f>SUM(U54:U57)</f>
        <v>15.813477531283526</v>
      </c>
      <c r="V58" s="322">
        <f>SUM(V54:V57)</f>
        <v>17.670374349315878</v>
      </c>
      <c r="W58" s="322">
        <f>SUM(W54:W57)</f>
        <v>19.213611078930096</v>
      </c>
      <c r="X58" s="194"/>
      <c r="Y58" s="3">
        <f t="shared" ref="Y58:AC58" si="118">SUM(Y54:Y57)</f>
        <v>7.8228147287494769</v>
      </c>
      <c r="Z58" s="3">
        <f t="shared" si="118"/>
        <v>8.1980519800018872</v>
      </c>
      <c r="AA58" s="3">
        <f t="shared" si="118"/>
        <v>7.6201903898356402</v>
      </c>
      <c r="AB58" s="3">
        <f t="shared" si="118"/>
        <v>8.0509655947035181</v>
      </c>
      <c r="AC58" s="322">
        <f t="shared" si="118"/>
        <v>8.7612480533487549</v>
      </c>
      <c r="AD58" s="322">
        <f>SUM(AD54:AD57)</f>
        <v>10.708214367198767</v>
      </c>
      <c r="AE58" s="322">
        <f>SUM(AE54:AE57)</f>
        <v>13.577788817071829</v>
      </c>
      <c r="AF58" s="322">
        <f>SUM(AF54:AF57)</f>
        <v>15.168833360717558</v>
      </c>
      <c r="AG58" s="322">
        <f>SUM(AG54:AG57)</f>
        <v>15.830909197712968</v>
      </c>
      <c r="AH58" s="194"/>
      <c r="AI58" s="194"/>
      <c r="AJ58" s="194"/>
      <c r="AK58" s="194"/>
      <c r="AL58" s="194"/>
      <c r="AM58" s="194"/>
      <c r="AN58" s="194"/>
      <c r="AO58" s="194"/>
      <c r="AP58" s="194"/>
      <c r="AQ58" s="194"/>
      <c r="AR58" s="194"/>
      <c r="AS58" s="194"/>
      <c r="AT58" s="194"/>
      <c r="AU58" s="194"/>
      <c r="AV58" s="194"/>
      <c r="AW58" s="194"/>
      <c r="AX58" s="194"/>
      <c r="AY58" s="194"/>
    </row>
    <row r="59" spans="1:51">
      <c r="A59" t="s">
        <v>16</v>
      </c>
      <c r="C59" s="18" t="s">
        <v>56</v>
      </c>
      <c r="D59" t="s">
        <v>57</v>
      </c>
      <c r="E59" s="47">
        <f t="shared" si="91"/>
        <v>7.2252699317964622</v>
      </c>
      <c r="F59" s="47">
        <f t="shared" si="91"/>
        <v>7.1193540934106165</v>
      </c>
      <c r="G59" s="47">
        <f t="shared" si="91"/>
        <v>7.6334348116433448</v>
      </c>
      <c r="H59" s="47">
        <f t="shared" si="91"/>
        <v>7.3770350029904908</v>
      </c>
      <c r="I59" s="47">
        <f t="shared" si="91"/>
        <v>7.3801446559072943</v>
      </c>
      <c r="J59" s="47">
        <f t="shared" si="91"/>
        <v>6.5103232536646471</v>
      </c>
      <c r="K59" s="47">
        <f t="shared" si="92"/>
        <v>6.5103232536646471</v>
      </c>
      <c r="L59" s="47">
        <f t="shared" si="93"/>
        <v>6.5103232536646471</v>
      </c>
      <c r="M59" s="47">
        <f t="shared" si="94"/>
        <v>4.8324549174378424</v>
      </c>
      <c r="N59" s="32"/>
      <c r="O59" s="35">
        <f t="shared" ref="O59:T59" si="119">E16/O58</f>
        <v>7.2252699317964622</v>
      </c>
      <c r="P59" s="35">
        <f t="shared" si="119"/>
        <v>7.1193540934106165</v>
      </c>
      <c r="Q59" s="3">
        <f t="shared" si="119"/>
        <v>7.6334348116433448</v>
      </c>
      <c r="R59" s="3">
        <f t="shared" si="119"/>
        <v>7.3770350029904908</v>
      </c>
      <c r="S59" s="34">
        <f t="shared" si="119"/>
        <v>6.7325332485446809</v>
      </c>
      <c r="T59" s="34">
        <f t="shared" si="119"/>
        <v>5.6487253966408995</v>
      </c>
      <c r="U59" s="34">
        <f>L16/U58</f>
        <v>4.7847285867587832</v>
      </c>
      <c r="V59" s="34">
        <f>L16/V58</f>
        <v>4.2819238859492161</v>
      </c>
      <c r="W59" s="34">
        <f>M16/W58</f>
        <v>3.9816645962972204</v>
      </c>
      <c r="X59" s="194"/>
      <c r="Y59" s="35">
        <f t="shared" ref="Y59:AC59" si="120">Y16/Y58</f>
        <v>7.2252699317964622</v>
      </c>
      <c r="Z59" s="35">
        <f t="shared" si="120"/>
        <v>7.1193540934106165</v>
      </c>
      <c r="AA59" s="35">
        <f t="shared" si="120"/>
        <v>7.6334348116433448</v>
      </c>
      <c r="AB59" s="35">
        <f t="shared" si="120"/>
        <v>7.3770350029904908</v>
      </c>
      <c r="AC59" s="34">
        <f t="shared" si="120"/>
        <v>7.3801446559072943</v>
      </c>
      <c r="AD59" s="34">
        <f>AD16/AD58</f>
        <v>6.5103232536646471</v>
      </c>
      <c r="AE59" s="34">
        <f>AE16/AE58</f>
        <v>5.415443853976317</v>
      </c>
      <c r="AF59" s="34">
        <f>AF16/AF58</f>
        <v>4.9880696953230137</v>
      </c>
      <c r="AG59" s="34">
        <f>AG16/AG58</f>
        <v>4.8324549174378424</v>
      </c>
      <c r="AH59" s="194"/>
      <c r="AI59" s="194"/>
      <c r="AJ59" s="194"/>
      <c r="AK59" s="194"/>
      <c r="AL59" s="194"/>
      <c r="AM59" s="194"/>
      <c r="AN59" s="194"/>
      <c r="AO59" s="194"/>
      <c r="AP59" s="194"/>
      <c r="AQ59" s="194"/>
      <c r="AR59" s="194"/>
      <c r="AS59" s="194"/>
      <c r="AT59" s="194"/>
      <c r="AU59" s="194"/>
      <c r="AV59" s="194"/>
      <c r="AW59" s="194"/>
      <c r="AX59" s="194"/>
      <c r="AY59" s="194"/>
    </row>
    <row r="60" spans="1:51">
      <c r="A60" t="s">
        <v>16</v>
      </c>
      <c r="C60" s="18" t="s">
        <v>154</v>
      </c>
      <c r="D60" t="s">
        <v>132</v>
      </c>
      <c r="E60" s="3">
        <f t="shared" ref="E60:M60" si="121">1000/E59</f>
        <v>138.40313364615901</v>
      </c>
      <c r="F60" s="3">
        <f t="shared" si="121"/>
        <v>140.46218054044525</v>
      </c>
      <c r="G60" s="3">
        <f t="shared" si="121"/>
        <v>131.00262524999772</v>
      </c>
      <c r="H60" s="3">
        <f t="shared" si="121"/>
        <v>135.55581606900626</v>
      </c>
      <c r="I60" s="3">
        <f t="shared" si="121"/>
        <v>135.49869909386794</v>
      </c>
      <c r="J60" s="3">
        <f t="shared" si="121"/>
        <v>153.6022039208425</v>
      </c>
      <c r="K60" s="3">
        <f t="shared" ref="K60:L60" si="122">1000/K59</f>
        <v>153.6022039208425</v>
      </c>
      <c r="L60" s="3">
        <f t="shared" si="122"/>
        <v>153.6022039208425</v>
      </c>
      <c r="M60" s="3">
        <f t="shared" si="121"/>
        <v>206.93416019082034</v>
      </c>
      <c r="N60" s="31"/>
      <c r="O60" s="3">
        <f t="shared" ref="O60:Q60" si="123">1000/O59</f>
        <v>138.40313364615901</v>
      </c>
      <c r="P60" s="3">
        <f t="shared" si="123"/>
        <v>140.46218054044525</v>
      </c>
      <c r="Q60" s="3">
        <f t="shared" si="123"/>
        <v>131.00262524999772</v>
      </c>
      <c r="R60" s="3">
        <f>1000/R59</f>
        <v>135.55581606900626</v>
      </c>
      <c r="S60" s="3">
        <f t="shared" ref="S60" si="124">1000/S59</f>
        <v>148.53250078136074</v>
      </c>
      <c r="T60" s="3">
        <f t="shared" ref="T60" si="125">1000/T59</f>
        <v>177.03108750775269</v>
      </c>
      <c r="U60" s="3">
        <f t="shared" ref="U60:W60" si="126">1000/U59</f>
        <v>208.9982706160996</v>
      </c>
      <c r="V60" s="3">
        <f t="shared" ref="V60" si="127">1000/V59</f>
        <v>233.53988222009701</v>
      </c>
      <c r="W60" s="3">
        <f t="shared" si="126"/>
        <v>251.15123984324489</v>
      </c>
      <c r="Y60" s="3">
        <f t="shared" ref="Y60:AC60" si="128">1000/Y59</f>
        <v>138.40313364615901</v>
      </c>
      <c r="Z60" s="3">
        <f t="shared" si="128"/>
        <v>140.46218054044525</v>
      </c>
      <c r="AA60" s="3">
        <f t="shared" si="128"/>
        <v>131.00262524999772</v>
      </c>
      <c r="AB60" s="3">
        <f t="shared" si="128"/>
        <v>135.55581606900626</v>
      </c>
      <c r="AC60" s="3">
        <f t="shared" si="128"/>
        <v>135.49869909386794</v>
      </c>
      <c r="AD60" s="3">
        <f>1000/AD59</f>
        <v>153.6022039208425</v>
      </c>
      <c r="AE60" s="3">
        <f>1000/AE59</f>
        <v>184.65707095564198</v>
      </c>
      <c r="AF60" s="3">
        <f>1000/AF59</f>
        <v>200.478353567841</v>
      </c>
      <c r="AG60" s="3">
        <f>1000/AG59</f>
        <v>206.93416019082034</v>
      </c>
    </row>
    <row r="61" spans="1:51">
      <c r="A61" t="s">
        <v>16</v>
      </c>
      <c r="C61" s="18" t="s">
        <v>155</v>
      </c>
      <c r="E61" s="197">
        <f>IF($D$4,AA61,Q61)</f>
        <v>0.10517083005120005</v>
      </c>
      <c r="F61" s="197">
        <f>IF($D$4,AC61,S61)</f>
        <v>0.10066159384993703</v>
      </c>
      <c r="G61" s="197">
        <f>IF($D$4,AD61,T61)</f>
        <v>9.5543438548994775E-2</v>
      </c>
      <c r="H61" s="197">
        <f>IF($D$4,AG61,W61)</f>
        <v>7.2591831423311284E-2</v>
      </c>
      <c r="I61" s="197">
        <f>IF($D$4,AC61,S61)</f>
        <v>0.10066159384993703</v>
      </c>
      <c r="J61" s="197">
        <f>IF($D$4,AD61,T61)</f>
        <v>9.5543438548994775E-2</v>
      </c>
      <c r="K61" s="197">
        <f>IF($D$4,AD61,T61)</f>
        <v>9.5543438548994775E-2</v>
      </c>
      <c r="L61" s="197">
        <f>IF($D$4,AD61,T61)</f>
        <v>9.5543438548994775E-2</v>
      </c>
      <c r="M61" s="197">
        <f>IF($D$4,AG61,W61)</f>
        <v>7.2591831423311284E-2</v>
      </c>
      <c r="N61" s="31"/>
      <c r="O61" s="197">
        <f t="shared" ref="O61:Q61" si="129">O57/O58</f>
        <v>0.10482160557713756</v>
      </c>
      <c r="P61" s="197">
        <f>P57/P58</f>
        <v>0.10100151877910235</v>
      </c>
      <c r="Q61" s="197">
        <f t="shared" si="129"/>
        <v>0.10517083005120005</v>
      </c>
      <c r="R61" s="197">
        <f>R57/R58</f>
        <v>0.10188460566240697</v>
      </c>
      <c r="S61" s="197">
        <f t="shared" ref="S61:W61" si="130">S57/S58</f>
        <v>9.1684300411842071E-2</v>
      </c>
      <c r="T61" s="197">
        <f t="shared" si="130"/>
        <v>8.5758725083688245E-2</v>
      </c>
      <c r="U61" s="197">
        <f t="shared" ref="U61:V61" si="131">U57/U58</f>
        <v>8.2970529677653115E-2</v>
      </c>
      <c r="V61" s="197">
        <f t="shared" si="131"/>
        <v>7.4251545602770863E-2</v>
      </c>
      <c r="W61" s="197">
        <f t="shared" si="130"/>
        <v>6.1999088926938499E-2</v>
      </c>
      <c r="Y61" s="197">
        <f t="shared" ref="Y61:AB61" si="132">Y57/Y58</f>
        <v>0.10482160557713756</v>
      </c>
      <c r="Z61" s="197">
        <f t="shared" si="132"/>
        <v>0.10100151877910235</v>
      </c>
      <c r="AA61" s="197">
        <f t="shared" si="132"/>
        <v>0.10517083005120005</v>
      </c>
      <c r="AB61" s="197">
        <f t="shared" si="132"/>
        <v>0.10188460566240697</v>
      </c>
      <c r="AC61" s="197">
        <f t="shared" ref="AC61" si="133">AC57/AC58</f>
        <v>0.10066159384993703</v>
      </c>
      <c r="AD61" s="197">
        <f>AD57/AD58</f>
        <v>9.5543438548994775E-2</v>
      </c>
      <c r="AE61" s="197">
        <f>AE57/AE58</f>
        <v>8.3960654913286914E-2</v>
      </c>
      <c r="AF61" s="197">
        <f>AF57/AF58</f>
        <v>7.5154101455678884E-2</v>
      </c>
      <c r="AG61" s="197">
        <f>AG57/AG58</f>
        <v>7.2591831423311284E-2</v>
      </c>
    </row>
    <row r="62" spans="1:51">
      <c r="A62" t="s">
        <v>16</v>
      </c>
      <c r="C62" s="18"/>
      <c r="E62" s="197"/>
      <c r="G62" s="197"/>
      <c r="I62" s="197"/>
      <c r="J62" s="197"/>
      <c r="K62" s="197"/>
      <c r="L62" s="197"/>
      <c r="M62" s="197"/>
      <c r="N62" s="31"/>
      <c r="O62">
        <v>7.7429715476704368</v>
      </c>
      <c r="P62" s="3">
        <f>O62-O58</f>
        <v>-7.9843181079040093E-2</v>
      </c>
    </row>
    <row r="63" spans="1:51" ht="15.75" thickBot="1">
      <c r="A63" t="s">
        <v>16</v>
      </c>
      <c r="C63" s="13" t="s">
        <v>69</v>
      </c>
      <c r="E63" s="4">
        <f t="shared" ref="E63:M63" si="134">E53</f>
        <v>2017</v>
      </c>
      <c r="F63" s="4">
        <f t="shared" si="134"/>
        <v>2019</v>
      </c>
      <c r="G63" s="4">
        <f t="shared" si="134"/>
        <v>2020</v>
      </c>
      <c r="H63" s="4">
        <f t="shared" si="134"/>
        <v>2021</v>
      </c>
      <c r="I63" s="4">
        <f t="shared" si="134"/>
        <v>2030</v>
      </c>
      <c r="J63" s="4">
        <f t="shared" si="134"/>
        <v>2040</v>
      </c>
      <c r="K63" s="4">
        <f t="shared" ref="K63:L63" si="135">K53</f>
        <v>2050</v>
      </c>
      <c r="L63" s="4">
        <f t="shared" si="135"/>
        <v>2050</v>
      </c>
      <c r="M63" s="4">
        <f t="shared" si="134"/>
        <v>2050</v>
      </c>
      <c r="N63" s="31"/>
      <c r="O63" s="4">
        <f t="shared" ref="O63:W63" si="136">O53</f>
        <v>2017</v>
      </c>
      <c r="P63" s="4">
        <f t="shared" si="136"/>
        <v>2019</v>
      </c>
      <c r="Q63" s="4">
        <f t="shared" si="136"/>
        <v>2020</v>
      </c>
      <c r="R63" s="4">
        <f t="shared" si="136"/>
        <v>2021</v>
      </c>
      <c r="S63" s="4">
        <f t="shared" si="136"/>
        <v>2030</v>
      </c>
      <c r="T63" s="4">
        <f t="shared" si="136"/>
        <v>2040</v>
      </c>
      <c r="U63" s="4">
        <f t="shared" ref="U63:V63" si="137">U53</f>
        <v>2050</v>
      </c>
      <c r="V63" s="4">
        <f t="shared" si="137"/>
        <v>2050</v>
      </c>
      <c r="W63" s="4">
        <f t="shared" si="136"/>
        <v>2050</v>
      </c>
      <c r="Y63" s="248">
        <f t="shared" ref="Y63:AG63" si="138">Y$12</f>
        <v>2017</v>
      </c>
      <c r="Z63" s="248">
        <f t="shared" si="138"/>
        <v>2019</v>
      </c>
      <c r="AA63" s="248">
        <f t="shared" si="138"/>
        <v>2020</v>
      </c>
      <c r="AB63" s="248">
        <f t="shared" si="138"/>
        <v>2021</v>
      </c>
      <c r="AC63" s="248">
        <f t="shared" si="138"/>
        <v>2030</v>
      </c>
      <c r="AD63" s="248">
        <f t="shared" si="138"/>
        <v>2040</v>
      </c>
      <c r="AE63" s="248">
        <f t="shared" si="138"/>
        <v>2050</v>
      </c>
      <c r="AF63" s="248">
        <f t="shared" si="138"/>
        <v>2060</v>
      </c>
      <c r="AG63" s="248">
        <f t="shared" si="138"/>
        <v>2070</v>
      </c>
    </row>
    <row r="64" spans="1:51">
      <c r="A64" t="s">
        <v>16</v>
      </c>
      <c r="C64" s="18" t="s">
        <v>156</v>
      </c>
      <c r="D64" t="s">
        <v>157</v>
      </c>
      <c r="E64" s="50">
        <v>330</v>
      </c>
      <c r="F64" s="47">
        <f>IF($D$4,Z64,P64)</f>
        <v>330</v>
      </c>
      <c r="G64" s="47">
        <f>IF($D$4,AA64,Q64)</f>
        <v>330</v>
      </c>
      <c r="H64" s="47">
        <f>IF($D$4,AB64,R64)</f>
        <v>330</v>
      </c>
      <c r="I64" s="47">
        <f>IF($D$4,AC64,S64)</f>
        <v>330</v>
      </c>
      <c r="J64" s="47">
        <f>IF($D$4,AD64,T64)</f>
        <v>330</v>
      </c>
      <c r="K64" s="47">
        <f>IF($D$4,AD64,T64)</f>
        <v>330</v>
      </c>
      <c r="L64" s="47">
        <f>IF($D$4,AD64,T64)</f>
        <v>330</v>
      </c>
      <c r="M64" s="47">
        <f>IF($D$4,AG64,W64)</f>
        <v>330</v>
      </c>
      <c r="N64" s="31"/>
      <c r="O64" s="58">
        <f>E64</f>
        <v>330</v>
      </c>
      <c r="P64" s="58">
        <f>O64</f>
        <v>330</v>
      </c>
      <c r="Q64" s="3">
        <f t="shared" ref="Q64:T64" si="139">P64</f>
        <v>330</v>
      </c>
      <c r="R64" s="3">
        <f t="shared" si="139"/>
        <v>330</v>
      </c>
      <c r="S64" s="46">
        <f t="shared" si="139"/>
        <v>330</v>
      </c>
      <c r="T64" s="46">
        <f t="shared" si="139"/>
        <v>330</v>
      </c>
      <c r="U64" s="46">
        <f>S64</f>
        <v>330</v>
      </c>
      <c r="V64" s="46">
        <f>S64</f>
        <v>330</v>
      </c>
      <c r="W64" s="46">
        <f>T64</f>
        <v>330</v>
      </c>
      <c r="Y64" s="58">
        <f>O64</f>
        <v>330</v>
      </c>
      <c r="Z64" s="58">
        <f>P64</f>
        <v>330</v>
      </c>
      <c r="AA64" s="58">
        <f>Q64</f>
        <v>330</v>
      </c>
      <c r="AB64" s="58">
        <f>R64</f>
        <v>330</v>
      </c>
      <c r="AC64" s="46">
        <f>AA64</f>
        <v>330</v>
      </c>
      <c r="AD64" s="46">
        <f>AC64</f>
        <v>330</v>
      </c>
      <c r="AE64" s="46">
        <f>AC64</f>
        <v>330</v>
      </c>
      <c r="AF64" s="46">
        <f>AC64</f>
        <v>330</v>
      </c>
      <c r="AG64" s="46">
        <f>AD64</f>
        <v>330</v>
      </c>
    </row>
    <row r="65" spans="1:51">
      <c r="A65" t="s">
        <v>16</v>
      </c>
      <c r="C65" s="18"/>
      <c r="J65"/>
      <c r="N65" s="31"/>
      <c r="O65" s="5"/>
      <c r="P65" s="5"/>
    </row>
    <row r="66" spans="1:51" ht="15.75" thickBot="1">
      <c r="A66" t="s">
        <v>16</v>
      </c>
      <c r="C66" s="13" t="s">
        <v>166</v>
      </c>
      <c r="J66"/>
      <c r="N66" s="31"/>
      <c r="O66">
        <f t="shared" ref="O66:W66" si="140">O53</f>
        <v>2017</v>
      </c>
      <c r="P66">
        <f t="shared" si="140"/>
        <v>2019</v>
      </c>
      <c r="Q66">
        <f t="shared" si="140"/>
        <v>2020</v>
      </c>
      <c r="R66">
        <f t="shared" si="140"/>
        <v>2021</v>
      </c>
      <c r="S66">
        <f t="shared" si="140"/>
        <v>2030</v>
      </c>
      <c r="T66">
        <f t="shared" si="140"/>
        <v>2040</v>
      </c>
      <c r="U66">
        <f t="shared" ref="U66:V66" si="141">U53</f>
        <v>2050</v>
      </c>
      <c r="V66">
        <f t="shared" si="141"/>
        <v>2050</v>
      </c>
      <c r="W66">
        <f t="shared" si="140"/>
        <v>2050</v>
      </c>
    </row>
    <row r="67" spans="1:51">
      <c r="A67" t="s">
        <v>16</v>
      </c>
      <c r="C67" s="18" t="s">
        <v>167</v>
      </c>
      <c r="D67" t="s">
        <v>158</v>
      </c>
      <c r="E67" s="172">
        <v>33.5</v>
      </c>
      <c r="F67" s="58">
        <f t="shared" ref="F67:J70" si="142">IF($D$4,Z67,P67)</f>
        <v>33.5</v>
      </c>
      <c r="G67" s="58">
        <f t="shared" si="142"/>
        <v>33.5</v>
      </c>
      <c r="H67" s="58">
        <f t="shared" si="142"/>
        <v>33.5</v>
      </c>
      <c r="I67" s="58">
        <f t="shared" si="142"/>
        <v>33.5</v>
      </c>
      <c r="J67" s="58">
        <f t="shared" si="142"/>
        <v>33.5</v>
      </c>
      <c r="K67" s="58">
        <f>IF($D$4,AD67,T67)</f>
        <v>33.5</v>
      </c>
      <c r="L67" s="58">
        <f>IF($D$4,AD67,T67)</f>
        <v>33.5</v>
      </c>
      <c r="M67" s="58">
        <f>IF($D$4,AG67,W67)</f>
        <v>33.5</v>
      </c>
      <c r="N67" s="31"/>
      <c r="O67" s="57">
        <f>E67</f>
        <v>33.5</v>
      </c>
      <c r="P67" s="58">
        <f t="shared" ref="P67:T67" si="143">O67</f>
        <v>33.5</v>
      </c>
      <c r="Q67" s="3">
        <f t="shared" si="143"/>
        <v>33.5</v>
      </c>
      <c r="R67" s="3">
        <f t="shared" si="143"/>
        <v>33.5</v>
      </c>
      <c r="S67" s="46">
        <f t="shared" si="143"/>
        <v>33.5</v>
      </c>
      <c r="T67" s="46">
        <f t="shared" si="143"/>
        <v>33.5</v>
      </c>
      <c r="U67" s="46">
        <f>S67</f>
        <v>33.5</v>
      </c>
      <c r="V67" s="46">
        <f t="shared" ref="V67:W70" si="144">S67</f>
        <v>33.5</v>
      </c>
      <c r="W67" s="46">
        <f t="shared" si="144"/>
        <v>33.5</v>
      </c>
      <c r="Y67" s="58">
        <f t="shared" ref="Y67:AB70" si="145">O67</f>
        <v>33.5</v>
      </c>
      <c r="Z67" s="58">
        <f t="shared" si="145"/>
        <v>33.5</v>
      </c>
      <c r="AA67" s="58">
        <f t="shared" si="145"/>
        <v>33.5</v>
      </c>
      <c r="AB67" s="58">
        <f t="shared" si="145"/>
        <v>33.5</v>
      </c>
      <c r="AC67" s="46">
        <f>AA67</f>
        <v>33.5</v>
      </c>
      <c r="AD67" s="46">
        <f>AC67</f>
        <v>33.5</v>
      </c>
      <c r="AE67" s="46">
        <f>AC67</f>
        <v>33.5</v>
      </c>
      <c r="AF67" s="46">
        <f>AC67</f>
        <v>33.5</v>
      </c>
      <c r="AG67" s="46">
        <f>AD67</f>
        <v>33.5</v>
      </c>
    </row>
    <row r="68" spans="1:51">
      <c r="A68" t="s">
        <v>16</v>
      </c>
      <c r="C68" s="18" t="s">
        <v>54</v>
      </c>
      <c r="D68" t="s">
        <v>158</v>
      </c>
      <c r="E68" s="46">
        <f>E70*1.5</f>
        <v>32.25</v>
      </c>
      <c r="F68" s="58">
        <f t="shared" si="142"/>
        <v>32.25</v>
      </c>
      <c r="G68" s="58">
        <f t="shared" si="142"/>
        <v>32.25</v>
      </c>
      <c r="H68" s="58">
        <f t="shared" si="142"/>
        <v>32.25</v>
      </c>
      <c r="I68" s="58">
        <f t="shared" si="142"/>
        <v>28.349999999999998</v>
      </c>
      <c r="J68" s="58">
        <f t="shared" si="142"/>
        <v>28.349999999999998</v>
      </c>
      <c r="K68" s="58">
        <f>IF($D$4,AD68,T68)</f>
        <v>28.349999999999998</v>
      </c>
      <c r="L68" s="58">
        <f>IF($D$4,AD68,T68)</f>
        <v>28.349999999999998</v>
      </c>
      <c r="M68" s="58">
        <f>IF($D$4,AG68,W68)</f>
        <v>28.349999999999998</v>
      </c>
      <c r="N68" s="31"/>
      <c r="O68" s="58">
        <f>E68</f>
        <v>32.25</v>
      </c>
      <c r="P68" s="58">
        <f t="shared" ref="P68:T68" si="146">O68</f>
        <v>32.25</v>
      </c>
      <c r="Q68" s="3">
        <f t="shared" si="146"/>
        <v>32.25</v>
      </c>
      <c r="R68" s="3">
        <f t="shared" si="146"/>
        <v>32.25</v>
      </c>
      <c r="S68" s="46">
        <f t="shared" si="146"/>
        <v>32.25</v>
      </c>
      <c r="T68" s="46">
        <f t="shared" si="146"/>
        <v>32.25</v>
      </c>
      <c r="U68" s="46">
        <f>S68</f>
        <v>32.25</v>
      </c>
      <c r="V68" s="46">
        <f t="shared" si="144"/>
        <v>32.25</v>
      </c>
      <c r="W68" s="46">
        <f t="shared" si="144"/>
        <v>32.25</v>
      </c>
      <c r="Y68" s="58">
        <f t="shared" si="145"/>
        <v>32.25</v>
      </c>
      <c r="Z68" s="58">
        <f t="shared" si="145"/>
        <v>32.25</v>
      </c>
      <c r="AA68" s="58">
        <f t="shared" si="145"/>
        <v>32.25</v>
      </c>
      <c r="AB68" s="58">
        <f t="shared" si="145"/>
        <v>32.25</v>
      </c>
      <c r="AC68" s="46">
        <f>AC70*1.5</f>
        <v>28.349999999999998</v>
      </c>
      <c r="AD68" s="46">
        <f>AD70*1.5</f>
        <v>28.349999999999998</v>
      </c>
      <c r="AE68" s="46">
        <f>AE70*1.5</f>
        <v>28.349999999999998</v>
      </c>
      <c r="AF68" s="46">
        <f>AF70*1.5</f>
        <v>28.349999999999998</v>
      </c>
      <c r="AG68" s="46">
        <f>AG70*1.5</f>
        <v>28.349999999999998</v>
      </c>
    </row>
    <row r="69" spans="1:51">
      <c r="A69" t="s">
        <v>16</v>
      </c>
      <c r="C69" s="18" t="s">
        <v>71</v>
      </c>
      <c r="D69" t="s">
        <v>158</v>
      </c>
      <c r="E69" s="46">
        <f>E70*2</f>
        <v>43</v>
      </c>
      <c r="F69" s="58">
        <f t="shared" si="142"/>
        <v>43</v>
      </c>
      <c r="G69" s="58">
        <f t="shared" si="142"/>
        <v>43</v>
      </c>
      <c r="H69" s="58">
        <f t="shared" si="142"/>
        <v>43</v>
      </c>
      <c r="I69" s="58">
        <f t="shared" si="142"/>
        <v>37.799999999999997</v>
      </c>
      <c r="J69" s="58">
        <f t="shared" si="142"/>
        <v>37.799999999999997</v>
      </c>
      <c r="K69" s="58">
        <f>IF($D$4,AD69,T69)</f>
        <v>37.799999999999997</v>
      </c>
      <c r="L69" s="58">
        <f>IF($D$4,AD69,T69)</f>
        <v>37.799999999999997</v>
      </c>
      <c r="M69" s="58">
        <f>IF($D$4,AG69,W69)</f>
        <v>37.799999999999997</v>
      </c>
      <c r="N69" s="31"/>
      <c r="O69" s="58">
        <f>E69</f>
        <v>43</v>
      </c>
      <c r="P69" s="58">
        <f t="shared" ref="P69:T69" si="147">O69</f>
        <v>43</v>
      </c>
      <c r="Q69" s="3">
        <f t="shared" si="147"/>
        <v>43</v>
      </c>
      <c r="R69" s="3">
        <f t="shared" si="147"/>
        <v>43</v>
      </c>
      <c r="S69" s="46">
        <f t="shared" si="147"/>
        <v>43</v>
      </c>
      <c r="T69" s="46">
        <f t="shared" si="147"/>
        <v>43</v>
      </c>
      <c r="U69" s="46">
        <f>S69</f>
        <v>43</v>
      </c>
      <c r="V69" s="46">
        <f t="shared" si="144"/>
        <v>43</v>
      </c>
      <c r="W69" s="46">
        <f t="shared" si="144"/>
        <v>43</v>
      </c>
      <c r="Y69" s="58">
        <f t="shared" si="145"/>
        <v>43</v>
      </c>
      <c r="Z69" s="58">
        <f t="shared" si="145"/>
        <v>43</v>
      </c>
      <c r="AA69" s="58">
        <f t="shared" si="145"/>
        <v>43</v>
      </c>
      <c r="AB69" s="58">
        <f t="shared" si="145"/>
        <v>43</v>
      </c>
      <c r="AC69" s="46">
        <f>AC70*2</f>
        <v>37.799999999999997</v>
      </c>
      <c r="AD69" s="46">
        <f>AD70*2</f>
        <v>37.799999999999997</v>
      </c>
      <c r="AE69" s="46">
        <f>AE70*2</f>
        <v>37.799999999999997</v>
      </c>
      <c r="AF69" s="46">
        <f>AF70*2</f>
        <v>37.799999999999997</v>
      </c>
      <c r="AG69" s="46">
        <f>AG70*2</f>
        <v>37.799999999999997</v>
      </c>
    </row>
    <row r="70" spans="1:51">
      <c r="A70" t="s">
        <v>16</v>
      </c>
      <c r="C70" s="18" t="s">
        <v>168</v>
      </c>
      <c r="D70" t="s">
        <v>158</v>
      </c>
      <c r="E70" s="172">
        <v>21.5</v>
      </c>
      <c r="F70" s="58">
        <f t="shared" si="142"/>
        <v>18.899999999999999</v>
      </c>
      <c r="G70" s="58">
        <f t="shared" si="142"/>
        <v>18.899999999999999</v>
      </c>
      <c r="H70" s="58">
        <f t="shared" si="142"/>
        <v>18.899999999999999</v>
      </c>
      <c r="I70" s="58">
        <f t="shared" si="142"/>
        <v>18.899999999999999</v>
      </c>
      <c r="J70" s="58">
        <f t="shared" si="142"/>
        <v>18.899999999999999</v>
      </c>
      <c r="K70" s="58">
        <f>IF($D$4,AD70,T70)</f>
        <v>18.899999999999999</v>
      </c>
      <c r="L70" s="58">
        <f>IF($D$4,AD70,T70)</f>
        <v>18.899999999999999</v>
      </c>
      <c r="M70" s="58">
        <f>IF($D$4,AG70,W70)</f>
        <v>18.899999999999999</v>
      </c>
      <c r="N70" s="31"/>
      <c r="O70" s="263">
        <v>18.899999999999999</v>
      </c>
      <c r="P70" s="57">
        <f t="shared" ref="P70:T70" si="148">O70</f>
        <v>18.899999999999999</v>
      </c>
      <c r="Q70" s="3">
        <f t="shared" si="148"/>
        <v>18.899999999999999</v>
      </c>
      <c r="R70" s="3">
        <f t="shared" si="148"/>
        <v>18.899999999999999</v>
      </c>
      <c r="S70" s="262">
        <f t="shared" si="148"/>
        <v>18.899999999999999</v>
      </c>
      <c r="T70" s="262">
        <f t="shared" si="148"/>
        <v>18.899999999999999</v>
      </c>
      <c r="U70" s="262">
        <f>S70</f>
        <v>18.899999999999999</v>
      </c>
      <c r="V70" s="262">
        <f t="shared" si="144"/>
        <v>18.899999999999999</v>
      </c>
      <c r="W70" s="262">
        <f t="shared" si="144"/>
        <v>18.899999999999999</v>
      </c>
      <c r="Y70" s="57">
        <f t="shared" si="145"/>
        <v>18.899999999999999</v>
      </c>
      <c r="Z70" s="58">
        <f t="shared" si="145"/>
        <v>18.899999999999999</v>
      </c>
      <c r="AA70" s="58">
        <f t="shared" si="145"/>
        <v>18.899999999999999</v>
      </c>
      <c r="AB70" s="58">
        <f t="shared" si="145"/>
        <v>18.899999999999999</v>
      </c>
      <c r="AC70" s="46">
        <f>AA70</f>
        <v>18.899999999999999</v>
      </c>
      <c r="AD70" s="46">
        <f>AC70</f>
        <v>18.899999999999999</v>
      </c>
      <c r="AE70" s="46">
        <f>AC70</f>
        <v>18.899999999999999</v>
      </c>
      <c r="AF70" s="46">
        <f>AC70</f>
        <v>18.899999999999999</v>
      </c>
      <c r="AG70" s="46">
        <f>AD70</f>
        <v>18.899999999999999</v>
      </c>
    </row>
    <row r="71" spans="1:51">
      <c r="A71" t="s">
        <v>16</v>
      </c>
      <c r="C71" s="222" t="s">
        <v>609</v>
      </c>
      <c r="J71"/>
      <c r="N71" s="31"/>
    </row>
    <row r="72" spans="1:51" ht="15.75" thickBot="1">
      <c r="A72" t="s">
        <v>16</v>
      </c>
      <c r="C72" s="13" t="s">
        <v>165</v>
      </c>
      <c r="J72"/>
      <c r="N72" s="31"/>
      <c r="O72" s="243">
        <f t="shared" ref="O72:W113" si="149">O$12</f>
        <v>2017</v>
      </c>
      <c r="P72" s="243">
        <f t="shared" si="149"/>
        <v>2019</v>
      </c>
      <c r="Q72" s="243">
        <f t="shared" si="149"/>
        <v>2020</v>
      </c>
      <c r="R72" s="243">
        <f t="shared" si="149"/>
        <v>2021</v>
      </c>
      <c r="S72" s="243">
        <f t="shared" si="149"/>
        <v>2030</v>
      </c>
      <c r="T72" s="243">
        <f t="shared" si="149"/>
        <v>2040</v>
      </c>
      <c r="U72" s="243">
        <f t="shared" si="149"/>
        <v>2050</v>
      </c>
      <c r="V72" s="243">
        <f t="shared" si="149"/>
        <v>2060</v>
      </c>
      <c r="W72" s="243">
        <f t="shared" si="149"/>
        <v>2070</v>
      </c>
    </row>
    <row r="73" spans="1:51">
      <c r="A73" t="s">
        <v>16</v>
      </c>
      <c r="C73" s="18" t="s">
        <v>169</v>
      </c>
      <c r="E73" s="195">
        <v>0.55000000000000004</v>
      </c>
      <c r="F73" s="47">
        <f>IF($D$4,Z73,P73)</f>
        <v>0.55000000000000004</v>
      </c>
      <c r="G73" s="47">
        <f>IF($D$4,AA73,Q73)</f>
        <v>0.55000000000000004</v>
      </c>
      <c r="H73" s="47">
        <f>IF($D$4,AB73,R73)</f>
        <v>0.55000000000000004</v>
      </c>
      <c r="I73" s="47">
        <f>IF($D$4,AC73,S73)</f>
        <v>0.55000000000000004</v>
      </c>
      <c r="J73" s="47">
        <f>IF($D$4,AD73,T73)</f>
        <v>0.55000000000000004</v>
      </c>
      <c r="K73" s="47">
        <f>IF($D$4,AD73,T73)</f>
        <v>0.55000000000000004</v>
      </c>
      <c r="L73" s="47">
        <f>IF($D$4,AD73,T73)</f>
        <v>0.55000000000000004</v>
      </c>
      <c r="M73" s="47">
        <f>IF($D$4,AG73,W73)</f>
        <v>0.55000000000000004</v>
      </c>
      <c r="N73" s="31"/>
      <c r="O73" s="196">
        <f>E73</f>
        <v>0.55000000000000004</v>
      </c>
      <c r="P73" s="196">
        <f>E73</f>
        <v>0.55000000000000004</v>
      </c>
      <c r="Q73" s="3">
        <f>F73</f>
        <v>0.55000000000000004</v>
      </c>
      <c r="R73" s="3">
        <f>G73</f>
        <v>0.55000000000000004</v>
      </c>
      <c r="S73" s="25">
        <f>H73</f>
        <v>0.55000000000000004</v>
      </c>
      <c r="T73" s="25">
        <f>I73</f>
        <v>0.55000000000000004</v>
      </c>
      <c r="U73" s="25">
        <f>I73</f>
        <v>0.55000000000000004</v>
      </c>
      <c r="V73" s="25">
        <f>I73</f>
        <v>0.55000000000000004</v>
      </c>
      <c r="W73" s="25">
        <f>J73</f>
        <v>0.55000000000000004</v>
      </c>
      <c r="Y73" s="196">
        <f>O73</f>
        <v>0.55000000000000004</v>
      </c>
      <c r="Z73" s="196">
        <f>P73</f>
        <v>0.55000000000000004</v>
      </c>
      <c r="AA73" s="196">
        <f>Q73</f>
        <v>0.55000000000000004</v>
      </c>
      <c r="AB73" s="196">
        <f>R73</f>
        <v>0.55000000000000004</v>
      </c>
      <c r="AC73" s="25">
        <f>AA73</f>
        <v>0.55000000000000004</v>
      </c>
      <c r="AD73" s="25">
        <f>AC73</f>
        <v>0.55000000000000004</v>
      </c>
      <c r="AE73" s="25">
        <f>AC73</f>
        <v>0.55000000000000004</v>
      </c>
      <c r="AF73" s="25">
        <f>AC73</f>
        <v>0.55000000000000004</v>
      </c>
      <c r="AG73" s="25">
        <f>AD73</f>
        <v>0.55000000000000004</v>
      </c>
    </row>
    <row r="74" spans="1:51">
      <c r="A74" t="s">
        <v>16</v>
      </c>
      <c r="C74" s="53" t="s">
        <v>180</v>
      </c>
      <c r="E74" s="4"/>
      <c r="G74" s="4"/>
      <c r="I74" s="4"/>
      <c r="J74" s="4"/>
      <c r="K74" s="4"/>
      <c r="L74" s="4"/>
      <c r="M74" s="4"/>
      <c r="N74" s="31"/>
      <c r="Y74" t="s">
        <v>189</v>
      </c>
    </row>
    <row r="75" spans="1:51">
      <c r="A75" t="s">
        <v>16</v>
      </c>
      <c r="C75" s="29" t="str">
        <f>C54</f>
        <v>Low Income</v>
      </c>
      <c r="D75" t="s">
        <v>179</v>
      </c>
      <c r="E75" s="47">
        <f t="shared" ref="E75:J75" si="150">IF($D$4,Y75,O75)</f>
        <v>0.51510723782285484</v>
      </c>
      <c r="F75" s="47">
        <f t="shared" si="150"/>
        <v>0.51893420171073767</v>
      </c>
      <c r="G75" s="47">
        <f t="shared" si="150"/>
        <v>0.5399653125395153</v>
      </c>
      <c r="H75" s="47">
        <f t="shared" si="150"/>
        <v>0.5491065707339321</v>
      </c>
      <c r="I75" s="47">
        <f t="shared" si="150"/>
        <v>0.53870543779685498</v>
      </c>
      <c r="J75" s="47">
        <f t="shared" si="150"/>
        <v>0.48508347621126702</v>
      </c>
      <c r="K75" s="47">
        <f>IF($D$4,AD75,T75)</f>
        <v>0.48508347621126702</v>
      </c>
      <c r="L75" s="47">
        <f>IF($D$4,AD75,T75)</f>
        <v>0.48508347621126702</v>
      </c>
      <c r="M75" s="47">
        <f>IF($D$4,AG75,W75)</f>
        <v>0.22109628216238786</v>
      </c>
      <c r="N75" s="31"/>
      <c r="O75" s="3">
        <f t="shared" ref="O75:W75" si="151">O25*O13</f>
        <v>0.51510723782285484</v>
      </c>
      <c r="P75" s="3">
        <f>P25*P13</f>
        <v>0.51893420171073767</v>
      </c>
      <c r="Q75" s="3">
        <f t="shared" si="151"/>
        <v>0.5399653125395153</v>
      </c>
      <c r="R75" s="3">
        <f t="shared" si="151"/>
        <v>0.5491065707339321</v>
      </c>
      <c r="S75" s="3">
        <f t="shared" si="151"/>
        <v>0.53870543779685498</v>
      </c>
      <c r="T75" s="3">
        <f t="shared" si="151"/>
        <v>0.48508347621126702</v>
      </c>
      <c r="U75" s="3">
        <f t="shared" ref="U75:V75" si="152">U25*U13</f>
        <v>0.41037838014923522</v>
      </c>
      <c r="V75" s="3">
        <f t="shared" si="152"/>
        <v>0.32063959102902867</v>
      </c>
      <c r="W75" s="3">
        <f t="shared" si="151"/>
        <v>0.22109628216238786</v>
      </c>
      <c r="Y75" s="3">
        <f>O75</f>
        <v>0.51510723782285484</v>
      </c>
      <c r="Z75" s="3">
        <f>P75</f>
        <v>0.51893420171073767</v>
      </c>
      <c r="AA75" s="3">
        <f>Q75</f>
        <v>0.5399653125395153</v>
      </c>
      <c r="AB75" s="3">
        <f>R75</f>
        <v>0.5491065707339321</v>
      </c>
      <c r="AC75" s="3">
        <f>AC25*AC13</f>
        <v>0.53870543779685498</v>
      </c>
      <c r="AD75" s="3">
        <f>AD25*AD13</f>
        <v>0.48508347621126702</v>
      </c>
      <c r="AE75" s="3">
        <f>AE25*AE13</f>
        <v>0.41037838014923522</v>
      </c>
      <c r="AF75" s="3">
        <f>AF25*AF13</f>
        <v>0.32063959102902867</v>
      </c>
      <c r="AG75" s="3">
        <f>AG25*AG13</f>
        <v>0.22109628216238786</v>
      </c>
    </row>
    <row r="76" spans="1:51">
      <c r="A76" t="s">
        <v>16</v>
      </c>
      <c r="C76" s="29"/>
      <c r="E76" s="3"/>
      <c r="G76" s="3"/>
      <c r="I76" s="3"/>
      <c r="J76" s="3"/>
      <c r="K76" s="3"/>
      <c r="L76" s="3"/>
      <c r="M76" s="3"/>
      <c r="N76" s="31"/>
      <c r="O76" s="248">
        <f t="shared" ref="O76:W76" si="153">O$12</f>
        <v>2017</v>
      </c>
      <c r="P76" s="248">
        <f t="shared" si="153"/>
        <v>2019</v>
      </c>
      <c r="Q76" s="248">
        <f t="shared" si="153"/>
        <v>2020</v>
      </c>
      <c r="R76" s="248">
        <f t="shared" si="153"/>
        <v>2021</v>
      </c>
      <c r="S76" s="248">
        <f t="shared" si="153"/>
        <v>2030</v>
      </c>
      <c r="T76" s="248">
        <f t="shared" si="153"/>
        <v>2040</v>
      </c>
      <c r="U76" s="248">
        <f t="shared" si="153"/>
        <v>2050</v>
      </c>
      <c r="V76" s="248">
        <f t="shared" si="153"/>
        <v>2060</v>
      </c>
      <c r="W76" s="248">
        <f t="shared" si="153"/>
        <v>2070</v>
      </c>
      <c r="Y76" s="248">
        <f t="shared" ref="Y76:AG76" si="154">Y$12</f>
        <v>2017</v>
      </c>
      <c r="Z76" s="248">
        <f t="shared" si="154"/>
        <v>2019</v>
      </c>
      <c r="AA76" s="248">
        <f t="shared" si="154"/>
        <v>2020</v>
      </c>
      <c r="AB76" s="248">
        <f t="shared" si="154"/>
        <v>2021</v>
      </c>
      <c r="AC76" s="248">
        <f t="shared" si="154"/>
        <v>2030</v>
      </c>
      <c r="AD76" s="248">
        <f t="shared" si="154"/>
        <v>2040</v>
      </c>
      <c r="AE76" s="248">
        <f t="shared" si="154"/>
        <v>2050</v>
      </c>
      <c r="AF76" s="248">
        <f t="shared" si="154"/>
        <v>2060</v>
      </c>
      <c r="AG76" s="248">
        <f t="shared" si="154"/>
        <v>2070</v>
      </c>
    </row>
    <row r="77" spans="1:51">
      <c r="A77" t="s">
        <v>16</v>
      </c>
      <c r="C77" t="s">
        <v>72</v>
      </c>
      <c r="D77" t="s">
        <v>39</v>
      </c>
      <c r="E77" s="48">
        <f t="shared" ref="E77:J77" si="155">IF($D$4,Y77,O77)</f>
        <v>0.23381516587677725</v>
      </c>
      <c r="F77" s="48">
        <f t="shared" si="155"/>
        <v>0.23381516587677725</v>
      </c>
      <c r="G77" s="48">
        <f t="shared" si="155"/>
        <v>0.23381516587677725</v>
      </c>
      <c r="H77" s="48">
        <f t="shared" si="155"/>
        <v>0.23381516587677725</v>
      </c>
      <c r="I77" s="48">
        <f t="shared" si="155"/>
        <v>0.21101818720379142</v>
      </c>
      <c r="J77" s="48">
        <f t="shared" si="155"/>
        <v>0.20046727784360185</v>
      </c>
      <c r="K77" s="48">
        <f>IF($D$4,AD77,T77)</f>
        <v>0.20046727784360185</v>
      </c>
      <c r="L77" s="48">
        <f>IF($D$4,AD77,T77)</f>
        <v>0.20046727784360185</v>
      </c>
      <c r="M77" s="48">
        <f>IF($D$4,AG77,W77)</f>
        <v>0.17187563234115816</v>
      </c>
      <c r="N77" s="204"/>
      <c r="O77" s="48">
        <f t="shared" ref="O77:W77" si="156">O$41*1000*O$35*O$30/O$67/O$64</f>
        <v>0.23381516587677725</v>
      </c>
      <c r="P77" s="48">
        <f t="shared" si="156"/>
        <v>0.23381516587677725</v>
      </c>
      <c r="Q77" s="164">
        <f t="shared" si="156"/>
        <v>0.23381516587677725</v>
      </c>
      <c r="R77" s="164">
        <f t="shared" si="156"/>
        <v>0.23381516587677725</v>
      </c>
      <c r="S77" s="236">
        <f t="shared" si="156"/>
        <v>0.23381516587677725</v>
      </c>
      <c r="T77" s="236">
        <f t="shared" si="156"/>
        <v>0.23381516587677725</v>
      </c>
      <c r="U77" s="236">
        <f t="shared" si="156"/>
        <v>0.23381516587677725</v>
      </c>
      <c r="V77" s="236">
        <f t="shared" si="156"/>
        <v>0.23381516587677725</v>
      </c>
      <c r="W77" s="236">
        <f t="shared" si="156"/>
        <v>0.23381516587677725</v>
      </c>
      <c r="X77" s="203"/>
      <c r="Y77" s="48">
        <f t="shared" ref="Y77:Y90" si="157">O77</f>
        <v>0.23381516587677725</v>
      </c>
      <c r="Z77" s="48">
        <f t="shared" ref="Z77:Z90" si="158">P77</f>
        <v>0.23381516587677725</v>
      </c>
      <c r="AA77" s="48">
        <f t="shared" ref="AA77:AA90" si="159">Q77</f>
        <v>0.23381516587677725</v>
      </c>
      <c r="AB77" s="48">
        <f t="shared" ref="AB77:AB90" si="160">R77</f>
        <v>0.23381516587677725</v>
      </c>
      <c r="AC77" s="48">
        <f>AC$41*1000*AC$35*AC$30/AC$67/AC$64</f>
        <v>0.21101818720379142</v>
      </c>
      <c r="AD77" s="48">
        <f>AD$41*1000*AD$35*AD$30/AD$67/AD$64</f>
        <v>0.20046727784360185</v>
      </c>
      <c r="AE77" s="48">
        <f>AE$41*1000*AE$35*AE$30/AE$67/AE$64</f>
        <v>0.19044391395142174</v>
      </c>
      <c r="AF77" s="48">
        <f>AF$41*1000*AF$35*AF$30/AF$67/AF$64</f>
        <v>0.19044391395142174</v>
      </c>
      <c r="AG77" s="48">
        <f>AG$41*1000*AG$35*AG$30/AG$67/AG$64</f>
        <v>0.17187563234115816</v>
      </c>
      <c r="AH77" s="203"/>
      <c r="AI77" s="203"/>
      <c r="AJ77" s="203"/>
      <c r="AK77" s="203"/>
      <c r="AL77" s="203"/>
      <c r="AM77" s="203"/>
      <c r="AN77" s="203"/>
      <c r="AO77" s="203"/>
      <c r="AP77" s="203"/>
      <c r="AQ77" s="203"/>
      <c r="AR77" s="203"/>
      <c r="AS77" s="203"/>
      <c r="AT77" s="203"/>
      <c r="AU77" s="203"/>
      <c r="AV77" s="203"/>
      <c r="AW77" s="203"/>
      <c r="AX77" s="203"/>
      <c r="AY77" s="203"/>
    </row>
    <row r="78" spans="1:51">
      <c r="A78" t="s">
        <v>16</v>
      </c>
      <c r="C78" t="s">
        <v>54</v>
      </c>
      <c r="D78" t="s">
        <v>39</v>
      </c>
      <c r="E78" s="239">
        <v>5.0000000000000001E-3</v>
      </c>
      <c r="F78" s="48">
        <f t="shared" ref="F78:J79" si="161">IF($D$4,Z78,P78)</f>
        <v>5.0000000000000001E-3</v>
      </c>
      <c r="G78" s="48">
        <f t="shared" si="161"/>
        <v>5.0000000000000001E-3</v>
      </c>
      <c r="H78" s="48">
        <f t="shared" si="161"/>
        <v>5.0000000000000001E-3</v>
      </c>
      <c r="I78" s="48">
        <f t="shared" si="161"/>
        <v>5.0000000000000001E-3</v>
      </c>
      <c r="J78" s="48">
        <f t="shared" si="161"/>
        <v>5.0000000000000001E-3</v>
      </c>
      <c r="K78" s="48">
        <f>IF($D$4,AD78,T78)</f>
        <v>5.0000000000000001E-3</v>
      </c>
      <c r="L78" s="48">
        <f>IF($D$4,AD78,T78)</f>
        <v>5.0000000000000001E-3</v>
      </c>
      <c r="M78" s="48">
        <f>IF($D$4,AG78,W78)</f>
        <v>5.0000000000000001E-3</v>
      </c>
      <c r="N78" s="204"/>
      <c r="O78" s="205">
        <f>E78</f>
        <v>5.0000000000000001E-3</v>
      </c>
      <c r="P78" s="205">
        <f>O78</f>
        <v>5.0000000000000001E-3</v>
      </c>
      <c r="Q78" s="92">
        <f>P78</f>
        <v>5.0000000000000001E-3</v>
      </c>
      <c r="R78" s="92">
        <f>Q78</f>
        <v>5.0000000000000001E-3</v>
      </c>
      <c r="S78" s="92">
        <f t="shared" ref="S78:W78" si="162">R78</f>
        <v>5.0000000000000001E-3</v>
      </c>
      <c r="T78" s="92">
        <f t="shared" si="162"/>
        <v>5.0000000000000001E-3</v>
      </c>
      <c r="U78" s="92">
        <f t="shared" si="162"/>
        <v>5.0000000000000001E-3</v>
      </c>
      <c r="V78" s="92">
        <f t="shared" si="162"/>
        <v>5.0000000000000001E-3</v>
      </c>
      <c r="W78" s="92">
        <f t="shared" si="162"/>
        <v>5.0000000000000001E-3</v>
      </c>
      <c r="X78" s="203"/>
      <c r="Y78" s="48">
        <f t="shared" si="157"/>
        <v>5.0000000000000001E-3</v>
      </c>
      <c r="Z78" s="48">
        <f t="shared" si="158"/>
        <v>5.0000000000000001E-3</v>
      </c>
      <c r="AA78" s="48">
        <f t="shared" si="159"/>
        <v>5.0000000000000001E-3</v>
      </c>
      <c r="AB78" s="117">
        <f t="shared" si="160"/>
        <v>5.0000000000000001E-3</v>
      </c>
      <c r="AC78" s="92">
        <f t="shared" ref="AC78:AG78" si="163">AB78</f>
        <v>5.0000000000000001E-3</v>
      </c>
      <c r="AD78" s="92">
        <f t="shared" si="163"/>
        <v>5.0000000000000001E-3</v>
      </c>
      <c r="AE78" s="92">
        <f t="shared" si="163"/>
        <v>5.0000000000000001E-3</v>
      </c>
      <c r="AF78" s="92">
        <f t="shared" si="163"/>
        <v>5.0000000000000001E-3</v>
      </c>
      <c r="AG78" s="92">
        <f t="shared" si="163"/>
        <v>5.0000000000000001E-3</v>
      </c>
      <c r="AH78" s="203"/>
      <c r="AI78" s="203"/>
      <c r="AJ78" s="203"/>
      <c r="AK78" s="203"/>
      <c r="AL78" s="203"/>
      <c r="AM78" s="203"/>
      <c r="AN78" s="203"/>
      <c r="AO78" s="203"/>
      <c r="AP78" s="203"/>
      <c r="AQ78" s="203"/>
      <c r="AR78" s="203"/>
      <c r="AS78" s="203"/>
      <c r="AT78" s="203"/>
      <c r="AU78" s="203"/>
      <c r="AV78" s="203"/>
      <c r="AW78" s="203"/>
      <c r="AX78" s="203"/>
      <c r="AY78" s="203"/>
    </row>
    <row r="79" spans="1:51">
      <c r="A79" t="s">
        <v>16</v>
      </c>
      <c r="C79" t="s">
        <v>71</v>
      </c>
      <c r="D79" t="s">
        <v>39</v>
      </c>
      <c r="E79" s="239">
        <v>0</v>
      </c>
      <c r="F79" s="48">
        <f t="shared" si="161"/>
        <v>5.0000000000000001E-3</v>
      </c>
      <c r="G79" s="48">
        <f t="shared" si="161"/>
        <v>5.0000000000000001E-3</v>
      </c>
      <c r="H79" s="48">
        <f t="shared" si="161"/>
        <v>5.0000000000000001E-3</v>
      </c>
      <c r="I79" s="48">
        <f t="shared" si="161"/>
        <v>0</v>
      </c>
      <c r="J79" s="48">
        <f t="shared" si="161"/>
        <v>0</v>
      </c>
      <c r="K79" s="48">
        <f>IF($D$4,AD79,T79)</f>
        <v>0</v>
      </c>
      <c r="L79" s="48">
        <f>IF($D$4,AD79,T79)</f>
        <v>0</v>
      </c>
      <c r="M79" s="48">
        <f>IF($D$4,AG79,W79)</f>
        <v>0</v>
      </c>
      <c r="N79" s="204"/>
      <c r="O79" s="196">
        <f>E79</f>
        <v>0</v>
      </c>
      <c r="P79" s="196">
        <v>5.0000000000000001E-3</v>
      </c>
      <c r="Q79" s="164">
        <v>5.0000000000000001E-3</v>
      </c>
      <c r="R79" s="164">
        <v>5.0000000000000001E-3</v>
      </c>
      <c r="S79" s="237">
        <v>5.0000000000000001E-3</v>
      </c>
      <c r="T79" s="237">
        <v>5.0000000000000001E-3</v>
      </c>
      <c r="U79" s="237">
        <v>5.0000000000000001E-3</v>
      </c>
      <c r="V79" s="237">
        <v>5.0000000000000001E-3</v>
      </c>
      <c r="W79" s="237">
        <v>5.0000000000000001E-3</v>
      </c>
      <c r="X79" s="203"/>
      <c r="Y79" s="48">
        <f t="shared" si="157"/>
        <v>0</v>
      </c>
      <c r="Z79" s="48">
        <f t="shared" si="158"/>
        <v>5.0000000000000001E-3</v>
      </c>
      <c r="AA79" s="48">
        <f t="shared" si="159"/>
        <v>5.0000000000000001E-3</v>
      </c>
      <c r="AB79" s="48">
        <f t="shared" si="160"/>
        <v>5.0000000000000001E-3</v>
      </c>
      <c r="AC79" s="25">
        <v>0</v>
      </c>
      <c r="AD79" s="25">
        <v>0</v>
      </c>
      <c r="AE79" s="25">
        <v>0</v>
      </c>
      <c r="AF79" s="25">
        <v>0</v>
      </c>
      <c r="AG79" s="25">
        <v>0</v>
      </c>
      <c r="AH79" s="203"/>
      <c r="AI79" s="203"/>
      <c r="AJ79" s="203"/>
      <c r="AK79" s="203"/>
      <c r="AL79" s="203"/>
      <c r="AM79" s="203"/>
      <c r="AN79" s="203"/>
      <c r="AO79" s="203"/>
      <c r="AP79" s="203"/>
      <c r="AQ79" s="203"/>
      <c r="AR79" s="203"/>
      <c r="AS79" s="203"/>
      <c r="AT79" s="203"/>
      <c r="AU79" s="203"/>
      <c r="AV79" s="203"/>
      <c r="AW79" s="203"/>
      <c r="AX79" s="203"/>
      <c r="AY79" s="203"/>
    </row>
    <row r="80" spans="1:51">
      <c r="A80" t="s">
        <v>16</v>
      </c>
      <c r="C80" t="s">
        <v>70</v>
      </c>
      <c r="D80" t="s">
        <v>39</v>
      </c>
      <c r="E80" s="24">
        <f t="shared" ref="E80:M80" si="164">1-SUM(E77:E79)</f>
        <v>0.7611848341232228</v>
      </c>
      <c r="F80" s="24">
        <f t="shared" si="164"/>
        <v>0.75618483412322268</v>
      </c>
      <c r="G80" s="24">
        <f t="shared" si="164"/>
        <v>0.75618483412322268</v>
      </c>
      <c r="H80" s="24">
        <f t="shared" si="164"/>
        <v>0.75618483412322268</v>
      </c>
      <c r="I80" s="24">
        <f t="shared" si="164"/>
        <v>0.7839818127962086</v>
      </c>
      <c r="J80" s="24">
        <f t="shared" si="164"/>
        <v>0.79453272215639814</v>
      </c>
      <c r="K80" s="24">
        <f t="shared" ref="K80:L80" si="165">1-SUM(K77:K79)</f>
        <v>0.79453272215639814</v>
      </c>
      <c r="L80" s="24">
        <f t="shared" si="165"/>
        <v>0.79453272215639814</v>
      </c>
      <c r="M80" s="24">
        <f t="shared" si="164"/>
        <v>0.82312436765884178</v>
      </c>
      <c r="N80" s="204"/>
      <c r="O80" s="24">
        <f t="shared" ref="O80:Q80" si="166">1-SUM(O77:O79)</f>
        <v>0.7611848341232228</v>
      </c>
      <c r="P80" s="24">
        <f t="shared" si="166"/>
        <v>0.75618483412322268</v>
      </c>
      <c r="Q80" s="24">
        <f t="shared" si="166"/>
        <v>0.75618483412322268</v>
      </c>
      <c r="R80" s="24">
        <f t="shared" ref="R80" si="167">1-SUM(R77:R79)</f>
        <v>0.75618483412322268</v>
      </c>
      <c r="S80" s="24">
        <f t="shared" ref="S80:T80" si="168">1-SUM(S77:S79)</f>
        <v>0.75618483412322268</v>
      </c>
      <c r="T80" s="24">
        <f t="shared" si="168"/>
        <v>0.75618483412322268</v>
      </c>
      <c r="U80" s="24">
        <f t="shared" ref="U80:W80" si="169">1-SUM(U77:U79)</f>
        <v>0.75618483412322268</v>
      </c>
      <c r="V80" s="24">
        <f t="shared" ref="V80" si="170">1-SUM(V77:V79)</f>
        <v>0.75618483412322268</v>
      </c>
      <c r="W80" s="24">
        <f t="shared" si="169"/>
        <v>0.75618483412322268</v>
      </c>
      <c r="X80" s="203"/>
      <c r="Y80" s="48">
        <f t="shared" si="157"/>
        <v>0.7611848341232228</v>
      </c>
      <c r="Z80" s="48">
        <f t="shared" si="158"/>
        <v>0.75618483412322268</v>
      </c>
      <c r="AA80" s="48">
        <f t="shared" si="159"/>
        <v>0.75618483412322268</v>
      </c>
      <c r="AB80" s="48">
        <f t="shared" si="160"/>
        <v>0.75618483412322268</v>
      </c>
      <c r="AC80" s="24">
        <f>1-SUM(AC77:AC79)</f>
        <v>0.7839818127962086</v>
      </c>
      <c r="AD80" s="24">
        <f>1-SUM(AD77:AD79)</f>
        <v>0.79453272215639814</v>
      </c>
      <c r="AE80" s="24">
        <f>1-SUM(AE77:AE79)</f>
        <v>0.80455608604857831</v>
      </c>
      <c r="AF80" s="24">
        <f>1-SUM(AF77:AF79)</f>
        <v>0.80455608604857831</v>
      </c>
      <c r="AG80" s="24">
        <f>1-SUM(AG77:AG79)</f>
        <v>0.82312436765884178</v>
      </c>
      <c r="AH80" s="203"/>
      <c r="AI80" s="203"/>
      <c r="AJ80" s="203"/>
      <c r="AK80" s="203"/>
      <c r="AL80" s="203"/>
      <c r="AM80" s="203"/>
      <c r="AN80" s="203"/>
      <c r="AO80" s="203"/>
      <c r="AP80" s="203"/>
      <c r="AQ80" s="203"/>
      <c r="AR80" s="203"/>
      <c r="AS80" s="203"/>
      <c r="AT80" s="203"/>
      <c r="AU80" s="203"/>
      <c r="AV80" s="203"/>
      <c r="AW80" s="203"/>
      <c r="AX80" s="203"/>
      <c r="AY80" s="203"/>
    </row>
    <row r="81" spans="1:51">
      <c r="A81" t="s">
        <v>16</v>
      </c>
      <c r="C81" s="29" t="str">
        <f>C55</f>
        <v>Middle Income</v>
      </c>
      <c r="D81" t="s">
        <v>179</v>
      </c>
      <c r="E81" s="3">
        <f t="shared" ref="E81:J82" si="171">IF($D$4,Y81,O81)</f>
        <v>9.2340547486185294</v>
      </c>
      <c r="F81" s="3">
        <f t="shared" si="171"/>
        <v>9.7394791998722337</v>
      </c>
      <c r="G81" s="3">
        <f t="shared" si="171"/>
        <v>10.234967504004217</v>
      </c>
      <c r="H81" s="3">
        <f t="shared" si="171"/>
        <v>9.7380100448709115</v>
      </c>
      <c r="I81" s="3">
        <f t="shared" si="171"/>
        <v>10.670368699618235</v>
      </c>
      <c r="J81" s="3">
        <f t="shared" si="171"/>
        <v>11.623733937660523</v>
      </c>
      <c r="K81" s="3">
        <f>IF($D$4,AD81,T81)</f>
        <v>11.623733937660523</v>
      </c>
      <c r="L81" s="3">
        <f>IF($D$4,AD81,T81)</f>
        <v>11.623733937660523</v>
      </c>
      <c r="M81" s="3">
        <f>IF($D$4,AG81,W81)</f>
        <v>15.387351454443802</v>
      </c>
      <c r="N81" s="31"/>
      <c r="O81" s="3">
        <f t="shared" ref="O81:W81" si="172">O$26*O$14</f>
        <v>9.2340547486185294</v>
      </c>
      <c r="P81" s="3">
        <f t="shared" si="172"/>
        <v>9.7394791998722337</v>
      </c>
      <c r="Q81" s="3">
        <f t="shared" si="172"/>
        <v>10.234967504004217</v>
      </c>
      <c r="R81" s="3">
        <f t="shared" si="172"/>
        <v>9.7380100448709115</v>
      </c>
      <c r="S81" s="238">
        <f t="shared" si="172"/>
        <v>11.231967052229724</v>
      </c>
      <c r="T81" s="238">
        <f t="shared" si="172"/>
        <v>12.879483587435486</v>
      </c>
      <c r="U81" s="238">
        <f t="shared" si="172"/>
        <v>14.819718821037307</v>
      </c>
      <c r="V81" s="238">
        <f t="shared" si="172"/>
        <v>16.49017036923037</v>
      </c>
      <c r="W81" s="238">
        <f t="shared" si="172"/>
        <v>17.947049370979801</v>
      </c>
      <c r="Y81" s="48">
        <f t="shared" si="157"/>
        <v>9.2340547486185294</v>
      </c>
      <c r="Z81" s="48">
        <f t="shared" si="158"/>
        <v>9.7394791998722337</v>
      </c>
      <c r="AA81" s="48">
        <f t="shared" si="159"/>
        <v>10.234967504004217</v>
      </c>
      <c r="AB81" s="48">
        <f t="shared" si="160"/>
        <v>9.7380100448709115</v>
      </c>
      <c r="AC81" s="3">
        <f>AC$26*AC$14</f>
        <v>10.670368699618235</v>
      </c>
      <c r="AD81" s="3">
        <f>AD$26*AD$14</f>
        <v>11.623733937660523</v>
      </c>
      <c r="AE81" s="3">
        <f>AE$26*AE$14</f>
        <v>13.374796235986169</v>
      </c>
      <c r="AF81" s="3">
        <f>AF$26*AF$14</f>
        <v>14.882378758230406</v>
      </c>
      <c r="AG81" s="3">
        <f>AG$26*AG$14</f>
        <v>15.387351454443802</v>
      </c>
    </row>
    <row r="82" spans="1:51">
      <c r="A82" t="s">
        <v>16</v>
      </c>
      <c r="C82" t="str">
        <f>C77</f>
        <v>Priv.veh.</v>
      </c>
      <c r="D82" t="s">
        <v>39</v>
      </c>
      <c r="E82" s="48">
        <f t="shared" si="171"/>
        <v>0.46899534845462248</v>
      </c>
      <c r="F82" s="48">
        <f t="shared" si="171"/>
        <v>0.46899534845462248</v>
      </c>
      <c r="G82" s="48">
        <f t="shared" si="171"/>
        <v>0.46899534845462248</v>
      </c>
      <c r="H82" s="48">
        <f t="shared" si="171"/>
        <v>0.46899534845462248</v>
      </c>
      <c r="I82" s="48">
        <f t="shared" si="171"/>
        <v>0.42326830198029675</v>
      </c>
      <c r="J82" s="48">
        <f t="shared" si="171"/>
        <v>0.40210488688128182</v>
      </c>
      <c r="K82" s="48">
        <f>IF($D$4,AD82,T82)</f>
        <v>0.40210488688128182</v>
      </c>
      <c r="L82" s="48">
        <f>IF($D$4,AD82,T82)</f>
        <v>0.40210488688128182</v>
      </c>
      <c r="M82" s="48">
        <f>IF($D$4,AG82,W82)</f>
        <v>0.3819996425372178</v>
      </c>
      <c r="N82" s="204"/>
      <c r="O82" s="48">
        <f t="shared" ref="O82:W82" si="173">O$42*1000*O$36*O$31/O$67/O$64</f>
        <v>0.46899534845462248</v>
      </c>
      <c r="P82" s="48">
        <f t="shared" si="173"/>
        <v>0.46899534845462248</v>
      </c>
      <c r="Q82" s="3">
        <f t="shared" si="173"/>
        <v>0.46899534845462248</v>
      </c>
      <c r="R82" s="3">
        <f t="shared" si="173"/>
        <v>0.46899534845462248</v>
      </c>
      <c r="S82" s="236">
        <f t="shared" si="173"/>
        <v>0.46899534845462248</v>
      </c>
      <c r="T82" s="236">
        <f t="shared" si="173"/>
        <v>0.46899534845462248</v>
      </c>
      <c r="U82" s="236">
        <f t="shared" si="173"/>
        <v>0.46899534845462248</v>
      </c>
      <c r="V82" s="236">
        <f t="shared" si="173"/>
        <v>0.46899534845462248</v>
      </c>
      <c r="W82" s="236">
        <f t="shared" si="173"/>
        <v>0.46899534845462248</v>
      </c>
      <c r="X82" s="203"/>
      <c r="Y82" s="48">
        <f t="shared" si="157"/>
        <v>0.46899534845462248</v>
      </c>
      <c r="Z82" s="48">
        <f t="shared" si="158"/>
        <v>0.46899534845462248</v>
      </c>
      <c r="AA82" s="48">
        <f t="shared" si="159"/>
        <v>0.46899534845462248</v>
      </c>
      <c r="AB82" s="48">
        <f t="shared" si="160"/>
        <v>0.46899534845462248</v>
      </c>
      <c r="AC82" s="48">
        <f>AC$42*1000*AC$36*AC$31/AC$67/AC$64</f>
        <v>0.42326830198029675</v>
      </c>
      <c r="AD82" s="48">
        <f>AD$42*1000*AD$36*AD$31/AD$67/AD$64</f>
        <v>0.40210488688128182</v>
      </c>
      <c r="AE82" s="48">
        <f>AE$42*1000*AE$36*AE$31/AE$67/AE$64</f>
        <v>0.40210488688128182</v>
      </c>
      <c r="AF82" s="48">
        <f>AF$42*1000*AF$36*AF$31/AF$67/AF$64</f>
        <v>0.40210488688128182</v>
      </c>
      <c r="AG82" s="48">
        <f>AG$42*1000*AG$36*AG$31/AG$67/AG$64</f>
        <v>0.3819996425372178</v>
      </c>
      <c r="AH82" s="203"/>
      <c r="AI82" s="203"/>
      <c r="AJ82" s="203"/>
      <c r="AK82" s="203"/>
      <c r="AL82" s="203"/>
      <c r="AM82" s="203"/>
      <c r="AN82" s="203"/>
      <c r="AO82" s="203"/>
      <c r="AP82" s="203"/>
      <c r="AQ82" s="203"/>
      <c r="AR82" s="203"/>
      <c r="AS82" s="203"/>
      <c r="AT82" s="203"/>
      <c r="AU82" s="203"/>
      <c r="AV82" s="203"/>
      <c r="AW82" s="203"/>
      <c r="AX82" s="203"/>
      <c r="AY82" s="203"/>
    </row>
    <row r="83" spans="1:51">
      <c r="A83" t="s">
        <v>16</v>
      </c>
      <c r="C83" t="str">
        <f>C78</f>
        <v>BRT</v>
      </c>
      <c r="D83" t="s">
        <v>39</v>
      </c>
      <c r="E83" s="239">
        <v>0.01</v>
      </c>
      <c r="F83" s="48">
        <f t="shared" ref="F83:J84" si="174">IF($D$4,Z83,P83)</f>
        <v>0.01</v>
      </c>
      <c r="G83" s="48">
        <f t="shared" si="174"/>
        <v>0.01</v>
      </c>
      <c r="H83" s="48">
        <f t="shared" si="174"/>
        <v>0.01</v>
      </c>
      <c r="I83" s="48">
        <f t="shared" si="174"/>
        <v>0.01</v>
      </c>
      <c r="J83" s="48">
        <f t="shared" si="174"/>
        <v>0.01</v>
      </c>
      <c r="K83" s="48">
        <f>IF($D$4,AD83,T83)</f>
        <v>0.01</v>
      </c>
      <c r="L83" s="48">
        <f>IF($D$4,AD83,T83)</f>
        <v>0.01</v>
      </c>
      <c r="M83" s="48">
        <f>IF($D$4,AG83,W83)</f>
        <v>0.01</v>
      </c>
      <c r="N83" s="204"/>
      <c r="O83" s="205">
        <f>E83</f>
        <v>0.01</v>
      </c>
      <c r="P83" s="205">
        <f t="shared" ref="P83:T84" si="175">O83</f>
        <v>0.01</v>
      </c>
      <c r="Q83" s="164">
        <f>P83</f>
        <v>0.01</v>
      </c>
      <c r="R83" s="164">
        <f>Q83</f>
        <v>0.01</v>
      </c>
      <c r="S83" s="92">
        <f t="shared" ref="S83:W83" si="176">R83</f>
        <v>0.01</v>
      </c>
      <c r="T83" s="92">
        <f t="shared" si="176"/>
        <v>0.01</v>
      </c>
      <c r="U83" s="92">
        <f t="shared" si="176"/>
        <v>0.01</v>
      </c>
      <c r="V83" s="92">
        <f t="shared" si="176"/>
        <v>0.01</v>
      </c>
      <c r="W83" s="92">
        <f t="shared" si="176"/>
        <v>0.01</v>
      </c>
      <c r="X83" s="203"/>
      <c r="Y83" s="48">
        <f t="shared" si="157"/>
        <v>0.01</v>
      </c>
      <c r="Z83" s="48">
        <f t="shared" si="158"/>
        <v>0.01</v>
      </c>
      <c r="AA83" s="48">
        <f t="shared" si="159"/>
        <v>0.01</v>
      </c>
      <c r="AB83" s="48">
        <f t="shared" si="160"/>
        <v>0.01</v>
      </c>
      <c r="AC83" s="54">
        <f>S83</f>
        <v>0.01</v>
      </c>
      <c r="AD83" s="54">
        <f t="shared" ref="AD83" si="177">T83</f>
        <v>0.01</v>
      </c>
      <c r="AE83" s="54">
        <f t="shared" ref="AE83" si="178">U83</f>
        <v>0.01</v>
      </c>
      <c r="AF83" s="54">
        <f t="shared" ref="AF83" si="179">V83</f>
        <v>0.01</v>
      </c>
      <c r="AG83" s="54">
        <f t="shared" ref="AG83" si="180">W83</f>
        <v>0.01</v>
      </c>
      <c r="AH83" s="203"/>
      <c r="AI83" s="203"/>
      <c r="AJ83" s="203"/>
      <c r="AK83" s="203"/>
      <c r="AL83" s="203"/>
      <c r="AM83" s="203"/>
      <c r="AN83" s="203"/>
      <c r="AO83" s="203"/>
      <c r="AP83" s="203"/>
      <c r="AQ83" s="203"/>
      <c r="AR83" s="203"/>
      <c r="AS83" s="203"/>
      <c r="AT83" s="203"/>
      <c r="AU83" s="203"/>
      <c r="AV83" s="203"/>
      <c r="AW83" s="203"/>
      <c r="AX83" s="203"/>
      <c r="AY83" s="203"/>
    </row>
    <row r="84" spans="1:51">
      <c r="A84" t="s">
        <v>16</v>
      </c>
      <c r="C84" t="str">
        <f>C79</f>
        <v>Gautrain</v>
      </c>
      <c r="D84" t="s">
        <v>39</v>
      </c>
      <c r="E84" s="239">
        <v>2E-3</v>
      </c>
      <c r="F84" s="118">
        <f t="shared" si="174"/>
        <v>2E-3</v>
      </c>
      <c r="G84" s="118">
        <f t="shared" si="174"/>
        <v>2E-3</v>
      </c>
      <c r="H84" s="118">
        <f t="shared" si="174"/>
        <v>2E-3</v>
      </c>
      <c r="I84" s="118">
        <f t="shared" si="174"/>
        <v>0.01</v>
      </c>
      <c r="J84" s="118">
        <f t="shared" si="174"/>
        <v>0.02</v>
      </c>
      <c r="K84" s="118">
        <f>IF($D$4,AD84,T84)</f>
        <v>0.02</v>
      </c>
      <c r="L84" s="118">
        <f>IF($D$4,AD84,T84)</f>
        <v>0.02</v>
      </c>
      <c r="M84" s="118">
        <f>IF($D$4,AG84,W84)</f>
        <v>0.03</v>
      </c>
      <c r="N84" s="204"/>
      <c r="O84" s="240">
        <f>E84</f>
        <v>2E-3</v>
      </c>
      <c r="P84" s="240">
        <f t="shared" si="175"/>
        <v>2E-3</v>
      </c>
      <c r="Q84" s="3">
        <f t="shared" si="175"/>
        <v>2E-3</v>
      </c>
      <c r="R84" s="3">
        <f t="shared" si="175"/>
        <v>2E-3</v>
      </c>
      <c r="S84" s="241">
        <f t="shared" si="175"/>
        <v>2E-3</v>
      </c>
      <c r="T84" s="241">
        <f t="shared" si="175"/>
        <v>2E-3</v>
      </c>
      <c r="U84" s="241">
        <f>S84</f>
        <v>2E-3</v>
      </c>
      <c r="V84" s="241">
        <f>S84</f>
        <v>2E-3</v>
      </c>
      <c r="W84" s="241">
        <f>T84</f>
        <v>2E-3</v>
      </c>
      <c r="X84" s="203"/>
      <c r="Y84" s="48">
        <f t="shared" si="157"/>
        <v>2E-3</v>
      </c>
      <c r="Z84" s="48">
        <f t="shared" si="158"/>
        <v>2E-3</v>
      </c>
      <c r="AA84" s="48">
        <f t="shared" si="159"/>
        <v>2E-3</v>
      </c>
      <c r="AB84" s="48">
        <f t="shared" si="160"/>
        <v>2E-3</v>
      </c>
      <c r="AC84" s="56">
        <v>0.01</v>
      </c>
      <c r="AD84" s="56">
        <v>0.02</v>
      </c>
      <c r="AE84" s="56">
        <v>0.03</v>
      </c>
      <c r="AF84" s="56">
        <v>0.03</v>
      </c>
      <c r="AG84" s="56">
        <v>0.03</v>
      </c>
      <c r="AH84" s="203"/>
      <c r="AI84" s="203"/>
      <c r="AJ84" s="203"/>
      <c r="AK84" s="203"/>
      <c r="AL84" s="203"/>
      <c r="AM84" s="203"/>
      <c r="AN84" s="203"/>
      <c r="AO84" s="203"/>
      <c r="AP84" s="203"/>
      <c r="AQ84" s="203"/>
      <c r="AR84" s="203"/>
      <c r="AS84" s="203"/>
      <c r="AT84" s="203"/>
      <c r="AU84" s="203"/>
      <c r="AV84" s="203"/>
      <c r="AW84" s="203"/>
      <c r="AX84" s="203"/>
      <c r="AY84" s="203"/>
    </row>
    <row r="85" spans="1:51">
      <c r="A85" t="s">
        <v>16</v>
      </c>
      <c r="C85" t="str">
        <f>C80</f>
        <v>Bus, minibus, metro rail</v>
      </c>
      <c r="D85" t="s">
        <v>39</v>
      </c>
      <c r="E85" s="24">
        <f t="shared" ref="E85:M85" si="181">1-SUM(E82:E84)</f>
        <v>0.51900465154537745</v>
      </c>
      <c r="F85" s="24">
        <f t="shared" si="181"/>
        <v>0.51900465154537745</v>
      </c>
      <c r="G85" s="24">
        <f t="shared" si="181"/>
        <v>0.51900465154537745</v>
      </c>
      <c r="H85" s="24">
        <f t="shared" si="181"/>
        <v>0.51900465154537745</v>
      </c>
      <c r="I85" s="24">
        <f t="shared" si="181"/>
        <v>0.55673169801970324</v>
      </c>
      <c r="J85" s="24">
        <f t="shared" si="181"/>
        <v>0.56789511311871821</v>
      </c>
      <c r="K85" s="24">
        <f t="shared" ref="K85:L85" si="182">1-SUM(K82:K84)</f>
        <v>0.56789511311871821</v>
      </c>
      <c r="L85" s="24">
        <f t="shared" si="182"/>
        <v>0.56789511311871821</v>
      </c>
      <c r="M85" s="24">
        <f t="shared" si="181"/>
        <v>0.57800035746278222</v>
      </c>
      <c r="N85" s="204"/>
      <c r="O85" s="24">
        <f t="shared" ref="O85:Q85" si="183">1-SUM(O82:O84)</f>
        <v>0.51900465154537745</v>
      </c>
      <c r="P85" s="24">
        <f t="shared" si="183"/>
        <v>0.51900465154537745</v>
      </c>
      <c r="Q85" s="24">
        <f t="shared" si="183"/>
        <v>0.51900465154537745</v>
      </c>
      <c r="R85" s="24">
        <f t="shared" ref="R85" si="184">1-SUM(R82:R84)</f>
        <v>0.51900465154537745</v>
      </c>
      <c r="S85" s="24">
        <f t="shared" ref="S85:T85" si="185">1-SUM(S82:S84)</f>
        <v>0.51900465154537745</v>
      </c>
      <c r="T85" s="24">
        <f t="shared" si="185"/>
        <v>0.51900465154537745</v>
      </c>
      <c r="U85" s="24">
        <f t="shared" ref="U85:W85" si="186">1-SUM(U82:U84)</f>
        <v>0.51900465154537745</v>
      </c>
      <c r="V85" s="24">
        <f t="shared" ref="V85" si="187">1-SUM(V82:V84)</f>
        <v>0.51900465154537745</v>
      </c>
      <c r="W85" s="24">
        <f t="shared" si="186"/>
        <v>0.51900465154537745</v>
      </c>
      <c r="X85" s="203"/>
      <c r="Y85" s="48">
        <f t="shared" si="157"/>
        <v>0.51900465154537745</v>
      </c>
      <c r="Z85" s="48">
        <f t="shared" si="158"/>
        <v>0.51900465154537745</v>
      </c>
      <c r="AA85" s="48">
        <f t="shared" si="159"/>
        <v>0.51900465154537745</v>
      </c>
      <c r="AB85" s="48">
        <f t="shared" si="160"/>
        <v>0.51900465154537745</v>
      </c>
      <c r="AC85" s="24">
        <f>1-SUM(AC82:AC84)</f>
        <v>0.55673169801970324</v>
      </c>
      <c r="AD85" s="24">
        <f>1-SUM(AD82:AD84)</f>
        <v>0.56789511311871821</v>
      </c>
      <c r="AE85" s="24">
        <f>1-SUM(AE82:AE84)</f>
        <v>0.5578951131187182</v>
      </c>
      <c r="AF85" s="24">
        <f>1-SUM(AF82:AF84)</f>
        <v>0.5578951131187182</v>
      </c>
      <c r="AG85" s="24">
        <f>1-SUM(AG82:AG84)</f>
        <v>0.57800035746278222</v>
      </c>
      <c r="AH85" s="203"/>
      <c r="AI85" s="203"/>
      <c r="AJ85" s="203"/>
      <c r="AK85" s="203"/>
      <c r="AL85" s="203"/>
      <c r="AM85" s="203"/>
      <c r="AN85" s="203"/>
      <c r="AO85" s="203"/>
      <c r="AP85" s="203"/>
      <c r="AQ85" s="203"/>
      <c r="AR85" s="203"/>
      <c r="AS85" s="203"/>
      <c r="AT85" s="203"/>
      <c r="AU85" s="203"/>
      <c r="AV85" s="203"/>
      <c r="AW85" s="203"/>
      <c r="AX85" s="203"/>
      <c r="AY85" s="203"/>
    </row>
    <row r="86" spans="1:51">
      <c r="A86" t="s">
        <v>16</v>
      </c>
      <c r="C86" s="29" t="str">
        <f>C56</f>
        <v>High Income</v>
      </c>
      <c r="D86" t="s">
        <v>179</v>
      </c>
      <c r="E86" s="3">
        <f t="shared" ref="E86:J87" si="188">IF($D$4,Y86,O86)</f>
        <v>10.249512727937956</v>
      </c>
      <c r="F86" s="3">
        <f t="shared" si="188"/>
        <v>10.785581249292237</v>
      </c>
      <c r="G86" s="3">
        <f t="shared" si="188"/>
        <v>9.108764792700967</v>
      </c>
      <c r="H86" s="3">
        <f t="shared" si="188"/>
        <v>10.418098065829803</v>
      </c>
      <c r="I86" s="3">
        <f t="shared" si="188"/>
        <v>12.063164470676265</v>
      </c>
      <c r="J86" s="3">
        <f t="shared" si="188"/>
        <v>14.667687056589417</v>
      </c>
      <c r="K86" s="3">
        <f>IF($D$4,AD86,T86)</f>
        <v>14.667687056589417</v>
      </c>
      <c r="L86" s="3">
        <f>IF($D$4,AD86,T86)</f>
        <v>14.667687056589417</v>
      </c>
      <c r="M86" s="3">
        <f>IF($D$4,AG86,W86)</f>
        <v>20.800502219903727</v>
      </c>
      <c r="N86" s="31"/>
      <c r="O86" s="3">
        <f t="shared" ref="O86:W86" si="189">O$27*O$15</f>
        <v>10.249512727937956</v>
      </c>
      <c r="P86" s="3">
        <f t="shared" si="189"/>
        <v>10.785581249292237</v>
      </c>
      <c r="Q86" s="3">
        <f t="shared" si="189"/>
        <v>9.108764792700967</v>
      </c>
      <c r="R86" s="3">
        <f t="shared" si="189"/>
        <v>10.418098065829803</v>
      </c>
      <c r="S86" s="238">
        <f t="shared" si="189"/>
        <v>12.698067863869753</v>
      </c>
      <c r="T86" s="238">
        <f t="shared" si="189"/>
        <v>16.252284827245894</v>
      </c>
      <c r="U86" s="238">
        <f t="shared" si="189"/>
        <v>19.240417093428157</v>
      </c>
      <c r="V86" s="238">
        <f t="shared" si="189"/>
        <v>21.904668491054593</v>
      </c>
      <c r="W86" s="238">
        <f t="shared" si="189"/>
        <v>24.260681988515799</v>
      </c>
      <c r="Y86" s="48">
        <f t="shared" si="157"/>
        <v>10.249512727937956</v>
      </c>
      <c r="Z86" s="48">
        <f t="shared" si="158"/>
        <v>10.785581249292237</v>
      </c>
      <c r="AA86" s="48">
        <f t="shared" si="159"/>
        <v>9.108764792700967</v>
      </c>
      <c r="AB86" s="48">
        <f t="shared" si="160"/>
        <v>10.418098065829803</v>
      </c>
      <c r="AC86" s="3">
        <f>AC$27*AC$15</f>
        <v>12.063164470676265</v>
      </c>
      <c r="AD86" s="3">
        <f>AD$27*AD$15</f>
        <v>14.667687056589417</v>
      </c>
      <c r="AE86" s="3">
        <f>AE$27*AE$15</f>
        <v>17.364476426818907</v>
      </c>
      <c r="AF86" s="3">
        <f>AF$27*AF$15</f>
        <v>19.768963313176766</v>
      </c>
      <c r="AG86" s="3">
        <f>AG$27*AG$15</f>
        <v>20.800502219903727</v>
      </c>
    </row>
    <row r="87" spans="1:51">
      <c r="A87" t="s">
        <v>16</v>
      </c>
      <c r="C87" t="str">
        <f>C82</f>
        <v>Priv.veh.</v>
      </c>
      <c r="D87" t="s">
        <v>39</v>
      </c>
      <c r="E87" s="48">
        <f t="shared" si="188"/>
        <v>0.67590526860622457</v>
      </c>
      <c r="F87" s="48">
        <f t="shared" si="188"/>
        <v>0.67590526860622457</v>
      </c>
      <c r="G87" s="48">
        <f t="shared" si="188"/>
        <v>0.66964336043507822</v>
      </c>
      <c r="H87" s="48">
        <f t="shared" si="188"/>
        <v>0.67601785001266457</v>
      </c>
      <c r="I87" s="48">
        <f t="shared" si="188"/>
        <v>0.62620165251682702</v>
      </c>
      <c r="J87" s="48">
        <f t="shared" si="188"/>
        <v>0.64992353168577921</v>
      </c>
      <c r="K87" s="48">
        <f>IF($D$4,AD87,T87)</f>
        <v>0.64992353168577921</v>
      </c>
      <c r="L87" s="48">
        <f>IF($D$4,AD87,T87)</f>
        <v>0.64992353168577921</v>
      </c>
      <c r="M87" s="48">
        <f>IF($D$4,AG87,W87)</f>
        <v>0.71314206982292838</v>
      </c>
      <c r="N87" s="204"/>
      <c r="O87" s="48">
        <f t="shared" ref="O87:T87" si="190">O$43*1000*O$37*O$32/O$67/O$64</f>
        <v>0.67590526860622457</v>
      </c>
      <c r="P87" s="48">
        <f t="shared" si="190"/>
        <v>0.67590526860622457</v>
      </c>
      <c r="Q87" s="3">
        <f t="shared" si="190"/>
        <v>0.66964336043507822</v>
      </c>
      <c r="R87" s="3">
        <f t="shared" si="190"/>
        <v>0.67601785001266457</v>
      </c>
      <c r="S87" s="236">
        <f t="shared" si="190"/>
        <v>0.69385224655604116</v>
      </c>
      <c r="T87" s="236">
        <f t="shared" si="190"/>
        <v>0.75803881812016827</v>
      </c>
      <c r="U87" s="236">
        <f>U$43*1000*U$37*U$32/U$67/U$64</f>
        <v>0.87324556335065862</v>
      </c>
      <c r="V87" s="236">
        <f>V$43*1000*V$37*V$32/V$67/V$64</f>
        <v>0.87324556335065862</v>
      </c>
      <c r="W87" s="236">
        <f>W$43*1000*W$37*W$32/W$67/W$64</f>
        <v>0.87555137830179786</v>
      </c>
      <c r="X87" s="203"/>
      <c r="Y87" s="48">
        <f t="shared" si="157"/>
        <v>0.67590526860622457</v>
      </c>
      <c r="Z87" s="48">
        <f t="shared" si="158"/>
        <v>0.67590526860622457</v>
      </c>
      <c r="AA87" s="48">
        <f t="shared" si="159"/>
        <v>0.66964336043507822</v>
      </c>
      <c r="AB87" s="48">
        <f t="shared" si="160"/>
        <v>0.67601785001266457</v>
      </c>
      <c r="AC87" s="48">
        <f>AC$43*1000*AC$37*AC$32/AC$67/AC$64</f>
        <v>0.62620165251682702</v>
      </c>
      <c r="AD87" s="48">
        <f>AD$43*1000*AD$37*AD$32/AD$67/AD$64</f>
        <v>0.64992353168577921</v>
      </c>
      <c r="AE87" s="48">
        <f>AE$43*1000*AE$37*AE$32/AE$67/AE$64</f>
        <v>0.74869891487777096</v>
      </c>
      <c r="AF87" s="48">
        <f>AF$43*1000*AF$37*AF$32/AF$67/AF$64</f>
        <v>0.74869891487777096</v>
      </c>
      <c r="AG87" s="48">
        <f>AG$43*1000*AG$37*AG$32/AG$67/AG$64</f>
        <v>0.71314206982292838</v>
      </c>
      <c r="AH87" s="203"/>
      <c r="AI87" s="203"/>
      <c r="AJ87" s="203"/>
      <c r="AK87" s="203"/>
      <c r="AL87" s="203"/>
      <c r="AM87" s="203"/>
      <c r="AN87" s="203"/>
      <c r="AO87" s="203"/>
      <c r="AP87" s="203"/>
      <c r="AQ87" s="203"/>
      <c r="AR87" s="203"/>
      <c r="AS87" s="203"/>
      <c r="AT87" s="203"/>
      <c r="AU87" s="203"/>
      <c r="AV87" s="203"/>
      <c r="AW87" s="203"/>
      <c r="AX87" s="203"/>
      <c r="AY87" s="203"/>
    </row>
    <row r="88" spans="1:51">
      <c r="A88" t="s">
        <v>16</v>
      </c>
      <c r="C88" t="str">
        <f>C83</f>
        <v>BRT</v>
      </c>
      <c r="D88" t="s">
        <v>39</v>
      </c>
      <c r="E88" s="239">
        <v>0.01</v>
      </c>
      <c r="F88" s="48">
        <f t="shared" ref="F88:J89" si="191">IF($D$4,Z88,P88)</f>
        <v>0.01</v>
      </c>
      <c r="G88" s="48">
        <f t="shared" si="191"/>
        <v>0.01</v>
      </c>
      <c r="H88" s="48">
        <f t="shared" si="191"/>
        <v>0.01</v>
      </c>
      <c r="I88" s="48">
        <f t="shared" si="191"/>
        <v>0.01</v>
      </c>
      <c r="J88" s="48">
        <f t="shared" si="191"/>
        <v>0.01</v>
      </c>
      <c r="K88" s="48">
        <f>IF($D$4,AD88,T88)</f>
        <v>0.01</v>
      </c>
      <c r="L88" s="48">
        <f>IF($D$4,AD88,T88)</f>
        <v>0.01</v>
      </c>
      <c r="M88" s="48">
        <f>IF($D$4,AG88,W88)</f>
        <v>0.01</v>
      </c>
      <c r="N88" s="204"/>
      <c r="O88" s="205">
        <f>E88</f>
        <v>0.01</v>
      </c>
      <c r="P88" s="205">
        <v>0.01</v>
      </c>
      <c r="Q88" s="24">
        <v>0.01</v>
      </c>
      <c r="R88" s="164">
        <f>Q88</f>
        <v>0.01</v>
      </c>
      <c r="S88" s="92">
        <f t="shared" ref="S88:W88" si="192">R88</f>
        <v>0.01</v>
      </c>
      <c r="T88" s="92">
        <f t="shared" si="192"/>
        <v>0.01</v>
      </c>
      <c r="U88" s="92">
        <f t="shared" si="192"/>
        <v>0.01</v>
      </c>
      <c r="V88" s="92">
        <f t="shared" si="192"/>
        <v>0.01</v>
      </c>
      <c r="W88" s="92">
        <f t="shared" si="192"/>
        <v>0.01</v>
      </c>
      <c r="X88" s="203"/>
      <c r="Y88" s="117">
        <f t="shared" si="157"/>
        <v>0.01</v>
      </c>
      <c r="Z88" s="117">
        <f t="shared" si="158"/>
        <v>0.01</v>
      </c>
      <c r="AA88" s="117">
        <f t="shared" si="159"/>
        <v>0.01</v>
      </c>
      <c r="AB88" s="164">
        <f>AA88</f>
        <v>0.01</v>
      </c>
      <c r="AC88" s="92">
        <f t="shared" ref="AC88:AG88" si="193">AB88</f>
        <v>0.01</v>
      </c>
      <c r="AD88" s="92">
        <f t="shared" si="193"/>
        <v>0.01</v>
      </c>
      <c r="AE88" s="92">
        <f t="shared" si="193"/>
        <v>0.01</v>
      </c>
      <c r="AF88" s="92">
        <f t="shared" si="193"/>
        <v>0.01</v>
      </c>
      <c r="AG88" s="92">
        <f t="shared" si="193"/>
        <v>0.01</v>
      </c>
      <c r="AH88" s="203"/>
      <c r="AI88" s="203"/>
      <c r="AJ88" s="203"/>
      <c r="AK88" s="203"/>
      <c r="AL88" s="203"/>
      <c r="AM88" s="203"/>
      <c r="AN88" s="203"/>
      <c r="AO88" s="203"/>
      <c r="AP88" s="203"/>
      <c r="AQ88" s="203"/>
      <c r="AR88" s="203"/>
      <c r="AS88" s="203"/>
      <c r="AT88" s="203"/>
      <c r="AU88" s="203"/>
      <c r="AV88" s="203"/>
      <c r="AW88" s="203"/>
      <c r="AX88" s="203"/>
      <c r="AY88" s="203"/>
    </row>
    <row r="89" spans="1:51">
      <c r="A89" t="s">
        <v>16</v>
      </c>
      <c r="C89" t="str">
        <f>C84</f>
        <v>Gautrain</v>
      </c>
      <c r="D89" t="s">
        <v>39</v>
      </c>
      <c r="E89" s="239">
        <v>5.0000000000000001E-3</v>
      </c>
      <c r="F89" s="48">
        <f t="shared" si="191"/>
        <v>5.0000000000000001E-3</v>
      </c>
      <c r="G89" s="48">
        <f t="shared" si="191"/>
        <v>5.0000000000000001E-3</v>
      </c>
      <c r="H89" s="48">
        <f t="shared" si="191"/>
        <v>5.0000000000000001E-3</v>
      </c>
      <c r="I89" s="48">
        <f t="shared" si="191"/>
        <v>0.01</v>
      </c>
      <c r="J89" s="48">
        <f t="shared" si="191"/>
        <v>0.01</v>
      </c>
      <c r="K89" s="48">
        <f>IF($D$4,AD89,T89)</f>
        <v>0.01</v>
      </c>
      <c r="L89" s="48">
        <f>IF($D$4,AD89,T89)</f>
        <v>0.01</v>
      </c>
      <c r="M89" s="48">
        <f>IF($D$4,AG89,W89)</f>
        <v>0.02</v>
      </c>
      <c r="N89" s="204"/>
      <c r="O89" s="205">
        <f>E89</f>
        <v>5.0000000000000001E-3</v>
      </c>
      <c r="P89" s="205">
        <v>5.0000000000000001E-3</v>
      </c>
      <c r="Q89" s="92">
        <v>5.0000000000000001E-3</v>
      </c>
      <c r="R89" s="92">
        <v>5.0000000000000001E-3</v>
      </c>
      <c r="S89" s="242">
        <v>5.0000000000000001E-3</v>
      </c>
      <c r="T89" s="242">
        <v>5.0000000000000001E-3</v>
      </c>
      <c r="U89" s="242">
        <v>5.0000000000000001E-3</v>
      </c>
      <c r="V89" s="242">
        <v>5.0000000000000001E-3</v>
      </c>
      <c r="W89" s="242">
        <v>5.0000000000000001E-3</v>
      </c>
      <c r="X89" s="203"/>
      <c r="Y89" s="117">
        <f t="shared" si="157"/>
        <v>5.0000000000000001E-3</v>
      </c>
      <c r="Z89" s="117">
        <f t="shared" si="158"/>
        <v>5.0000000000000001E-3</v>
      </c>
      <c r="AA89" s="117">
        <f>Q89</f>
        <v>5.0000000000000001E-3</v>
      </c>
      <c r="AB89" s="117">
        <f t="shared" si="160"/>
        <v>5.0000000000000001E-3</v>
      </c>
      <c r="AC89" s="56">
        <v>0.01</v>
      </c>
      <c r="AD89" s="56">
        <v>0.01</v>
      </c>
      <c r="AE89" s="56">
        <v>1.4999999999999999E-2</v>
      </c>
      <c r="AF89" s="56">
        <v>0.02</v>
      </c>
      <c r="AG89" s="56">
        <v>0.02</v>
      </c>
      <c r="AH89" s="203"/>
      <c r="AI89" s="203"/>
      <c r="AJ89" s="203"/>
      <c r="AK89" s="203"/>
      <c r="AL89" s="203"/>
      <c r="AM89" s="203"/>
      <c r="AN89" s="203"/>
      <c r="AO89" s="203"/>
      <c r="AP89" s="203"/>
      <c r="AQ89" s="203"/>
      <c r="AR89" s="203"/>
      <c r="AS89" s="203"/>
      <c r="AT89" s="203"/>
      <c r="AU89" s="203"/>
      <c r="AV89" s="203"/>
      <c r="AW89" s="203"/>
      <c r="AX89" s="203"/>
      <c r="AY89" s="203"/>
    </row>
    <row r="90" spans="1:51">
      <c r="A90" t="s">
        <v>16</v>
      </c>
      <c r="C90" t="str">
        <f>C85</f>
        <v>Bus, minibus, metro rail</v>
      </c>
      <c r="D90" t="s">
        <v>39</v>
      </c>
      <c r="E90" s="24">
        <f t="shared" ref="E90:M90" si="194">1-SUM(E87:E89)</f>
        <v>0.30909473139377541</v>
      </c>
      <c r="F90" s="24">
        <f t="shared" si="194"/>
        <v>0.30909473139377541</v>
      </c>
      <c r="G90" s="24">
        <f t="shared" si="194"/>
        <v>0.31535663956492177</v>
      </c>
      <c r="H90" s="24">
        <f t="shared" si="194"/>
        <v>0.30898214998733542</v>
      </c>
      <c r="I90" s="24">
        <f t="shared" si="194"/>
        <v>0.35379834748317296</v>
      </c>
      <c r="J90" s="24">
        <f t="shared" si="194"/>
        <v>0.33007646831422077</v>
      </c>
      <c r="K90" s="24">
        <f t="shared" ref="K90:L90" si="195">1-SUM(K87:K89)</f>
        <v>0.33007646831422077</v>
      </c>
      <c r="L90" s="24">
        <f t="shared" si="195"/>
        <v>0.33007646831422077</v>
      </c>
      <c r="M90" s="24">
        <f t="shared" si="194"/>
        <v>0.25685793017707159</v>
      </c>
      <c r="N90" s="204"/>
      <c r="O90" s="24">
        <f t="shared" ref="O90:W90" si="196">1-SUM(O87:O89)</f>
        <v>0.30909473139377541</v>
      </c>
      <c r="P90" s="24">
        <f t="shared" si="196"/>
        <v>0.30909473139377541</v>
      </c>
      <c r="Q90" s="24">
        <f t="shared" si="196"/>
        <v>0.31535663956492177</v>
      </c>
      <c r="R90" s="24">
        <f t="shared" si="196"/>
        <v>0.30898214998733542</v>
      </c>
      <c r="S90" s="24">
        <f t="shared" si="196"/>
        <v>0.29114775344395882</v>
      </c>
      <c r="T90" s="24">
        <f t="shared" si="196"/>
        <v>0.22696118187983172</v>
      </c>
      <c r="U90" s="24">
        <f t="shared" ref="U90:V90" si="197">1-SUM(U87:U89)</f>
        <v>0.11175443664934137</v>
      </c>
      <c r="V90" s="24">
        <f t="shared" si="197"/>
        <v>0.11175443664934137</v>
      </c>
      <c r="W90" s="24">
        <f t="shared" si="196"/>
        <v>0.10944862169820213</v>
      </c>
      <c r="X90" s="203"/>
      <c r="Y90" s="48">
        <f t="shared" si="157"/>
        <v>0.30909473139377541</v>
      </c>
      <c r="Z90" s="48">
        <f t="shared" si="158"/>
        <v>0.30909473139377541</v>
      </c>
      <c r="AA90" s="48">
        <f t="shared" si="159"/>
        <v>0.31535663956492177</v>
      </c>
      <c r="AB90" s="48">
        <f t="shared" si="160"/>
        <v>0.30898214998733542</v>
      </c>
      <c r="AC90" s="24">
        <f>1-SUM(AC87:AC89)</f>
        <v>0.35379834748317296</v>
      </c>
      <c r="AD90" s="24">
        <f>1-SUM(AD87:AD89)</f>
        <v>0.33007646831422077</v>
      </c>
      <c r="AE90" s="24">
        <f>1-SUM(AE87:AE89)</f>
        <v>0.22630108512222902</v>
      </c>
      <c r="AF90" s="24">
        <f>1-SUM(AF87:AF89)</f>
        <v>0.22130108512222901</v>
      </c>
      <c r="AG90" s="24">
        <f>1-SUM(AG87:AG89)</f>
        <v>0.25685793017707159</v>
      </c>
      <c r="AH90" s="203"/>
      <c r="AI90" s="203"/>
      <c r="AJ90" s="203"/>
      <c r="AK90" s="203"/>
      <c r="AL90" s="203"/>
      <c r="AM90" s="203"/>
      <c r="AN90" s="203"/>
      <c r="AO90" s="203"/>
      <c r="AP90" s="203"/>
      <c r="AQ90" s="203"/>
      <c r="AR90" s="203"/>
      <c r="AS90" s="203"/>
      <c r="AT90" s="203"/>
      <c r="AU90" s="203"/>
      <c r="AV90" s="203"/>
      <c r="AW90" s="203"/>
      <c r="AX90" s="203"/>
      <c r="AY90" s="203"/>
    </row>
    <row r="91" spans="1:51">
      <c r="A91" t="s">
        <v>16</v>
      </c>
      <c r="C91" s="18"/>
      <c r="E91" s="197"/>
      <c r="G91" s="197"/>
      <c r="I91" s="197"/>
      <c r="J91" s="197"/>
      <c r="K91" s="197"/>
      <c r="L91" s="197"/>
      <c r="M91" s="197"/>
      <c r="N91" s="31"/>
      <c r="Q91" s="197"/>
      <c r="S91" s="197"/>
      <c r="T91" s="197"/>
      <c r="U91" s="197"/>
      <c r="V91" s="197"/>
      <c r="W91" s="197"/>
      <c r="AA91" s="197"/>
      <c r="AC91" s="197"/>
      <c r="AD91" s="197"/>
      <c r="AE91" s="197"/>
      <c r="AF91" s="197"/>
      <c r="AG91" s="197"/>
    </row>
    <row r="92" spans="1:51">
      <c r="A92" t="s">
        <v>16</v>
      </c>
      <c r="C92" s="53" t="s">
        <v>181</v>
      </c>
      <c r="E92" s="4"/>
      <c r="G92" s="4"/>
      <c r="I92" s="4"/>
      <c r="J92" s="4"/>
      <c r="K92" s="4"/>
      <c r="L92" s="4"/>
      <c r="M92" s="4"/>
      <c r="N92" s="31"/>
      <c r="Q92" s="4"/>
      <c r="S92" s="4"/>
      <c r="T92" s="4"/>
      <c r="U92" s="4"/>
      <c r="V92" s="4"/>
      <c r="W92" s="4"/>
      <c r="AA92" s="4"/>
      <c r="AC92" s="4"/>
      <c r="AD92" s="4"/>
      <c r="AE92" s="4"/>
      <c r="AF92" s="4"/>
      <c r="AG92" s="4"/>
    </row>
    <row r="93" spans="1:51">
      <c r="A93" t="s">
        <v>16</v>
      </c>
      <c r="C93" s="29" t="str">
        <f>C75</f>
        <v>Low Income</v>
      </c>
      <c r="D93" t="s">
        <v>179</v>
      </c>
      <c r="E93" s="3">
        <f t="shared" ref="E93:J93" si="198">IF($D$4,Y93,O93)</f>
        <v>25.240254653319884</v>
      </c>
      <c r="F93" s="3">
        <f t="shared" si="198"/>
        <v>25.427775883826147</v>
      </c>
      <c r="G93" s="3">
        <f t="shared" si="198"/>
        <v>26.458300314436251</v>
      </c>
      <c r="H93" s="3">
        <f t="shared" si="198"/>
        <v>26.906221965962668</v>
      </c>
      <c r="I93" s="3">
        <f t="shared" si="198"/>
        <v>26.396566452045892</v>
      </c>
      <c r="J93" s="3">
        <f t="shared" si="198"/>
        <v>23.769090334352082</v>
      </c>
      <c r="K93" s="3">
        <f>IF($D$4,AD93,T93)</f>
        <v>23.769090334352082</v>
      </c>
      <c r="L93" s="3">
        <f>IF($D$4,AD93,T93)</f>
        <v>23.769090334352082</v>
      </c>
      <c r="M93" s="3">
        <f>IF($D$4,AG93,W93)</f>
        <v>10.833717825957004</v>
      </c>
      <c r="N93" s="31"/>
      <c r="O93" s="3">
        <f>(1-O$25)*O$13</f>
        <v>25.240254653319884</v>
      </c>
      <c r="P93" s="3">
        <f t="shared" ref="P93:W93" si="199">(1-P$25)*P$13</f>
        <v>25.427775883826147</v>
      </c>
      <c r="Q93" s="3">
        <f t="shared" si="199"/>
        <v>26.458300314436251</v>
      </c>
      <c r="R93" s="3">
        <f t="shared" si="199"/>
        <v>26.906221965962668</v>
      </c>
      <c r="S93" s="3">
        <f t="shared" si="199"/>
        <v>26.396566452045892</v>
      </c>
      <c r="T93" s="3">
        <f t="shared" si="199"/>
        <v>23.769090334352082</v>
      </c>
      <c r="U93" s="3">
        <f t="shared" si="199"/>
        <v>20.108540627312525</v>
      </c>
      <c r="V93" s="3">
        <f t="shared" si="199"/>
        <v>15.711339960422404</v>
      </c>
      <c r="W93" s="3">
        <f t="shared" si="199"/>
        <v>10.833717825957004</v>
      </c>
      <c r="Y93" s="3">
        <f t="shared" ref="Y93:Y103" si="200">O93</f>
        <v>25.240254653319884</v>
      </c>
      <c r="Z93" s="3">
        <f t="shared" ref="Z93:Z103" si="201">P93</f>
        <v>25.427775883826147</v>
      </c>
      <c r="AA93" s="3">
        <f t="shared" ref="AA93:AA103" si="202">Q93</f>
        <v>26.458300314436251</v>
      </c>
      <c r="AB93" s="3">
        <f t="shared" ref="AB93:AB103" si="203">R93</f>
        <v>26.906221965962668</v>
      </c>
      <c r="AC93" s="3">
        <f>(1-AC$25)*AC$13</f>
        <v>26.396566452045892</v>
      </c>
      <c r="AD93" s="3">
        <f>(1-AD$25)*AD$13</f>
        <v>23.769090334352082</v>
      </c>
      <c r="AE93" s="3">
        <f>(1-AE$25)*AE$13</f>
        <v>20.108540627312525</v>
      </c>
      <c r="AF93" s="3">
        <f>(1-AF$25)*AF$13</f>
        <v>15.711339960422404</v>
      </c>
      <c r="AG93" s="3">
        <f>(1-AG$25)*AG$13</f>
        <v>10.833717825957004</v>
      </c>
    </row>
    <row r="94" spans="1:51">
      <c r="A94" t="s">
        <v>16</v>
      </c>
      <c r="C94" t="s">
        <v>54</v>
      </c>
      <c r="D94" t="s">
        <v>39</v>
      </c>
      <c r="E94" s="239">
        <v>5.0000000000000001E-3</v>
      </c>
      <c r="F94" s="48">
        <f t="shared" ref="F94:J95" si="204">IF($D$4,Z94,P94)</f>
        <v>0.01</v>
      </c>
      <c r="G94" s="48">
        <f t="shared" si="204"/>
        <v>0.01</v>
      </c>
      <c r="H94" s="48">
        <f t="shared" si="204"/>
        <v>0.01</v>
      </c>
      <c r="I94" s="48">
        <f t="shared" si="204"/>
        <v>0.01</v>
      </c>
      <c r="J94" s="48">
        <f t="shared" si="204"/>
        <v>0.01</v>
      </c>
      <c r="K94" s="48">
        <f>IF($D$4,AD94,T94)</f>
        <v>0.01</v>
      </c>
      <c r="L94" s="48">
        <f>IF($D$4,AD94,T94)</f>
        <v>0.01</v>
      </c>
      <c r="M94" s="48">
        <f>IF($D$4,AG94,W94)</f>
        <v>0.01</v>
      </c>
      <c r="N94" s="204"/>
      <c r="O94" s="196">
        <f>E94</f>
        <v>5.0000000000000001E-3</v>
      </c>
      <c r="P94" s="196">
        <v>0.01</v>
      </c>
      <c r="Q94" s="196">
        <f>P94</f>
        <v>0.01</v>
      </c>
      <c r="R94" s="164">
        <f>Q94</f>
        <v>0.01</v>
      </c>
      <c r="S94" s="92">
        <f t="shared" ref="S94:W94" si="205">R94</f>
        <v>0.01</v>
      </c>
      <c r="T94" s="92">
        <f t="shared" si="205"/>
        <v>0.01</v>
      </c>
      <c r="U94" s="92">
        <f t="shared" si="205"/>
        <v>0.01</v>
      </c>
      <c r="V94" s="92">
        <f t="shared" si="205"/>
        <v>0.01</v>
      </c>
      <c r="W94" s="92">
        <f t="shared" si="205"/>
        <v>0.01</v>
      </c>
      <c r="X94" s="203"/>
      <c r="Y94" s="3">
        <f t="shared" si="200"/>
        <v>5.0000000000000001E-3</v>
      </c>
      <c r="Z94" s="3">
        <f t="shared" si="201"/>
        <v>0.01</v>
      </c>
      <c r="AA94" s="3">
        <f t="shared" si="202"/>
        <v>0.01</v>
      </c>
      <c r="AB94" s="164">
        <f>AA94</f>
        <v>0.01</v>
      </c>
      <c r="AC94" s="92">
        <f t="shared" ref="AC94:AG94" si="206">AB94</f>
        <v>0.01</v>
      </c>
      <c r="AD94" s="92">
        <f t="shared" si="206"/>
        <v>0.01</v>
      </c>
      <c r="AE94" s="92">
        <f t="shared" si="206"/>
        <v>0.01</v>
      </c>
      <c r="AF94" s="92">
        <f t="shared" si="206"/>
        <v>0.01</v>
      </c>
      <c r="AG94" s="92">
        <f t="shared" si="206"/>
        <v>0.01</v>
      </c>
      <c r="AH94" s="203"/>
      <c r="AI94" s="203"/>
      <c r="AJ94" s="203"/>
      <c r="AK94" s="203"/>
      <c r="AL94" s="203"/>
      <c r="AM94" s="203"/>
      <c r="AN94" s="203"/>
      <c r="AO94" s="203"/>
      <c r="AP94" s="203"/>
      <c r="AQ94" s="203"/>
      <c r="AR94" s="203"/>
      <c r="AS94" s="203"/>
      <c r="AT94" s="203"/>
      <c r="AU94" s="203"/>
      <c r="AV94" s="203"/>
      <c r="AW94" s="203"/>
      <c r="AX94" s="203"/>
      <c r="AY94" s="203"/>
    </row>
    <row r="95" spans="1:51">
      <c r="A95" t="s">
        <v>16</v>
      </c>
      <c r="C95" t="s">
        <v>71</v>
      </c>
      <c r="D95" t="s">
        <v>39</v>
      </c>
      <c r="E95" s="239">
        <v>0</v>
      </c>
      <c r="F95" s="48">
        <f t="shared" si="204"/>
        <v>0</v>
      </c>
      <c r="G95" s="48">
        <f t="shared" si="204"/>
        <v>0</v>
      </c>
      <c r="H95" s="48">
        <f t="shared" si="204"/>
        <v>0</v>
      </c>
      <c r="I95" s="48">
        <f t="shared" si="204"/>
        <v>0</v>
      </c>
      <c r="J95" s="48">
        <f t="shared" si="204"/>
        <v>0</v>
      </c>
      <c r="K95" s="48">
        <f>IF($D$4,AD95,T95)</f>
        <v>0</v>
      </c>
      <c r="L95" s="48">
        <f>IF($D$4,AD95,T95)</f>
        <v>0</v>
      </c>
      <c r="M95" s="48">
        <f>IF($D$4,AG95,W95)</f>
        <v>0</v>
      </c>
      <c r="N95" s="204"/>
      <c r="O95" s="196">
        <f>E95</f>
        <v>0</v>
      </c>
      <c r="P95" s="196">
        <f>O95</f>
        <v>0</v>
      </c>
      <c r="Q95" s="196">
        <f>P95</f>
        <v>0</v>
      </c>
      <c r="R95" s="196">
        <f t="shared" ref="R95:T95" si="207">Q95</f>
        <v>0</v>
      </c>
      <c r="S95" s="25">
        <f t="shared" si="207"/>
        <v>0</v>
      </c>
      <c r="T95" s="25">
        <f t="shared" si="207"/>
        <v>0</v>
      </c>
      <c r="U95" s="25">
        <f>S95</f>
        <v>0</v>
      </c>
      <c r="V95" s="25">
        <f>S95</f>
        <v>0</v>
      </c>
      <c r="W95" s="25">
        <f>T95</f>
        <v>0</v>
      </c>
      <c r="X95" s="203"/>
      <c r="Y95" s="3">
        <f t="shared" si="200"/>
        <v>0</v>
      </c>
      <c r="Z95" s="3">
        <f t="shared" si="201"/>
        <v>0</v>
      </c>
      <c r="AA95" s="3">
        <f t="shared" si="202"/>
        <v>0</v>
      </c>
      <c r="AB95" s="3">
        <f t="shared" si="203"/>
        <v>0</v>
      </c>
      <c r="AC95" s="25">
        <v>0</v>
      </c>
      <c r="AD95" s="25">
        <v>0</v>
      </c>
      <c r="AE95" s="25">
        <v>0</v>
      </c>
      <c r="AF95" s="25">
        <v>0</v>
      </c>
      <c r="AG95" s="25">
        <v>0</v>
      </c>
      <c r="AH95" s="203"/>
      <c r="AI95" s="203"/>
      <c r="AJ95" s="203"/>
      <c r="AK95" s="203"/>
      <c r="AL95" s="203"/>
      <c r="AM95" s="203"/>
      <c r="AN95" s="203"/>
      <c r="AO95" s="203"/>
      <c r="AP95" s="203"/>
      <c r="AQ95" s="203"/>
      <c r="AR95" s="203"/>
      <c r="AS95" s="203"/>
      <c r="AT95" s="203"/>
      <c r="AU95" s="203"/>
      <c r="AV95" s="203"/>
      <c r="AW95" s="203"/>
      <c r="AX95" s="203"/>
      <c r="AY95" s="203"/>
    </row>
    <row r="96" spans="1:51">
      <c r="A96" t="s">
        <v>16</v>
      </c>
      <c r="C96" t="s">
        <v>70</v>
      </c>
      <c r="D96" t="s">
        <v>39</v>
      </c>
      <c r="E96" s="24">
        <f t="shared" ref="E96:M96" si="208">1-SUM(E94:E95)</f>
        <v>0.995</v>
      </c>
      <c r="F96" s="24">
        <f t="shared" si="208"/>
        <v>0.99</v>
      </c>
      <c r="G96" s="24">
        <f t="shared" si="208"/>
        <v>0.99</v>
      </c>
      <c r="H96" s="24">
        <f t="shared" si="208"/>
        <v>0.99</v>
      </c>
      <c r="I96" s="24">
        <f t="shared" si="208"/>
        <v>0.99</v>
      </c>
      <c r="J96" s="24">
        <f t="shared" si="208"/>
        <v>0.99</v>
      </c>
      <c r="K96" s="24">
        <f t="shared" ref="K96:L96" si="209">1-SUM(K94:K95)</f>
        <v>0.99</v>
      </c>
      <c r="L96" s="24">
        <f t="shared" si="209"/>
        <v>0.99</v>
      </c>
      <c r="M96" s="24">
        <f t="shared" si="208"/>
        <v>0.99</v>
      </c>
      <c r="N96" s="204"/>
      <c r="O96" s="24">
        <f t="shared" ref="O96:W96" si="210">1-SUM(O94:O95)</f>
        <v>0.995</v>
      </c>
      <c r="P96" s="24">
        <f t="shared" si="210"/>
        <v>0.99</v>
      </c>
      <c r="Q96" s="24">
        <f t="shared" si="210"/>
        <v>0.99</v>
      </c>
      <c r="R96" s="24">
        <f t="shared" si="210"/>
        <v>0.99</v>
      </c>
      <c r="S96" s="24">
        <f t="shared" si="210"/>
        <v>0.99</v>
      </c>
      <c r="T96" s="24">
        <f t="shared" si="210"/>
        <v>0.99</v>
      </c>
      <c r="U96" s="24">
        <f t="shared" ref="U96:V96" si="211">1-SUM(U94:U95)</f>
        <v>0.99</v>
      </c>
      <c r="V96" s="24">
        <f t="shared" si="211"/>
        <v>0.99</v>
      </c>
      <c r="W96" s="24">
        <f t="shared" si="210"/>
        <v>0.99</v>
      </c>
      <c r="X96" s="203"/>
      <c r="Y96" s="3">
        <f t="shared" si="200"/>
        <v>0.995</v>
      </c>
      <c r="Z96" s="3">
        <f t="shared" si="201"/>
        <v>0.99</v>
      </c>
      <c r="AA96" s="3">
        <f t="shared" si="202"/>
        <v>0.99</v>
      </c>
      <c r="AB96" s="3">
        <f t="shared" si="203"/>
        <v>0.99</v>
      </c>
      <c r="AC96" s="24">
        <f>1-SUM(AC94:AC95)</f>
        <v>0.99</v>
      </c>
      <c r="AD96" s="24">
        <f>1-SUM(AD94:AD95)</f>
        <v>0.99</v>
      </c>
      <c r="AE96" s="24">
        <f>1-SUM(AE94:AE95)</f>
        <v>0.99</v>
      </c>
      <c r="AF96" s="24">
        <f>1-SUM(AF94:AF95)</f>
        <v>0.99</v>
      </c>
      <c r="AG96" s="24">
        <f>1-SUM(AG94:AG95)</f>
        <v>0.99</v>
      </c>
      <c r="AH96" s="203"/>
      <c r="AI96" s="203"/>
      <c r="AJ96" s="203"/>
      <c r="AK96" s="203"/>
      <c r="AL96" s="203"/>
      <c r="AM96" s="203"/>
      <c r="AN96" s="203"/>
      <c r="AO96" s="203"/>
      <c r="AP96" s="203"/>
      <c r="AQ96" s="203"/>
      <c r="AR96" s="203"/>
      <c r="AS96" s="203"/>
      <c r="AT96" s="203"/>
      <c r="AU96" s="203"/>
      <c r="AV96" s="203"/>
      <c r="AW96" s="203"/>
      <c r="AX96" s="203"/>
      <c r="AY96" s="203"/>
    </row>
    <row r="97" spans="1:51">
      <c r="A97" t="s">
        <v>16</v>
      </c>
      <c r="C97" s="29" t="str">
        <f>C81</f>
        <v>Middle Income</v>
      </c>
      <c r="D97" t="s">
        <v>179</v>
      </c>
      <c r="E97" s="3">
        <f t="shared" ref="E97:J97" si="212">IF($D$4,Y97,O97)</f>
        <v>8.1886900600956771</v>
      </c>
      <c r="F97" s="3">
        <f t="shared" si="212"/>
        <v>8.636896648943301</v>
      </c>
      <c r="G97" s="3">
        <f t="shared" si="212"/>
        <v>9.0762919375131723</v>
      </c>
      <c r="H97" s="3">
        <f t="shared" si="212"/>
        <v>8.6355938133760901</v>
      </c>
      <c r="I97" s="3">
        <f t="shared" si="212"/>
        <v>10.522021964966148</v>
      </c>
      <c r="J97" s="3">
        <f t="shared" si="212"/>
        <v>12.677178491463033</v>
      </c>
      <c r="K97" s="3">
        <f>IF($D$4,AD97,T97)</f>
        <v>12.677178491463033</v>
      </c>
      <c r="L97" s="3">
        <f>IF($D$4,AD97,T97)</f>
        <v>12.677178491463033</v>
      </c>
      <c r="M97" s="3">
        <f>IF($D$4,AG97,W97)</f>
        <v>18.475005849291669</v>
      </c>
      <c r="N97" s="31"/>
      <c r="O97" s="3">
        <f t="shared" ref="O97:W97" si="213">(1-O$26)*O$14</f>
        <v>8.1886900600956771</v>
      </c>
      <c r="P97" s="3">
        <f t="shared" si="213"/>
        <v>8.636896648943301</v>
      </c>
      <c r="Q97" s="3">
        <f t="shared" si="213"/>
        <v>9.0762919375131723</v>
      </c>
      <c r="R97" s="3">
        <f t="shared" si="213"/>
        <v>8.6355938133760901</v>
      </c>
      <c r="S97" s="3">
        <f t="shared" si="213"/>
        <v>9.9604236123546599</v>
      </c>
      <c r="T97" s="3">
        <f t="shared" si="213"/>
        <v>11.421428841688071</v>
      </c>
      <c r="U97" s="3">
        <f t="shared" si="213"/>
        <v>13.142014803561386</v>
      </c>
      <c r="V97" s="3">
        <f t="shared" si="213"/>
        <v>14.623358629317496</v>
      </c>
      <c r="W97" s="3">
        <f t="shared" si="213"/>
        <v>15.91530793275567</v>
      </c>
      <c r="Y97" s="3">
        <f t="shared" si="200"/>
        <v>8.1886900600956771</v>
      </c>
      <c r="Z97" s="3">
        <f t="shared" si="201"/>
        <v>8.636896648943301</v>
      </c>
      <c r="AA97" s="3">
        <f t="shared" si="202"/>
        <v>9.0762919375131723</v>
      </c>
      <c r="AB97" s="3">
        <f t="shared" si="203"/>
        <v>8.6355938133760901</v>
      </c>
      <c r="AC97" s="3">
        <f>(1-AC$26)*AC$14</f>
        <v>10.522021964966148</v>
      </c>
      <c r="AD97" s="3">
        <f>(1-AD$26)*AD$14</f>
        <v>12.677178491463033</v>
      </c>
      <c r="AE97" s="3">
        <f>(1-AE$26)*AE$14</f>
        <v>14.586937388612526</v>
      </c>
      <c r="AF97" s="3">
        <f>(1-AF$26)*AF$14</f>
        <v>16.231150240317461</v>
      </c>
      <c r="AG97" s="3">
        <f>(1-AG$26)*AG$14</f>
        <v>18.475005849291669</v>
      </c>
    </row>
    <row r="98" spans="1:51">
      <c r="A98" t="s">
        <v>16</v>
      </c>
      <c r="C98" t="str">
        <f>C94</f>
        <v>BRT</v>
      </c>
      <c r="D98" t="s">
        <v>39</v>
      </c>
      <c r="E98" s="239">
        <v>5.0000000000000001E-3</v>
      </c>
      <c r="F98" s="48">
        <f t="shared" ref="F98:J99" si="214">IF($D$4,Z98,P98)</f>
        <v>0.01</v>
      </c>
      <c r="G98" s="48">
        <f t="shared" si="214"/>
        <v>0.01</v>
      </c>
      <c r="H98" s="48">
        <f t="shared" si="214"/>
        <v>0.01</v>
      </c>
      <c r="I98" s="48">
        <f t="shared" si="214"/>
        <v>0.01</v>
      </c>
      <c r="J98" s="48">
        <f t="shared" si="214"/>
        <v>0.01</v>
      </c>
      <c r="K98" s="48">
        <f>IF($D$4,AD98,T98)</f>
        <v>0.01</v>
      </c>
      <c r="L98" s="48">
        <f>IF($D$4,AD98,T98)</f>
        <v>0.01</v>
      </c>
      <c r="M98" s="48">
        <f>IF($D$4,AG98,W98)</f>
        <v>0.01</v>
      </c>
      <c r="N98" s="204"/>
      <c r="O98" s="196">
        <f>E98</f>
        <v>5.0000000000000001E-3</v>
      </c>
      <c r="P98" s="196">
        <v>0.01</v>
      </c>
      <c r="Q98" s="196">
        <f>P98</f>
        <v>0.01</v>
      </c>
      <c r="R98" s="164">
        <f>Q98</f>
        <v>0.01</v>
      </c>
      <c r="S98" s="92">
        <f t="shared" ref="S98:W98" si="215">R98</f>
        <v>0.01</v>
      </c>
      <c r="T98" s="92">
        <f t="shared" si="215"/>
        <v>0.01</v>
      </c>
      <c r="U98" s="92">
        <f t="shared" si="215"/>
        <v>0.01</v>
      </c>
      <c r="V98" s="92">
        <f t="shared" si="215"/>
        <v>0.01</v>
      </c>
      <c r="W98" s="92">
        <f t="shared" si="215"/>
        <v>0.01</v>
      </c>
      <c r="X98" s="203"/>
      <c r="Y98" s="3">
        <f t="shared" si="200"/>
        <v>5.0000000000000001E-3</v>
      </c>
      <c r="Z98" s="3">
        <f t="shared" si="201"/>
        <v>0.01</v>
      </c>
      <c r="AA98" s="3">
        <f t="shared" si="202"/>
        <v>0.01</v>
      </c>
      <c r="AB98" s="164">
        <f>AA98</f>
        <v>0.01</v>
      </c>
      <c r="AC98" s="92">
        <f t="shared" ref="AC98:AG98" si="216">AB98</f>
        <v>0.01</v>
      </c>
      <c r="AD98" s="92">
        <f t="shared" si="216"/>
        <v>0.01</v>
      </c>
      <c r="AE98" s="92">
        <f t="shared" si="216"/>
        <v>0.01</v>
      </c>
      <c r="AF98" s="92">
        <f t="shared" si="216"/>
        <v>0.01</v>
      </c>
      <c r="AG98" s="92">
        <f t="shared" si="216"/>
        <v>0.01</v>
      </c>
      <c r="AH98" s="203"/>
      <c r="AI98" s="203"/>
      <c r="AJ98" s="203"/>
      <c r="AK98" s="203"/>
      <c r="AL98" s="203"/>
      <c r="AM98" s="203"/>
      <c r="AN98" s="203"/>
      <c r="AO98" s="203"/>
      <c r="AP98" s="203"/>
      <c r="AQ98" s="203"/>
      <c r="AR98" s="203"/>
      <c r="AS98" s="203"/>
      <c r="AT98" s="203"/>
      <c r="AU98" s="203"/>
      <c r="AV98" s="203"/>
      <c r="AW98" s="203"/>
      <c r="AX98" s="203"/>
      <c r="AY98" s="203"/>
    </row>
    <row r="99" spans="1:51">
      <c r="A99" t="s">
        <v>16</v>
      </c>
      <c r="C99" t="str">
        <f>C95</f>
        <v>Gautrain</v>
      </c>
      <c r="D99" t="s">
        <v>39</v>
      </c>
      <c r="E99" s="239">
        <v>2E-3</v>
      </c>
      <c r="F99" s="48">
        <f t="shared" si="214"/>
        <v>2E-3</v>
      </c>
      <c r="G99" s="48">
        <f t="shared" si="214"/>
        <v>2E-3</v>
      </c>
      <c r="H99" s="48">
        <f t="shared" si="214"/>
        <v>2E-3</v>
      </c>
      <c r="I99" s="48">
        <f t="shared" si="214"/>
        <v>2E-3</v>
      </c>
      <c r="J99" s="48">
        <f t="shared" si="214"/>
        <v>3.0000000000000001E-3</v>
      </c>
      <c r="K99" s="48">
        <f>IF($D$4,AD99,T99)</f>
        <v>3.0000000000000001E-3</v>
      </c>
      <c r="L99" s="48">
        <f>IF($D$4,AD99,T99)</f>
        <v>3.0000000000000001E-3</v>
      </c>
      <c r="M99" s="48">
        <f>IF($D$4,AG99,W99)</f>
        <v>0.01</v>
      </c>
      <c r="N99" s="204"/>
      <c r="O99" s="196">
        <f>E99</f>
        <v>2E-3</v>
      </c>
      <c r="P99" s="196">
        <f>O99</f>
        <v>2E-3</v>
      </c>
      <c r="Q99" s="196">
        <f>P99</f>
        <v>2E-3</v>
      </c>
      <c r="R99" s="196">
        <f t="shared" ref="R99:T99" si="217">Q99</f>
        <v>2E-3</v>
      </c>
      <c r="S99" s="36">
        <f t="shared" si="217"/>
        <v>2E-3</v>
      </c>
      <c r="T99" s="36">
        <f t="shared" si="217"/>
        <v>2E-3</v>
      </c>
      <c r="U99" s="36">
        <f>S99</f>
        <v>2E-3</v>
      </c>
      <c r="V99" s="36">
        <f>S99</f>
        <v>2E-3</v>
      </c>
      <c r="W99" s="36">
        <f>T99</f>
        <v>2E-3</v>
      </c>
      <c r="X99" s="203"/>
      <c r="Y99" s="3">
        <f t="shared" si="200"/>
        <v>2E-3</v>
      </c>
      <c r="Z99" s="3">
        <f t="shared" si="201"/>
        <v>2E-3</v>
      </c>
      <c r="AA99" s="3">
        <f t="shared" si="202"/>
        <v>2E-3</v>
      </c>
      <c r="AB99" s="3">
        <f t="shared" si="203"/>
        <v>2E-3</v>
      </c>
      <c r="AC99" s="56">
        <v>2E-3</v>
      </c>
      <c r="AD99" s="56">
        <v>3.0000000000000001E-3</v>
      </c>
      <c r="AE99" s="56">
        <v>4.0000000000000001E-3</v>
      </c>
      <c r="AF99" s="56">
        <v>5.0000000000000001E-3</v>
      </c>
      <c r="AG99" s="56">
        <v>0.01</v>
      </c>
      <c r="AH99" s="203"/>
      <c r="AI99" s="203"/>
      <c r="AJ99" s="203"/>
      <c r="AK99" s="203"/>
      <c r="AL99" s="203"/>
      <c r="AM99" s="203"/>
      <c r="AN99" s="203"/>
      <c r="AO99" s="203"/>
      <c r="AP99" s="203"/>
      <c r="AQ99" s="203"/>
      <c r="AR99" s="203"/>
      <c r="AS99" s="203"/>
      <c r="AT99" s="203"/>
      <c r="AU99" s="203"/>
      <c r="AV99" s="203"/>
      <c r="AW99" s="203"/>
      <c r="AX99" s="203"/>
      <c r="AY99" s="203"/>
    </row>
    <row r="100" spans="1:51">
      <c r="A100" t="s">
        <v>16</v>
      </c>
      <c r="C100" t="str">
        <f>C96</f>
        <v>Bus, minibus, metro rail</v>
      </c>
      <c r="D100" t="s">
        <v>39</v>
      </c>
      <c r="E100" s="24">
        <f t="shared" ref="E100:M100" si="218">1-SUM(E98:E99)</f>
        <v>0.99299999999999999</v>
      </c>
      <c r="F100" s="24">
        <f t="shared" si="218"/>
        <v>0.98799999999999999</v>
      </c>
      <c r="G100" s="24">
        <f t="shared" si="218"/>
        <v>0.98799999999999999</v>
      </c>
      <c r="H100" s="24">
        <f t="shared" si="218"/>
        <v>0.98799999999999999</v>
      </c>
      <c r="I100" s="24">
        <f t="shared" si="218"/>
        <v>0.98799999999999999</v>
      </c>
      <c r="J100" s="24">
        <f t="shared" si="218"/>
        <v>0.98699999999999999</v>
      </c>
      <c r="K100" s="24">
        <f t="shared" ref="K100:L100" si="219">1-SUM(K98:K99)</f>
        <v>0.98699999999999999</v>
      </c>
      <c r="L100" s="24">
        <f t="shared" si="219"/>
        <v>0.98699999999999999</v>
      </c>
      <c r="M100" s="24">
        <f t="shared" si="218"/>
        <v>0.98</v>
      </c>
      <c r="N100" s="204"/>
      <c r="O100" s="24">
        <f t="shared" ref="O100:W100" si="220">1-SUM(O98:O99)</f>
        <v>0.99299999999999999</v>
      </c>
      <c r="P100" s="24">
        <f t="shared" si="220"/>
        <v>0.98799999999999999</v>
      </c>
      <c r="Q100" s="24">
        <f t="shared" si="220"/>
        <v>0.98799999999999999</v>
      </c>
      <c r="R100" s="24">
        <f t="shared" si="220"/>
        <v>0.98799999999999999</v>
      </c>
      <c r="S100" s="24">
        <f t="shared" si="220"/>
        <v>0.98799999999999999</v>
      </c>
      <c r="T100" s="24">
        <f t="shared" si="220"/>
        <v>0.98799999999999999</v>
      </c>
      <c r="U100" s="24">
        <f t="shared" ref="U100:V100" si="221">1-SUM(U98:U99)</f>
        <v>0.98799999999999999</v>
      </c>
      <c r="V100" s="24">
        <f t="shared" si="221"/>
        <v>0.98799999999999999</v>
      </c>
      <c r="W100" s="24">
        <f t="shared" si="220"/>
        <v>0.98799999999999999</v>
      </c>
      <c r="X100" s="203"/>
      <c r="Y100" s="3">
        <f t="shared" si="200"/>
        <v>0.99299999999999999</v>
      </c>
      <c r="Z100" s="3">
        <f t="shared" si="201"/>
        <v>0.98799999999999999</v>
      </c>
      <c r="AA100" s="3">
        <f t="shared" si="202"/>
        <v>0.98799999999999999</v>
      </c>
      <c r="AB100" s="3">
        <f t="shared" si="203"/>
        <v>0.98799999999999999</v>
      </c>
      <c r="AC100" s="24">
        <f>1-SUM(AC98:AC99)</f>
        <v>0.98799999999999999</v>
      </c>
      <c r="AD100" s="24">
        <f>1-SUM(AD98:AD99)</f>
        <v>0.98699999999999999</v>
      </c>
      <c r="AE100" s="24">
        <f>1-SUM(AE98:AE99)</f>
        <v>0.98599999999999999</v>
      </c>
      <c r="AF100" s="24">
        <f>1-SUM(AF98:AF99)</f>
        <v>0.98499999999999999</v>
      </c>
      <c r="AG100" s="24">
        <f>1-SUM(AG98:AG99)</f>
        <v>0.98</v>
      </c>
      <c r="AH100" s="203"/>
      <c r="AI100" s="203"/>
      <c r="AJ100" s="203"/>
      <c r="AK100" s="203"/>
      <c r="AL100" s="203"/>
      <c r="AM100" s="203"/>
      <c r="AN100" s="203"/>
      <c r="AO100" s="203"/>
      <c r="AP100" s="203"/>
      <c r="AQ100" s="203"/>
      <c r="AR100" s="203"/>
      <c r="AS100" s="203"/>
      <c r="AT100" s="203"/>
      <c r="AU100" s="203"/>
      <c r="AV100" s="203"/>
      <c r="AW100" s="203"/>
      <c r="AX100" s="203"/>
      <c r="AY100" s="203"/>
    </row>
    <row r="101" spans="1:51">
      <c r="A101" t="s">
        <v>16</v>
      </c>
      <c r="C101" s="29" t="str">
        <f>C86</f>
        <v>High Income</v>
      </c>
      <c r="D101" t="s">
        <v>179</v>
      </c>
      <c r="E101" s="3">
        <f t="shared" ref="E101:J101" si="222">IF($D$4,Y101,O101)</f>
        <v>3.0943286138531914</v>
      </c>
      <c r="F101" s="3">
        <f t="shared" si="222"/>
        <v>3.2561677381747867</v>
      </c>
      <c r="G101" s="3">
        <f t="shared" si="222"/>
        <v>2.7499367319273165</v>
      </c>
      <c r="H101" s="3">
        <f t="shared" si="222"/>
        <v>3.1452245392265921</v>
      </c>
      <c r="I101" s="3">
        <f t="shared" si="222"/>
        <v>4.4684509748966041</v>
      </c>
      <c r="J101" s="3">
        <f t="shared" si="222"/>
        <v>6.4911637037236778</v>
      </c>
      <c r="K101" s="3">
        <f>IF($D$4,AD101,T101)</f>
        <v>6.4911637037236778</v>
      </c>
      <c r="L101" s="3">
        <f>IF($D$4,AD101,T101)</f>
        <v>6.4911637037236778</v>
      </c>
      <c r="M101" s="3">
        <f>IF($D$4,AG101,W101)</f>
        <v>10.784481368241403</v>
      </c>
      <c r="N101" s="31"/>
      <c r="O101" s="3">
        <f t="shared" ref="O101:W101" si="223">(1-O$27)*O$15</f>
        <v>3.0943286138531914</v>
      </c>
      <c r="P101" s="3">
        <f t="shared" si="223"/>
        <v>3.2561677381747867</v>
      </c>
      <c r="Q101" s="3">
        <f t="shared" si="223"/>
        <v>2.7499367319273165</v>
      </c>
      <c r="R101" s="3">
        <f t="shared" si="223"/>
        <v>3.1452245392265921</v>
      </c>
      <c r="S101" s="3">
        <f t="shared" si="223"/>
        <v>3.8335475817031148</v>
      </c>
      <c r="T101" s="3">
        <f t="shared" si="223"/>
        <v>4.9065659330672</v>
      </c>
      <c r="U101" s="3">
        <f t="shared" si="223"/>
        <v>5.8086832745113881</v>
      </c>
      <c r="V101" s="3">
        <f t="shared" si="223"/>
        <v>6.6130209589461115</v>
      </c>
      <c r="W101" s="3">
        <f t="shared" si="223"/>
        <v>7.324301599629333</v>
      </c>
      <c r="Y101" s="3">
        <f t="shared" si="200"/>
        <v>3.0943286138531914</v>
      </c>
      <c r="Z101" s="3">
        <f t="shared" si="201"/>
        <v>3.2561677381747867</v>
      </c>
      <c r="AA101" s="3">
        <f t="shared" si="202"/>
        <v>2.7499367319273165</v>
      </c>
      <c r="AB101" s="3">
        <f t="shared" si="203"/>
        <v>3.1452245392265921</v>
      </c>
      <c r="AC101" s="3">
        <f>(1-AC$27)*AC$15</f>
        <v>4.4684509748966041</v>
      </c>
      <c r="AD101" s="3">
        <f>(1-AD$27)*AD$15</f>
        <v>6.4911637037236778</v>
      </c>
      <c r="AE101" s="3">
        <f>(1-AE$27)*AE$15</f>
        <v>7.6846239411206367</v>
      </c>
      <c r="AF101" s="3">
        <f>(1-AF$27)*AF$15</f>
        <v>8.7487261368239384</v>
      </c>
      <c r="AG101" s="3">
        <f>(1-AG$27)*AG$15</f>
        <v>10.784481368241403</v>
      </c>
    </row>
    <row r="102" spans="1:51">
      <c r="A102" t="s">
        <v>16</v>
      </c>
      <c r="C102" t="str">
        <f>C98</f>
        <v>BRT</v>
      </c>
      <c r="D102" t="s">
        <v>39</v>
      </c>
      <c r="E102" s="239">
        <v>5.0000000000000001E-3</v>
      </c>
      <c r="F102" s="48">
        <f t="shared" ref="F102:J103" si="224">IF($D$4,Z102,P102)</f>
        <v>0.01</v>
      </c>
      <c r="G102" s="48">
        <f t="shared" si="224"/>
        <v>0.01</v>
      </c>
      <c r="H102" s="48">
        <f t="shared" si="224"/>
        <v>0.01</v>
      </c>
      <c r="I102" s="48">
        <f t="shared" si="224"/>
        <v>0.01</v>
      </c>
      <c r="J102" s="48">
        <f t="shared" si="224"/>
        <v>0.01</v>
      </c>
      <c r="K102" s="48">
        <f>IF($D$4,AD102,T102)</f>
        <v>0.01</v>
      </c>
      <c r="L102" s="48">
        <f>IF($D$4,AD102,T102)</f>
        <v>0.01</v>
      </c>
      <c r="M102" s="48">
        <f>IF($D$4,AG102,W102)</f>
        <v>0.01</v>
      </c>
      <c r="N102" s="204"/>
      <c r="O102" s="196">
        <f>E102</f>
        <v>5.0000000000000001E-3</v>
      </c>
      <c r="P102" s="196">
        <v>0.01</v>
      </c>
      <c r="Q102" s="196">
        <f>P102</f>
        <v>0.01</v>
      </c>
      <c r="R102" s="164">
        <f>Q102</f>
        <v>0.01</v>
      </c>
      <c r="S102" s="92">
        <f t="shared" ref="S102:W102" si="225">R102</f>
        <v>0.01</v>
      </c>
      <c r="T102" s="92">
        <f t="shared" si="225"/>
        <v>0.01</v>
      </c>
      <c r="U102" s="92">
        <f t="shared" si="225"/>
        <v>0.01</v>
      </c>
      <c r="V102" s="92">
        <f t="shared" si="225"/>
        <v>0.01</v>
      </c>
      <c r="W102" s="92">
        <f t="shared" si="225"/>
        <v>0.01</v>
      </c>
      <c r="X102" s="203"/>
      <c r="Y102" s="3">
        <f t="shared" si="200"/>
        <v>5.0000000000000001E-3</v>
      </c>
      <c r="Z102" s="3">
        <f t="shared" si="201"/>
        <v>0.01</v>
      </c>
      <c r="AA102" s="3">
        <f t="shared" si="202"/>
        <v>0.01</v>
      </c>
      <c r="AB102" s="164">
        <f>AA102</f>
        <v>0.01</v>
      </c>
      <c r="AC102" s="92">
        <f t="shared" ref="AC102:AG102" si="226">AB102</f>
        <v>0.01</v>
      </c>
      <c r="AD102" s="92">
        <f t="shared" si="226"/>
        <v>0.01</v>
      </c>
      <c r="AE102" s="92">
        <f t="shared" si="226"/>
        <v>0.01</v>
      </c>
      <c r="AF102" s="92">
        <f t="shared" si="226"/>
        <v>0.01</v>
      </c>
      <c r="AG102" s="92">
        <f t="shared" si="226"/>
        <v>0.01</v>
      </c>
      <c r="AH102" s="203"/>
      <c r="AI102" s="203"/>
      <c r="AJ102" s="203"/>
      <c r="AK102" s="203"/>
      <c r="AL102" s="203"/>
      <c r="AM102" s="203"/>
      <c r="AN102" s="203"/>
      <c r="AO102" s="203"/>
      <c r="AP102" s="203"/>
      <c r="AQ102" s="203"/>
      <c r="AR102" s="203"/>
      <c r="AS102" s="203"/>
      <c r="AT102" s="203"/>
      <c r="AU102" s="203"/>
      <c r="AV102" s="203"/>
      <c r="AW102" s="203"/>
      <c r="AX102" s="203"/>
      <c r="AY102" s="203"/>
    </row>
    <row r="103" spans="1:51">
      <c r="A103" t="s">
        <v>16</v>
      </c>
      <c r="C103" t="str">
        <f>C99</f>
        <v>Gautrain</v>
      </c>
      <c r="D103" t="s">
        <v>39</v>
      </c>
      <c r="E103" s="239">
        <v>5.0000000000000001E-3</v>
      </c>
      <c r="F103" s="117">
        <f t="shared" si="224"/>
        <v>5.0000000000000001E-3</v>
      </c>
      <c r="G103" s="117">
        <f t="shared" si="224"/>
        <v>5.0000000000000001E-3</v>
      </c>
      <c r="H103" s="117">
        <f t="shared" si="224"/>
        <v>5.0000000000000001E-3</v>
      </c>
      <c r="I103" s="117">
        <f t="shared" si="224"/>
        <v>3.0000000000000001E-3</v>
      </c>
      <c r="J103" s="117">
        <f t="shared" si="224"/>
        <v>4.0000000000000001E-3</v>
      </c>
      <c r="K103" s="117">
        <f>IF($D$4,AD103,T103)</f>
        <v>4.0000000000000001E-3</v>
      </c>
      <c r="L103" s="117">
        <f>IF($D$4,AD103,T103)</f>
        <v>4.0000000000000001E-3</v>
      </c>
      <c r="M103" s="117">
        <f>IF($D$4,AG103,W103)</f>
        <v>0.01</v>
      </c>
      <c r="N103" s="204"/>
      <c r="O103" s="205">
        <f>E103</f>
        <v>5.0000000000000001E-3</v>
      </c>
      <c r="P103" s="205">
        <f>O103</f>
        <v>5.0000000000000001E-3</v>
      </c>
      <c r="Q103" s="196">
        <v>5.0000000000000001E-3</v>
      </c>
      <c r="R103" s="196">
        <f>AVERAGE(Q103,S103)</f>
        <v>5.0000000000000001E-3</v>
      </c>
      <c r="S103" s="36">
        <f>Q103</f>
        <v>5.0000000000000001E-3</v>
      </c>
      <c r="T103" s="36">
        <f>S103</f>
        <v>5.0000000000000001E-3</v>
      </c>
      <c r="U103" s="36">
        <f>S103</f>
        <v>5.0000000000000001E-3</v>
      </c>
      <c r="V103" s="36">
        <f>S103</f>
        <v>5.0000000000000001E-3</v>
      </c>
      <c r="W103" s="36">
        <f>T103</f>
        <v>5.0000000000000001E-3</v>
      </c>
      <c r="X103" s="203"/>
      <c r="Y103" s="3">
        <f t="shared" si="200"/>
        <v>5.0000000000000001E-3</v>
      </c>
      <c r="Z103" s="3">
        <f t="shared" si="201"/>
        <v>5.0000000000000001E-3</v>
      </c>
      <c r="AA103" s="3">
        <f t="shared" si="202"/>
        <v>5.0000000000000001E-3</v>
      </c>
      <c r="AB103" s="3">
        <f t="shared" si="203"/>
        <v>5.0000000000000001E-3</v>
      </c>
      <c r="AC103" s="56">
        <v>3.0000000000000001E-3</v>
      </c>
      <c r="AD103" s="56">
        <v>4.0000000000000001E-3</v>
      </c>
      <c r="AE103" s="56">
        <v>5.0000000000000001E-3</v>
      </c>
      <c r="AF103" s="56">
        <v>7.4999999999999997E-3</v>
      </c>
      <c r="AG103" s="56">
        <v>0.01</v>
      </c>
      <c r="AH103" s="203"/>
      <c r="AI103" s="203"/>
      <c r="AJ103" s="203"/>
      <c r="AK103" s="203"/>
      <c r="AL103" s="203"/>
      <c r="AM103" s="203"/>
      <c r="AN103" s="203"/>
      <c r="AO103" s="203"/>
      <c r="AP103" s="203"/>
      <c r="AQ103" s="203"/>
      <c r="AR103" s="203"/>
      <c r="AS103" s="203"/>
      <c r="AT103" s="203"/>
      <c r="AU103" s="203"/>
      <c r="AV103" s="203"/>
      <c r="AW103" s="203"/>
      <c r="AX103" s="203"/>
      <c r="AY103" s="203"/>
    </row>
    <row r="104" spans="1:51">
      <c r="A104" t="s">
        <v>16</v>
      </c>
      <c r="C104" t="str">
        <f>C100</f>
        <v>Bus, minibus, metro rail</v>
      </c>
      <c r="D104" t="s">
        <v>39</v>
      </c>
      <c r="E104" s="24">
        <f t="shared" ref="E104:M104" si="227">1-SUM(E102:E103)</f>
        <v>0.99</v>
      </c>
      <c r="F104" s="24">
        <f t="shared" si="227"/>
        <v>0.98499999999999999</v>
      </c>
      <c r="G104" s="24">
        <f t="shared" si="227"/>
        <v>0.98499999999999999</v>
      </c>
      <c r="H104" s="24">
        <f t="shared" si="227"/>
        <v>0.98499999999999999</v>
      </c>
      <c r="I104" s="24">
        <f t="shared" si="227"/>
        <v>0.98699999999999999</v>
      </c>
      <c r="J104" s="24">
        <f t="shared" si="227"/>
        <v>0.98599999999999999</v>
      </c>
      <c r="K104" s="24">
        <f t="shared" ref="K104:L104" si="228">1-SUM(K102:K103)</f>
        <v>0.98599999999999999</v>
      </c>
      <c r="L104" s="24">
        <f t="shared" si="228"/>
        <v>0.98599999999999999</v>
      </c>
      <c r="M104" s="24">
        <f t="shared" si="227"/>
        <v>0.98</v>
      </c>
      <c r="N104" s="204"/>
      <c r="O104" s="24">
        <f t="shared" ref="O104:W104" si="229">1-SUM(O102:O103)</f>
        <v>0.99</v>
      </c>
      <c r="P104" s="24">
        <f t="shared" si="229"/>
        <v>0.98499999999999999</v>
      </c>
      <c r="Q104" s="24">
        <f t="shared" si="229"/>
        <v>0.98499999999999999</v>
      </c>
      <c r="R104" s="24">
        <f t="shared" si="229"/>
        <v>0.98499999999999999</v>
      </c>
      <c r="S104" s="24">
        <f t="shared" si="229"/>
        <v>0.98499999999999999</v>
      </c>
      <c r="T104" s="24">
        <f t="shared" si="229"/>
        <v>0.98499999999999999</v>
      </c>
      <c r="U104" s="24">
        <f t="shared" ref="U104:V104" si="230">1-SUM(U102:U103)</f>
        <v>0.98499999999999999</v>
      </c>
      <c r="V104" s="24">
        <f t="shared" si="230"/>
        <v>0.98499999999999999</v>
      </c>
      <c r="W104" s="24">
        <f t="shared" si="229"/>
        <v>0.98499999999999999</v>
      </c>
      <c r="X104" s="203"/>
      <c r="Y104" s="24">
        <f t="shared" ref="Y104:AB104" si="231">1-SUM(Y102:Y103)</f>
        <v>0.99</v>
      </c>
      <c r="Z104" s="24">
        <f t="shared" si="231"/>
        <v>0.98499999999999999</v>
      </c>
      <c r="AA104" s="24">
        <f t="shared" si="231"/>
        <v>0.98499999999999999</v>
      </c>
      <c r="AB104" s="24">
        <f t="shared" si="231"/>
        <v>0.98499999999999999</v>
      </c>
      <c r="AC104" s="24">
        <f>1-SUM(AC102:AC103)</f>
        <v>0.98699999999999999</v>
      </c>
      <c r="AD104" s="24">
        <f>1-SUM(AD102:AD103)</f>
        <v>0.98599999999999999</v>
      </c>
      <c r="AE104" s="24">
        <f>1-SUM(AE102:AE103)</f>
        <v>0.98499999999999999</v>
      </c>
      <c r="AF104" s="24">
        <f>1-SUM(AF102:AF103)</f>
        <v>0.98250000000000004</v>
      </c>
      <c r="AG104" s="24">
        <f>1-SUM(AG102:AG103)</f>
        <v>0.98</v>
      </c>
      <c r="AH104" s="203"/>
      <c r="AI104" s="203"/>
      <c r="AJ104" s="203"/>
      <c r="AK104" s="203"/>
      <c r="AL104" s="203"/>
      <c r="AM104" s="203"/>
      <c r="AN104" s="203"/>
      <c r="AO104" s="203"/>
      <c r="AP104" s="203"/>
      <c r="AQ104" s="203"/>
      <c r="AR104" s="203"/>
      <c r="AS104" s="203"/>
      <c r="AT104" s="203"/>
      <c r="AU104" s="203"/>
      <c r="AV104" s="203"/>
      <c r="AW104" s="203"/>
      <c r="AX104" s="203"/>
      <c r="AY104" s="203"/>
    </row>
    <row r="105" spans="1:51">
      <c r="A105" t="s">
        <v>16</v>
      </c>
      <c r="C105" s="18"/>
      <c r="E105" s="197"/>
      <c r="G105" s="197"/>
      <c r="I105" s="197"/>
      <c r="J105" s="197"/>
      <c r="K105" s="197"/>
      <c r="L105" s="197"/>
      <c r="M105" s="197"/>
      <c r="N105" s="31"/>
    </row>
    <row r="106" spans="1:51" ht="15.75" thickBot="1">
      <c r="A106" t="s">
        <v>16</v>
      </c>
      <c r="C106" s="13" t="s">
        <v>182</v>
      </c>
      <c r="E106" s="197"/>
      <c r="G106" s="197"/>
      <c r="I106" s="197"/>
      <c r="J106" s="197"/>
      <c r="K106" s="197"/>
      <c r="L106" s="197"/>
      <c r="M106" s="197"/>
      <c r="N106" s="31"/>
    </row>
    <row r="107" spans="1:51">
      <c r="A107" t="s">
        <v>16</v>
      </c>
      <c r="C107" s="18" t="str">
        <f>C54</f>
        <v>Low Income</v>
      </c>
      <c r="D107" t="s">
        <v>161</v>
      </c>
      <c r="E107" s="3">
        <f t="shared" ref="E107:J111" si="232">IF($D$4,Y107,O107)</f>
        <v>0.95104494317767596</v>
      </c>
      <c r="F107" s="3">
        <f t="shared" si="232"/>
        <v>0.95811068480591965</v>
      </c>
      <c r="G107" s="3">
        <f t="shared" si="232"/>
        <v>0.99694052475857964</v>
      </c>
      <c r="H107" s="3">
        <f t="shared" si="232"/>
        <v>1.0138180732411568</v>
      </c>
      <c r="I107" s="3">
        <f t="shared" si="232"/>
        <v>0.89763950685609173</v>
      </c>
      <c r="J107" s="3">
        <f t="shared" si="232"/>
        <v>0.76787527789499399</v>
      </c>
      <c r="K107" s="3">
        <f>IF($D$4,AD107,T107)</f>
        <v>0.76787527789499399</v>
      </c>
      <c r="L107" s="3">
        <f>IF($D$4,AD107,T107)</f>
        <v>0.76787527789499399</v>
      </c>
      <c r="M107" s="3">
        <f>IF($D$4,AG107,W107)</f>
        <v>0.3000726820257904</v>
      </c>
      <c r="N107" s="31"/>
      <c r="O107" s="3">
        <f t="shared" ref="O107:W109" si="233">O25*O13*O30*O41</f>
        <v>0.95104494317767596</v>
      </c>
      <c r="P107" s="3">
        <f t="shared" si="233"/>
        <v>0.95811068480591965</v>
      </c>
      <c r="Q107" s="3">
        <f t="shared" si="233"/>
        <v>0.99694052475857964</v>
      </c>
      <c r="R107" s="3">
        <f t="shared" si="233"/>
        <v>1.0138180732411568</v>
      </c>
      <c r="S107" s="249">
        <f t="shared" si="233"/>
        <v>0.99461441202891065</v>
      </c>
      <c r="T107" s="249">
        <f t="shared" si="233"/>
        <v>0.89561192931330413</v>
      </c>
      <c r="U107" s="249">
        <f t="shared" ref="U107:V107" si="234">U25*U13*U30*U41</f>
        <v>0.75768355513691332</v>
      </c>
      <c r="V107" s="249">
        <f t="shared" si="234"/>
        <v>0.59199840196302089</v>
      </c>
      <c r="W107" s="249">
        <f t="shared" si="233"/>
        <v>0.40821111734841553</v>
      </c>
      <c r="Y107" s="3">
        <f t="shared" ref="Y107:AB111" si="235">O107</f>
        <v>0.95104494317767596</v>
      </c>
      <c r="Z107" s="3">
        <f t="shared" si="235"/>
        <v>0.95811068480591965</v>
      </c>
      <c r="AA107" s="3">
        <f t="shared" si="235"/>
        <v>0.99694052475857964</v>
      </c>
      <c r="AB107" s="3">
        <f t="shared" si="235"/>
        <v>1.0138180732411568</v>
      </c>
      <c r="AC107" s="249">
        <f t="shared" ref="AC107:AG109" si="236">AC25*AC13*AC30*AC41</f>
        <v>0.89763950685609173</v>
      </c>
      <c r="AD107" s="249">
        <f t="shared" si="236"/>
        <v>0.76787527789499399</v>
      </c>
      <c r="AE107" s="249">
        <f t="shared" ref="AE107:AF107" si="237">AE25*AE13*AE30*AE41</f>
        <v>0.61713799118123536</v>
      </c>
      <c r="AF107" s="249">
        <f t="shared" si="237"/>
        <v>0.48218639838889277</v>
      </c>
      <c r="AG107" s="249">
        <f t="shared" si="236"/>
        <v>0.3000726820257904</v>
      </c>
    </row>
    <row r="108" spans="1:51">
      <c r="A108" t="s">
        <v>16</v>
      </c>
      <c r="C108" s="18" t="str">
        <f>C55</f>
        <v>Middle Income</v>
      </c>
      <c r="D108" t="s">
        <v>161</v>
      </c>
      <c r="E108" s="3">
        <f t="shared" si="232"/>
        <v>34.197290035069827</v>
      </c>
      <c r="F108" s="3">
        <f t="shared" si="232"/>
        <v>36.069073018912839</v>
      </c>
      <c r="G108" s="3">
        <f t="shared" si="232"/>
        <v>37.904058592062199</v>
      </c>
      <c r="H108" s="3">
        <f t="shared" si="232"/>
        <v>36.063632167515003</v>
      </c>
      <c r="I108" s="3">
        <f t="shared" si="232"/>
        <v>35.663657740826288</v>
      </c>
      <c r="J108" s="3">
        <f t="shared" si="232"/>
        <v>36.907593024042768</v>
      </c>
      <c r="K108" s="3">
        <f>IF($D$4,AD108,T108)</f>
        <v>36.907593024042768</v>
      </c>
      <c r="L108" s="3">
        <f>IF($D$4,AD108,T108)</f>
        <v>36.907593024042768</v>
      </c>
      <c r="M108" s="3">
        <f>IF($D$4,AG108,W108)</f>
        <v>46.414913041891673</v>
      </c>
      <c r="N108" s="31"/>
      <c r="O108" s="3">
        <f t="shared" si="233"/>
        <v>34.197290035069827</v>
      </c>
      <c r="P108" s="3">
        <f t="shared" si="233"/>
        <v>36.069073018912839</v>
      </c>
      <c r="Q108" s="3">
        <f t="shared" si="233"/>
        <v>37.904058592062199</v>
      </c>
      <c r="R108" s="3">
        <f t="shared" si="233"/>
        <v>36.063632167515003</v>
      </c>
      <c r="S108" s="249">
        <f t="shared" si="233"/>
        <v>41.596335023561807</v>
      </c>
      <c r="T108" s="249">
        <f t="shared" si="233"/>
        <v>47.697728433692241</v>
      </c>
      <c r="U108" s="249">
        <f t="shared" ref="U108:V108" si="238">U26*U14*U31*U42</f>
        <v>54.883172837697913</v>
      </c>
      <c r="V108" s="249">
        <f t="shared" si="238"/>
        <v>61.069503505884143</v>
      </c>
      <c r="W108" s="249">
        <f t="shared" si="233"/>
        <v>66.464892110904259</v>
      </c>
      <c r="Y108" s="3">
        <f t="shared" si="235"/>
        <v>34.197290035069827</v>
      </c>
      <c r="Z108" s="3">
        <f t="shared" si="235"/>
        <v>36.069073018912839</v>
      </c>
      <c r="AA108" s="3">
        <f t="shared" si="235"/>
        <v>37.904058592062199</v>
      </c>
      <c r="AB108" s="3">
        <f t="shared" si="235"/>
        <v>36.063632167515003</v>
      </c>
      <c r="AC108" s="249">
        <f t="shared" si="236"/>
        <v>35.663657740826288</v>
      </c>
      <c r="AD108" s="249">
        <f t="shared" si="236"/>
        <v>36.907593024042768</v>
      </c>
      <c r="AE108" s="249">
        <f t="shared" ref="AE108:AF108" si="239">AE26*AE14*AE31*AE42</f>
        <v>42.467552931328413</v>
      </c>
      <c r="AF108" s="249">
        <f t="shared" si="239"/>
        <v>47.254417675442554</v>
      </c>
      <c r="AG108" s="249">
        <f t="shared" si="236"/>
        <v>46.414913041891673</v>
      </c>
    </row>
    <row r="109" spans="1:51">
      <c r="A109" t="s">
        <v>16</v>
      </c>
      <c r="C109" s="18" t="str">
        <f>C56</f>
        <v>High Income</v>
      </c>
      <c r="D109" t="s">
        <v>161</v>
      </c>
      <c r="E109" s="3">
        <f t="shared" si="232"/>
        <v>54.704085477855955</v>
      </c>
      <c r="F109" s="3">
        <f t="shared" si="232"/>
        <v>57.565210586195825</v>
      </c>
      <c r="G109" s="3">
        <f t="shared" si="232"/>
        <v>48.165244164109204</v>
      </c>
      <c r="H109" s="3">
        <f t="shared" si="232"/>
        <v>55.613127090413983</v>
      </c>
      <c r="I109" s="3">
        <f t="shared" si="232"/>
        <v>59.649412379467044</v>
      </c>
      <c r="J109" s="3">
        <f t="shared" si="232"/>
        <v>75.275666308446901</v>
      </c>
      <c r="K109" s="3">
        <f>IF($D$4,AD109,T109)</f>
        <v>75.275666308446901</v>
      </c>
      <c r="L109" s="3">
        <f>IF($D$4,AD109,T109)</f>
        <v>75.275666308446901</v>
      </c>
      <c r="M109" s="3">
        <f>IF($D$4,AG109,W109)</f>
        <v>117.13335678385671</v>
      </c>
      <c r="N109" s="31"/>
      <c r="O109" s="3">
        <f t="shared" si="233"/>
        <v>54.704085477855955</v>
      </c>
      <c r="P109" s="3">
        <f t="shared" si="233"/>
        <v>57.565210586195825</v>
      </c>
      <c r="Q109" s="3">
        <f t="shared" si="233"/>
        <v>48.165244164109204</v>
      </c>
      <c r="R109" s="3">
        <f t="shared" si="233"/>
        <v>55.613127090413983</v>
      </c>
      <c r="S109" s="249">
        <f t="shared" si="233"/>
        <v>69.572138655159137</v>
      </c>
      <c r="T109" s="249">
        <f t="shared" si="233"/>
        <v>97.282916469426368</v>
      </c>
      <c r="U109" s="249">
        <f t="shared" ref="U109:V109" si="240">U27*U15*U32*U43</f>
        <v>132.67270427849095</v>
      </c>
      <c r="V109" s="249">
        <f t="shared" si="240"/>
        <v>151.04410631642196</v>
      </c>
      <c r="W109" s="249">
        <f t="shared" si="233"/>
        <v>167.73177866778568</v>
      </c>
      <c r="Y109" s="3">
        <f t="shared" si="235"/>
        <v>54.704085477855955</v>
      </c>
      <c r="Z109" s="3">
        <f t="shared" si="235"/>
        <v>57.565210586195825</v>
      </c>
      <c r="AA109" s="3">
        <f t="shared" si="235"/>
        <v>48.165244164109204</v>
      </c>
      <c r="AB109" s="3">
        <f t="shared" si="235"/>
        <v>55.613127090413983</v>
      </c>
      <c r="AC109" s="249">
        <f t="shared" si="236"/>
        <v>59.649412379467044</v>
      </c>
      <c r="AD109" s="249">
        <f t="shared" si="236"/>
        <v>75.275666308446901</v>
      </c>
      <c r="AE109" s="249">
        <f t="shared" ref="AE109:AF109" si="241">AE27*AE15*AE32*AE43</f>
        <v>102.65960949727096</v>
      </c>
      <c r="AF109" s="249">
        <f t="shared" si="241"/>
        <v>116.87505018937063</v>
      </c>
      <c r="AG109" s="249">
        <f t="shared" si="236"/>
        <v>117.13335678385671</v>
      </c>
    </row>
    <row r="110" spans="1:51">
      <c r="A110" t="s">
        <v>16</v>
      </c>
      <c r="C110" s="18" t="str">
        <f>C57</f>
        <v>Other (gov/company/car rental)</v>
      </c>
      <c r="D110" t="s">
        <v>161</v>
      </c>
      <c r="E110" s="3">
        <f t="shared" si="232"/>
        <v>11.069999999999999</v>
      </c>
      <c r="F110" s="3">
        <f t="shared" si="232"/>
        <v>11.17821196363794</v>
      </c>
      <c r="G110" s="3">
        <f t="shared" si="232"/>
        <v>10.819193604037091</v>
      </c>
      <c r="H110" s="3">
        <f t="shared" si="232"/>
        <v>11.073637640042646</v>
      </c>
      <c r="I110" s="3">
        <f t="shared" si="232"/>
        <v>11.310639302337838</v>
      </c>
      <c r="J110" s="3">
        <f t="shared" si="232"/>
        <v>12.465190011768271</v>
      </c>
      <c r="K110" s="3">
        <f>IF($D$4,AD110,T110)</f>
        <v>12.465190011768271</v>
      </c>
      <c r="L110" s="3">
        <f>IF($D$4,AD110,T110)</f>
        <v>12.465190011768271</v>
      </c>
      <c r="M110" s="3">
        <f>IF($D$4,AG110,W110)</f>
        <v>13.301425784422683</v>
      </c>
      <c r="N110" s="32"/>
      <c r="O110" s="3">
        <f t="shared" ref="O110:W110" si="242">O50</f>
        <v>11.069999999999999</v>
      </c>
      <c r="P110" s="3">
        <f t="shared" si="242"/>
        <v>11.17821196363794</v>
      </c>
      <c r="Q110" s="3">
        <f t="shared" si="242"/>
        <v>10.819193604037091</v>
      </c>
      <c r="R110" s="3">
        <f t="shared" si="242"/>
        <v>11.073637640042646</v>
      </c>
      <c r="S110" s="249">
        <f t="shared" si="242"/>
        <v>11.887241558431914</v>
      </c>
      <c r="T110" s="249">
        <f t="shared" si="242"/>
        <v>14.288322083551362</v>
      </c>
      <c r="U110" s="249">
        <f t="shared" ref="U110:V110" si="243">U50</f>
        <v>17.712710192019518</v>
      </c>
      <c r="V110" s="249">
        <f t="shared" si="243"/>
        <v>17.712710192019518</v>
      </c>
      <c r="W110" s="249">
        <f t="shared" si="242"/>
        <v>16.081556155517671</v>
      </c>
      <c r="Y110" s="3">
        <f t="shared" si="235"/>
        <v>11.069999999999999</v>
      </c>
      <c r="Z110" s="3">
        <f t="shared" si="235"/>
        <v>11.17821196363794</v>
      </c>
      <c r="AA110" s="3">
        <f t="shared" si="235"/>
        <v>10.819193604037091</v>
      </c>
      <c r="AB110" s="3">
        <f t="shared" si="235"/>
        <v>11.073637640042646</v>
      </c>
      <c r="AC110" s="249">
        <f>AC50</f>
        <v>11.310639302337838</v>
      </c>
      <c r="AD110" s="249">
        <f>AD50</f>
        <v>12.465190011768271</v>
      </c>
      <c r="AE110" s="249">
        <f>AE50</f>
        <v>13.889475503866946</v>
      </c>
      <c r="AF110" s="249">
        <f>AF50</f>
        <v>13.889475503866946</v>
      </c>
      <c r="AG110" s="249">
        <f>AG50</f>
        <v>13.301425784422683</v>
      </c>
    </row>
    <row r="111" spans="1:51">
      <c r="A111" t="s">
        <v>16</v>
      </c>
      <c r="C111" s="18" t="s">
        <v>5</v>
      </c>
      <c r="D111" t="s">
        <v>161</v>
      </c>
      <c r="E111" s="3">
        <f t="shared" si="232"/>
        <v>100.92242045610345</v>
      </c>
      <c r="F111" s="3">
        <f t="shared" si="232"/>
        <v>105.77060625355251</v>
      </c>
      <c r="G111" s="3">
        <f t="shared" si="232"/>
        <v>97.885436884967078</v>
      </c>
      <c r="H111" s="3">
        <f t="shared" si="232"/>
        <v>103.76421497121279</v>
      </c>
      <c r="I111" s="3">
        <f t="shared" si="232"/>
        <v>107.52134892948726</v>
      </c>
      <c r="J111" s="3">
        <f t="shared" si="232"/>
        <v>125.41632462215293</v>
      </c>
      <c r="K111" s="3">
        <f>IF($D$4,AD111,T111)</f>
        <v>125.41632462215293</v>
      </c>
      <c r="L111" s="3">
        <f>IF($D$4,AD111,T111)</f>
        <v>125.41632462215293</v>
      </c>
      <c r="M111" s="3">
        <f>IF($D$4,AG111,W111)</f>
        <v>177.14976829219688</v>
      </c>
      <c r="N111" s="31"/>
      <c r="O111" s="3">
        <f t="shared" ref="O111:W111" si="244">SUM(O107:O110)</f>
        <v>100.92242045610345</v>
      </c>
      <c r="P111" s="3">
        <f t="shared" si="244"/>
        <v>105.77060625355251</v>
      </c>
      <c r="Q111" s="3">
        <f t="shared" si="244"/>
        <v>97.885436884967078</v>
      </c>
      <c r="R111" s="3">
        <f t="shared" si="244"/>
        <v>103.76421497121279</v>
      </c>
      <c r="S111" s="249">
        <f t="shared" si="244"/>
        <v>124.05032964918176</v>
      </c>
      <c r="T111" s="249">
        <f t="shared" si="244"/>
        <v>160.16457891598327</v>
      </c>
      <c r="U111" s="249">
        <f t="shared" ref="U111:V111" si="245">SUM(U107:U110)</f>
        <v>206.0262708633453</v>
      </c>
      <c r="V111" s="249">
        <f t="shared" si="245"/>
        <v>230.41831841628866</v>
      </c>
      <c r="W111" s="249">
        <f t="shared" si="244"/>
        <v>250.68643805155602</v>
      </c>
      <c r="Y111" s="3">
        <f t="shared" si="235"/>
        <v>100.92242045610345</v>
      </c>
      <c r="Z111" s="3">
        <f t="shared" si="235"/>
        <v>105.77060625355251</v>
      </c>
      <c r="AA111" s="3">
        <f t="shared" si="235"/>
        <v>97.885436884967078</v>
      </c>
      <c r="AB111" s="3">
        <f t="shared" si="235"/>
        <v>103.76421497121279</v>
      </c>
      <c r="AC111" s="249">
        <f>SUM(AC107:AC110)</f>
        <v>107.52134892948726</v>
      </c>
      <c r="AD111" s="249">
        <f>SUM(AD107:AD110)</f>
        <v>125.41632462215293</v>
      </c>
      <c r="AE111" s="249">
        <f>SUM(AE107:AE110)</f>
        <v>159.63377592364756</v>
      </c>
      <c r="AF111" s="249">
        <f>SUM(AF107:AF110)</f>
        <v>178.50112976706902</v>
      </c>
      <c r="AG111" s="249">
        <f>SUM(AG107:AG110)</f>
        <v>177.14976829219688</v>
      </c>
    </row>
    <row r="112" spans="1:51">
      <c r="A112" t="s">
        <v>16</v>
      </c>
      <c r="C112" s="18"/>
      <c r="E112" s="198">
        <f t="shared" ref="E112:J112" si="246">SUM(E149:E151)</f>
        <v>104.81558613918145</v>
      </c>
      <c r="F112" s="198">
        <f t="shared" si="246"/>
        <v>105.77060625355251</v>
      </c>
      <c r="G112" s="198">
        <f t="shared" si="246"/>
        <v>97.885436884967078</v>
      </c>
      <c r="H112" s="198">
        <f t="shared" si="246"/>
        <v>103.76421497121278</v>
      </c>
      <c r="I112" s="198">
        <f t="shared" si="246"/>
        <v>107.52134892948725</v>
      </c>
      <c r="J112" s="198">
        <f t="shared" si="246"/>
        <v>125.41632462215291</v>
      </c>
      <c r="K112" s="198">
        <f>SUM(K149:K151)</f>
        <v>159.63377592364753</v>
      </c>
      <c r="L112" s="198">
        <f>SUM(L149:L151)</f>
        <v>178.50112976706899</v>
      </c>
      <c r="M112" s="198">
        <f>SUM(M149:M151)</f>
        <v>177.14976829219688</v>
      </c>
      <c r="N112" s="31"/>
      <c r="O112">
        <v>104.81558613918145</v>
      </c>
    </row>
    <row r="113" spans="1:51" ht="15.75" thickBot="1">
      <c r="A113" t="s">
        <v>16</v>
      </c>
      <c r="C113" s="13" t="s">
        <v>170</v>
      </c>
      <c r="E113" s="243">
        <f t="shared" ref="E113:M113" si="247">E$12</f>
        <v>2017</v>
      </c>
      <c r="F113" s="243">
        <f t="shared" si="247"/>
        <v>2019</v>
      </c>
      <c r="G113" s="243">
        <f t="shared" si="247"/>
        <v>2020</v>
      </c>
      <c r="H113" s="243">
        <f t="shared" si="247"/>
        <v>2021</v>
      </c>
      <c r="I113" s="243">
        <f t="shared" si="247"/>
        <v>2030</v>
      </c>
      <c r="J113" s="243">
        <f t="shared" si="247"/>
        <v>2040</v>
      </c>
      <c r="K113" s="243">
        <f t="shared" si="247"/>
        <v>2050</v>
      </c>
      <c r="L113" s="243">
        <f t="shared" si="247"/>
        <v>2060</v>
      </c>
      <c r="M113" s="243">
        <f t="shared" si="247"/>
        <v>2070</v>
      </c>
      <c r="N113" s="31"/>
      <c r="O113" s="243">
        <f t="shared" si="149"/>
        <v>2017</v>
      </c>
      <c r="P113" s="243">
        <f t="shared" si="149"/>
        <v>2019</v>
      </c>
      <c r="Q113" s="243">
        <f t="shared" si="149"/>
        <v>2020</v>
      </c>
      <c r="R113" s="243">
        <f t="shared" si="149"/>
        <v>2021</v>
      </c>
      <c r="S113" s="243">
        <f t="shared" si="149"/>
        <v>2030</v>
      </c>
      <c r="T113" s="243">
        <f t="shared" si="149"/>
        <v>2040</v>
      </c>
      <c r="U113" s="243">
        <f t="shared" si="149"/>
        <v>2050</v>
      </c>
      <c r="V113" s="243">
        <f t="shared" si="149"/>
        <v>2060</v>
      </c>
      <c r="W113" s="243">
        <f t="shared" si="149"/>
        <v>2070</v>
      </c>
    </row>
    <row r="114" spans="1:51">
      <c r="A114" t="s">
        <v>16</v>
      </c>
      <c r="C114" s="29" t="str">
        <f>C93</f>
        <v>Low Income</v>
      </c>
      <c r="E114" s="3"/>
      <c r="F114" s="3"/>
      <c r="G114" s="3"/>
      <c r="H114" s="3"/>
      <c r="I114" s="3"/>
      <c r="J114" s="3"/>
      <c r="K114" s="3"/>
      <c r="L114" s="3"/>
      <c r="M114" s="3"/>
      <c r="N114" s="31"/>
    </row>
    <row r="115" spans="1:51">
      <c r="A115" t="s">
        <v>16</v>
      </c>
      <c r="C115" t="s">
        <v>54</v>
      </c>
      <c r="D115" t="s">
        <v>124</v>
      </c>
      <c r="E115" s="3">
        <f t="shared" ref="E115" si="248">E$64*(1-E$73)*E68*(E75*E78+E93*E94)/1000</f>
        <v>0.61672823758459472</v>
      </c>
      <c r="F115" s="3">
        <f t="shared" ref="F115:H115" si="249">F$64*(1-F$73)*F68*(F75*F78+F93*F94)/1000</f>
        <v>1.2301941755901284</v>
      </c>
      <c r="G115" s="3">
        <f t="shared" si="249"/>
        <v>1.2800508818208238</v>
      </c>
      <c r="H115" s="3">
        <f t="shared" si="249"/>
        <v>1.3017213027552403</v>
      </c>
      <c r="I115" s="3">
        <f>I$64*(1-I$73)*I68*(I75*I78+I93*I94)/1000</f>
        <v>1.122628530616963</v>
      </c>
      <c r="J115" s="3">
        <f>J$64*(1-J$73)*J68*(J75*J78+J93*J94)/1000</f>
        <v>1.0108837073424515</v>
      </c>
      <c r="K115" s="3">
        <f>K$64*(1-K$73)*K68*(K75*K78+K93*K94)/1000</f>
        <v>1.0108837073424515</v>
      </c>
      <c r="L115" s="3">
        <f>L$64*(1-L$73)*L68*(L75*L78+L93*L94)/1000</f>
        <v>1.0108837073424515</v>
      </c>
      <c r="M115" s="3">
        <f>M$64*(1-M$73)*M68*(M75*M78+M93*M94)/1000</f>
        <v>0.46075086114581626</v>
      </c>
      <c r="N115" s="204"/>
      <c r="O115" s="3">
        <f t="shared" ref="O115:R115" si="250">O$64*(1-O$73)*O68*(O75*O78+O93*O94)/1000</f>
        <v>0.61672823758459472</v>
      </c>
      <c r="P115" s="3">
        <f t="shared" si="250"/>
        <v>1.2301941755901284</v>
      </c>
      <c r="Q115" s="3">
        <f t="shared" si="250"/>
        <v>1.2800508818208238</v>
      </c>
      <c r="R115" s="3">
        <f t="shared" si="250"/>
        <v>1.3017213027552403</v>
      </c>
      <c r="S115" s="249">
        <f>S$64*(1-S$73)*S68*(S75*S78+S93*S94)/1000</f>
        <v>1.2770642014954872</v>
      </c>
      <c r="T115" s="249">
        <f>T$64*(1-T$73)*T68*(T75*T78+T93*T94)/1000</f>
        <v>1.1499470744900904</v>
      </c>
      <c r="U115" s="249">
        <f>U$64*(1-U$73)*U68*(U75*U78+U93*U94)/1000</f>
        <v>0.9728499131169418</v>
      </c>
      <c r="V115" s="249">
        <f>V$64*(1-V$73)*V68*(V75*V78+V93*V94)/1000</f>
        <v>0.76011362528651372</v>
      </c>
      <c r="W115" s="249">
        <f>W$64*(1-W$73)*W68*(W75*W78+W93*W94)/1000</f>
        <v>0.52413457749391812</v>
      </c>
      <c r="X115" s="203"/>
      <c r="Y115" s="3">
        <f t="shared" ref="Y115:AB117" si="251">O115</f>
        <v>0.61672823758459472</v>
      </c>
      <c r="Z115" s="3">
        <f t="shared" si="251"/>
        <v>1.2301941755901284</v>
      </c>
      <c r="AA115" s="3">
        <f t="shared" si="251"/>
        <v>1.2800508818208238</v>
      </c>
      <c r="AB115" s="3">
        <f t="shared" si="251"/>
        <v>1.3017213027552403</v>
      </c>
      <c r="AC115" s="249">
        <f>AC$64*(1-AC$73)*AC68*(AC75*AC78+AC93*AC94)/1000</f>
        <v>1.122628530616963</v>
      </c>
      <c r="AD115" s="249">
        <f>AD$64*(1-AD$73)*AD68*(AD75*AD78+AD93*AD94)/1000</f>
        <v>1.0108837073424515</v>
      </c>
      <c r="AE115" s="249">
        <f>AE$64*(1-AE$73)*AE68*(AE75*AE78+AE93*AE94)/1000</f>
        <v>0.85520294687954412</v>
      </c>
      <c r="AF115" s="249">
        <f>AF$64*(1-AF$73)*AF68*(AF75*AF78+AF93*AF94)/1000</f>
        <v>0.66819290781000507</v>
      </c>
      <c r="AG115" s="249">
        <f>AG$64*(1-AG$73)*AG68*(AG75*AG78+AG93*AG94)/1000</f>
        <v>0.46075086114581626</v>
      </c>
      <c r="AH115" s="203"/>
      <c r="AI115" s="203"/>
      <c r="AJ115" s="203"/>
      <c r="AK115" s="203"/>
      <c r="AL115" s="203"/>
      <c r="AM115" s="203"/>
      <c r="AN115" s="203"/>
      <c r="AO115" s="203"/>
      <c r="AP115" s="203"/>
      <c r="AQ115" s="203"/>
      <c r="AR115" s="203"/>
      <c r="AS115" s="203"/>
      <c r="AT115" s="203"/>
      <c r="AU115" s="203"/>
      <c r="AV115" s="203"/>
      <c r="AW115" s="203"/>
      <c r="AX115" s="203"/>
      <c r="AY115" s="203"/>
    </row>
    <row r="116" spans="1:51">
      <c r="A116" t="s">
        <v>16</v>
      </c>
      <c r="C116" t="s">
        <v>71</v>
      </c>
      <c r="D116" t="s">
        <v>124</v>
      </c>
      <c r="E116" s="3">
        <f t="shared" ref="E116" si="252">E$64*(1-E$73)*E69*(E75*E79+E93*E95)/1000</f>
        <v>0</v>
      </c>
      <c r="F116" s="3">
        <f t="shared" ref="F116:H116" si="253">F$64*(1-F$73)*F69*(F75*F79+F93*F95)/1000</f>
        <v>1.6568271725119574E-2</v>
      </c>
      <c r="G116" s="3">
        <f t="shared" si="253"/>
        <v>1.7239742516105373E-2</v>
      </c>
      <c r="H116" s="3">
        <f t="shared" si="253"/>
        <v>1.7531600037107617E-2</v>
      </c>
      <c r="I116" s="3">
        <f>I$64*(1-I$73)*I69*(I75*I79+I93*I95)/1000</f>
        <v>0</v>
      </c>
      <c r="J116" s="3">
        <f>J$64*(1-J$73)*J69*(J75*J79+J93*J95)/1000</f>
        <v>0</v>
      </c>
      <c r="K116" s="3">
        <f>K$64*(1-K$73)*K69*(K75*K79+K93*K95)/1000</f>
        <v>0</v>
      </c>
      <c r="L116" s="3">
        <f>L$64*(1-L$73)*L69*(L75*L79+L93*L95)/1000</f>
        <v>0</v>
      </c>
      <c r="M116" s="3">
        <f>M$64*(1-M$73)*M69*(M75*M79+M93*M95)/1000</f>
        <v>0</v>
      </c>
      <c r="N116" s="204"/>
      <c r="O116" s="3">
        <f t="shared" ref="O116:R116" si="254">O$64*(1-O$73)*O69*(O75*O79+O93*O95)/1000</f>
        <v>0</v>
      </c>
      <c r="P116" s="3">
        <f t="shared" si="254"/>
        <v>1.6568271725119574E-2</v>
      </c>
      <c r="Q116" s="3">
        <f t="shared" si="254"/>
        <v>1.7239742516105373E-2</v>
      </c>
      <c r="R116" s="3">
        <f t="shared" si="254"/>
        <v>1.7531600037107617E-2</v>
      </c>
      <c r="S116" s="249">
        <f>S$64*(1-S$73)*S69*(S75*S79+S93*S95)/1000</f>
        <v>1.7199517865259088E-2</v>
      </c>
      <c r="T116" s="249">
        <f>T$64*(1-T$73)*T69*(T75*T79+T93*T95)/1000</f>
        <v>1.5487502686735224E-2</v>
      </c>
      <c r="U116" s="249">
        <f>U$64*(1-U$73)*U69*(U75*U79+U93*U95)/1000</f>
        <v>1.3102355732214705E-2</v>
      </c>
      <c r="V116" s="249">
        <f>V$64*(1-V$73)*V69*(V75*V79+V93*V95)/1000</f>
        <v>1.0237220542579311E-2</v>
      </c>
      <c r="W116" s="249">
        <f>W$64*(1-W$73)*W69*(W75*W79+W93*W95)/1000</f>
        <v>7.0590515487396381E-3</v>
      </c>
      <c r="X116" s="203"/>
      <c r="Y116" s="3">
        <f t="shared" si="251"/>
        <v>0</v>
      </c>
      <c r="Z116" s="3">
        <f t="shared" si="251"/>
        <v>1.6568271725119574E-2</v>
      </c>
      <c r="AA116" s="3">
        <f t="shared" si="251"/>
        <v>1.7239742516105373E-2</v>
      </c>
      <c r="AB116" s="3">
        <f t="shared" si="251"/>
        <v>1.7531600037107617E-2</v>
      </c>
      <c r="AC116" s="249">
        <f>AC$64*(1-AC$73)*AC69*(AC75*AC79+AC93*AC95)/1000</f>
        <v>0</v>
      </c>
      <c r="AD116" s="249">
        <f>AD$64*(1-AD$73)*AD69*(AD75*AD79+AD93*AD95)/1000</f>
        <v>0</v>
      </c>
      <c r="AE116" s="249">
        <f>AE$64*(1-AE$73)*AE69*(AE75*AE79+AE93*AE95)/1000</f>
        <v>0</v>
      </c>
      <c r="AF116" s="249">
        <f>AF$64*(1-AF$73)*AF69*(AF75*AF79+AF93*AF95)/1000</f>
        <v>0</v>
      </c>
      <c r="AG116" s="249">
        <f>AG$64*(1-AG$73)*AG69*(AG75*AG79+AG93*AG95)/1000</f>
        <v>0</v>
      </c>
      <c r="AH116" s="203"/>
      <c r="AI116" s="203"/>
      <c r="AJ116" s="203"/>
      <c r="AK116" s="203"/>
      <c r="AL116" s="203"/>
      <c r="AM116" s="203"/>
      <c r="AN116" s="203"/>
      <c r="AO116" s="203"/>
      <c r="AP116" s="203"/>
      <c r="AQ116" s="203"/>
      <c r="AR116" s="203"/>
      <c r="AS116" s="203"/>
      <c r="AT116" s="203"/>
      <c r="AU116" s="203"/>
      <c r="AV116" s="203"/>
      <c r="AW116" s="203"/>
      <c r="AX116" s="203"/>
      <c r="AY116" s="203"/>
    </row>
    <row r="117" spans="1:51">
      <c r="A117" t="s">
        <v>16</v>
      </c>
      <c r="C117" t="s">
        <v>70</v>
      </c>
      <c r="D117" t="s">
        <v>124</v>
      </c>
      <c r="E117" s="3">
        <f t="shared" ref="E117" si="255">E$64*(1-E$73)*E70*(E75*E80+E93*E96)/1000</f>
        <v>81.434745079098278</v>
      </c>
      <c r="F117" s="3">
        <f t="shared" ref="F117:H117" si="256">F$64*(1-F$73)*F70*(F75*F80+F93*F96)/1000</f>
        <v>71.754556525225468</v>
      </c>
      <c r="G117" s="3">
        <f t="shared" si="256"/>
        <v>74.662590001872275</v>
      </c>
      <c r="H117" s="3">
        <f t="shared" si="256"/>
        <v>75.926578626365711</v>
      </c>
      <c r="I117" s="3">
        <f>I$64*(1-I$73)*I70*(I75*I80+I93*I96)/1000</f>
        <v>74.530411273749081</v>
      </c>
      <c r="J117" s="3">
        <f>J$64*(1-J$73)*J70*(J75*J80+J93*J96)/1000</f>
        <v>67.126126366276992</v>
      </c>
      <c r="K117" s="3">
        <f>K$64*(1-K$73)*K70*(K75*K80+K93*K96)/1000</f>
        <v>67.126126366276992</v>
      </c>
      <c r="L117" s="3">
        <f>L$64*(1-L$73)*L70*(L75*L80+L93*L96)/1000</f>
        <v>67.126126366276992</v>
      </c>
      <c r="M117" s="3">
        <f>M$64*(1-M$73)*M70*(M75*M80+M93*M96)/1000</f>
        <v>30.613171091464601</v>
      </c>
      <c r="N117" s="204"/>
      <c r="O117" s="3">
        <f t="shared" ref="O117:R117" si="257">O$64*(1-O$73)*O70*(O75*O80+O93*O96)/1000</f>
        <v>71.586822418370105</v>
      </c>
      <c r="P117" s="3">
        <f t="shared" si="257"/>
        <v>71.754556525225468</v>
      </c>
      <c r="Q117" s="3">
        <f t="shared" si="257"/>
        <v>74.662590001872275</v>
      </c>
      <c r="R117" s="3">
        <f t="shared" si="257"/>
        <v>75.926578626365711</v>
      </c>
      <c r="S117" s="249">
        <f>S$64*(1-S$73)*S70*(S75*S80+S93*S96)/1000</f>
        <v>74.488383420115085</v>
      </c>
      <c r="T117" s="249">
        <f>T$64*(1-T$73)*T70*(T75*T80+T93*T96)/1000</f>
        <v>67.073917268332593</v>
      </c>
      <c r="U117" s="249">
        <f>U$64*(1-U$73)*U70*(U75*U80+U93*U96)/1000</f>
        <v>56.744224177312425</v>
      </c>
      <c r="V117" s="249">
        <f>V$64*(1-V$73)*V70*(V75*V80+V93*V96)/1000</f>
        <v>44.335778183189184</v>
      </c>
      <c r="W117" s="249">
        <f>W$64*(1-W$73)*W70*(W75*W80+W93*W96)/1000</f>
        <v>30.571632441334987</v>
      </c>
      <c r="X117" s="203"/>
      <c r="Y117" s="3">
        <f t="shared" si="251"/>
        <v>71.586822418370105</v>
      </c>
      <c r="Z117" s="3">
        <f t="shared" si="251"/>
        <v>71.754556525225468</v>
      </c>
      <c r="AA117" s="3">
        <f t="shared" si="251"/>
        <v>74.662590001872275</v>
      </c>
      <c r="AB117" s="3">
        <f t="shared" si="251"/>
        <v>75.926578626365711</v>
      </c>
      <c r="AC117" s="249">
        <f>AC$64*(1-AC$73)*AC70*(AC75*AC80+AC93*AC96)/1000</f>
        <v>74.530411273749081</v>
      </c>
      <c r="AD117" s="249">
        <f>AD$64*(1-AD$73)*AD70*(AD75*AD80+AD93*AD96)/1000</f>
        <v>67.126126366276992</v>
      </c>
      <c r="AE117" s="249">
        <f>AE$64*(1-AE$73)*AE70*(AE75*AE80+AE93*AE96)/1000</f>
        <v>56.799937628074474</v>
      </c>
      <c r="AF117" s="249">
        <f>AF$64*(1-AF$73)*AF70*(AF75*AF80+AF93*AF96)/1000</f>
        <v>44.379308590567518</v>
      </c>
      <c r="AG117" s="249">
        <f>AG$64*(1-AG$73)*AG70*(AG75*AG80+AG93*AG96)/1000</f>
        <v>30.613171091464601</v>
      </c>
      <c r="AH117" s="203"/>
      <c r="AI117" s="203"/>
      <c r="AJ117" s="203"/>
      <c r="AK117" s="203"/>
      <c r="AL117" s="203"/>
      <c r="AM117" s="203"/>
      <c r="AN117" s="203"/>
      <c r="AO117" s="203"/>
      <c r="AP117" s="203"/>
      <c r="AQ117" s="203"/>
      <c r="AR117" s="203"/>
      <c r="AS117" s="203"/>
      <c r="AT117" s="203"/>
      <c r="AU117" s="203"/>
      <c r="AV117" s="203"/>
      <c r="AW117" s="203"/>
      <c r="AX117" s="203"/>
      <c r="AY117" s="203"/>
    </row>
    <row r="118" spans="1:51">
      <c r="A118" t="s">
        <v>16</v>
      </c>
      <c r="C118" s="29" t="str">
        <f>C97</f>
        <v>Middle Income</v>
      </c>
      <c r="E118" s="3"/>
      <c r="F118" s="3"/>
      <c r="G118" s="3"/>
      <c r="H118" s="3"/>
      <c r="I118" s="3"/>
      <c r="J118" s="3"/>
      <c r="K118" s="3"/>
      <c r="L118" s="3"/>
      <c r="M118" s="3"/>
      <c r="N118" s="31"/>
      <c r="O118" s="3"/>
      <c r="P118" s="3"/>
      <c r="Q118" s="3"/>
      <c r="R118" s="3"/>
      <c r="S118" s="3"/>
      <c r="T118" s="3"/>
      <c r="U118" s="3"/>
      <c r="V118" s="3"/>
      <c r="W118" s="3"/>
      <c r="AA118" s="3"/>
      <c r="AC118" s="3"/>
      <c r="AD118" s="3"/>
      <c r="AE118" s="3"/>
      <c r="AF118" s="3"/>
      <c r="AG118" s="3"/>
    </row>
    <row r="119" spans="1:51">
      <c r="A119" t="s">
        <v>16</v>
      </c>
      <c r="C119" t="str">
        <f>C115</f>
        <v>BRT</v>
      </c>
      <c r="D119" t="s">
        <v>124</v>
      </c>
      <c r="E119" s="3">
        <f t="shared" ref="E119" si="258">E$64*(1-E$73)*E68*(E81*E83+E97*E98)/1000</f>
        <v>0.63831372590005553</v>
      </c>
      <c r="F119" s="3">
        <f t="shared" ref="F119:H119" si="259">F$64*(1-F$73)*F68*(F81*F83+F97*F98)/1000</f>
        <v>0.88006760986958676</v>
      </c>
      <c r="G119" s="3">
        <f t="shared" si="259"/>
        <v>0.92484035372856965</v>
      </c>
      <c r="H119" s="3">
        <f t="shared" si="259"/>
        <v>0.87993485577627151</v>
      </c>
      <c r="I119" s="3">
        <f>I$64*(1-I$73)*I68*(I81*I83+I97*I98)/1000</f>
        <v>0.89219434888133609</v>
      </c>
      <c r="J119" s="3">
        <f>J$64*(1-J$73)*J68*(J81*J83+J97*J98)/1000</f>
        <v>1.0230623380379942</v>
      </c>
      <c r="K119" s="3">
        <f>K$64*(1-K$73)*K68*(K81*K83+K97*K98)/1000</f>
        <v>1.0230623380379942</v>
      </c>
      <c r="L119" s="3">
        <f>L$64*(1-L$73)*L68*(L81*L83+L97*L98)/1000</f>
        <v>1.0230623380379942</v>
      </c>
      <c r="M119" s="3">
        <f>M$64*(1-M$73)*M68*(M81*M83+M97*M98)/1000</f>
        <v>1.425596776897937</v>
      </c>
      <c r="N119" s="204"/>
      <c r="O119" s="3">
        <f t="shared" ref="O119:R119" si="260">O$64*(1-O$73)*O68*(O81*O83+O97*O98)/1000</f>
        <v>0.63831372590005553</v>
      </c>
      <c r="P119" s="3">
        <f t="shared" si="260"/>
        <v>0.88006760986958676</v>
      </c>
      <c r="Q119" s="3">
        <f t="shared" si="260"/>
        <v>0.92484035372856965</v>
      </c>
      <c r="R119" s="3">
        <f t="shared" si="260"/>
        <v>0.87993485577627151</v>
      </c>
      <c r="S119" s="249">
        <f>S$64*(1-S$73)*S68*(S81*S83+S97*S98)/1000</f>
        <v>1.0149300794152767</v>
      </c>
      <c r="T119" s="249">
        <f>T$64*(1-T$73)*T68*(T81*T83+T97*T98)/1000</f>
        <v>1.1638010723712633</v>
      </c>
      <c r="U119" s="249">
        <f>U$64*(1-U$73)*U68*(U81*U83+U97*U98)/1000</f>
        <v>1.339122375449062</v>
      </c>
      <c r="V119" s="249">
        <f>V$64*(1-V$73)*V68*(V81*V83+V97*V98)/1000</f>
        <v>1.4900657956517052</v>
      </c>
      <c r="W119" s="249">
        <f>W$64*(1-W$73)*W68*(W81*W83+W97*W98)/1000</f>
        <v>1.621710619222521</v>
      </c>
      <c r="X119" s="203"/>
      <c r="Y119" s="3">
        <f t="shared" ref="Y119:AB121" si="261">O119</f>
        <v>0.63831372590005553</v>
      </c>
      <c r="Z119" s="3">
        <f t="shared" si="261"/>
        <v>0.88006760986958676</v>
      </c>
      <c r="AA119" s="3">
        <f t="shared" si="261"/>
        <v>0.92484035372856965</v>
      </c>
      <c r="AB119" s="3">
        <f t="shared" si="261"/>
        <v>0.87993485577627151</v>
      </c>
      <c r="AC119" s="249">
        <f>AC$64*(1-AC$73)*AC68*(AC81*AC83+AC97*AC98)/1000</f>
        <v>0.89219434888133609</v>
      </c>
      <c r="AD119" s="249">
        <f>AD$64*(1-AD$73)*AD68*(AD81*AD83+AD97*AD98)/1000</f>
        <v>1.0230623380379942</v>
      </c>
      <c r="AE119" s="249">
        <f>AE$64*(1-AE$73)*AE68*(AE81*AE83+AE97*AE98)/1000</f>
        <v>1.1771819951621985</v>
      </c>
      <c r="AF119" s="249">
        <f>AF$64*(1-AF$73)*AF68*(AF81*AF83+AF97*AF98)/1000</f>
        <v>1.3098717924566152</v>
      </c>
      <c r="AG119" s="249">
        <f>AG$64*(1-AG$73)*AG68*(AG81*AG83+AG97*AG98)/1000</f>
        <v>1.425596776897937</v>
      </c>
      <c r="AH119" s="203"/>
      <c r="AI119" s="203"/>
      <c r="AJ119" s="203"/>
      <c r="AK119" s="203"/>
      <c r="AL119" s="203"/>
      <c r="AM119" s="203"/>
      <c r="AN119" s="203"/>
      <c r="AO119" s="203"/>
      <c r="AP119" s="203"/>
      <c r="AQ119" s="203"/>
      <c r="AR119" s="203"/>
      <c r="AS119" s="203"/>
      <c r="AT119" s="203"/>
      <c r="AU119" s="203"/>
      <c r="AV119" s="203"/>
      <c r="AW119" s="203"/>
      <c r="AX119" s="203"/>
      <c r="AY119" s="203"/>
    </row>
    <row r="120" spans="1:51">
      <c r="A120" t="s">
        <v>16</v>
      </c>
      <c r="C120" t="str">
        <f>C116</f>
        <v>Gautrain</v>
      </c>
      <c r="D120" t="s">
        <v>124</v>
      </c>
      <c r="E120" s="3">
        <f t="shared" ref="E120" si="262">E$64*(1-E$73)*E69*(E81*E84+E97*E99)/1000</f>
        <v>0.22250587395208909</v>
      </c>
      <c r="F120" s="3">
        <f t="shared" ref="F120:H120" si="263">F$64*(1-F$73)*F69*(F81*F84+F97*F99)/1000</f>
        <v>0.23468469596522318</v>
      </c>
      <c r="G120" s="3">
        <f t="shared" si="263"/>
        <v>0.24662409432761853</v>
      </c>
      <c r="H120" s="3">
        <f t="shared" si="263"/>
        <v>0.23464929487367245</v>
      </c>
      <c r="I120" s="3">
        <f>I$64*(1-I$73)*I69*(I81*I84+I97*I99)/1000</f>
        <v>0.71708633800755905</v>
      </c>
      <c r="J120" s="3">
        <f>J$64*(1-J$73)*J69*(J81*J84+J97*J99)/1000</f>
        <v>1.5184325323237842</v>
      </c>
      <c r="K120" s="3">
        <f>K$64*(1-K$73)*K69*(K81*K84+K97*K99)/1000</f>
        <v>1.5184325323237842</v>
      </c>
      <c r="L120" s="3">
        <f>L$64*(1-L$73)*L69*(L81*L84+L97*L99)/1000</f>
        <v>1.5184325323237842</v>
      </c>
      <c r="M120" s="3">
        <f>M$64*(1-M$73)*M69*(M81*M84+M97*M99)/1000</f>
        <v>3.6282721009151699</v>
      </c>
      <c r="N120" s="204"/>
      <c r="O120" s="3">
        <f t="shared" ref="O120:R120" si="264">O$64*(1-O$73)*O69*(O81*O84+O97*O99)/1000</f>
        <v>0.22250587395208909</v>
      </c>
      <c r="P120" s="3">
        <f t="shared" si="264"/>
        <v>0.23468469596522318</v>
      </c>
      <c r="Q120" s="3">
        <f t="shared" si="264"/>
        <v>0.24662409432761853</v>
      </c>
      <c r="R120" s="3">
        <f t="shared" si="264"/>
        <v>0.23464929487367245</v>
      </c>
      <c r="S120" s="249">
        <f>S$64*(1-S$73)*S69*(S81*S84+S97*S99)/1000</f>
        <v>0.27064802117740716</v>
      </c>
      <c r="T120" s="249">
        <f>T$64*(1-T$73)*T69*(T81*T84+T97*T99)/1000</f>
        <v>0.31034695263233691</v>
      </c>
      <c r="U120" s="249">
        <f>U$64*(1-U$73)*U69*(U81*U84+U97*U99)/1000</f>
        <v>0.35709930011974989</v>
      </c>
      <c r="V120" s="249">
        <f>V$64*(1-V$73)*V69*(V81*V84+V97*V99)/1000</f>
        <v>0.39735087884045472</v>
      </c>
      <c r="W120" s="249">
        <f>W$64*(1-W$73)*W69*(W81*W84+W97*W99)/1000</f>
        <v>0.43245616512600571</v>
      </c>
      <c r="X120" s="203"/>
      <c r="Y120" s="3">
        <f t="shared" si="261"/>
        <v>0.22250587395208909</v>
      </c>
      <c r="Z120" s="3">
        <f t="shared" si="261"/>
        <v>0.23468469596522318</v>
      </c>
      <c r="AA120" s="3">
        <f t="shared" si="261"/>
        <v>0.24662409432761853</v>
      </c>
      <c r="AB120" s="3">
        <f t="shared" si="261"/>
        <v>0.23464929487367245</v>
      </c>
      <c r="AC120" s="249">
        <f>AC$64*(1-AC$73)*AC69*(AC81*AC84+AC97*AC99)/1000</f>
        <v>0.71708633800755905</v>
      </c>
      <c r="AD120" s="249">
        <f>AD$64*(1-AD$73)*AD69*(AD81*AD84+AD97*AD99)/1000</f>
        <v>1.5184325323237842</v>
      </c>
      <c r="AE120" s="249">
        <f>AE$64*(1-AE$73)*AE69*(AE81*AE84+AE97*AE99)/1000</f>
        <v>2.5798257339178288</v>
      </c>
      <c r="AF120" s="249">
        <f>AF$64*(1-AF$73)*AF69*(AF81*AF84+AF97*AF99)/1000</f>
        <v>2.9617292787271112</v>
      </c>
      <c r="AG120" s="249">
        <f>AG$64*(1-AG$73)*AG69*(AG81*AG84+AG97*AG99)/1000</f>
        <v>3.6282721009151699</v>
      </c>
      <c r="AH120" s="203"/>
      <c r="AI120" s="203"/>
      <c r="AJ120" s="203"/>
      <c r="AK120" s="203"/>
      <c r="AL120" s="203"/>
      <c r="AM120" s="203"/>
      <c r="AN120" s="203"/>
      <c r="AO120" s="203"/>
      <c r="AP120" s="203"/>
      <c r="AQ120" s="203"/>
      <c r="AR120" s="203"/>
      <c r="AS120" s="203"/>
      <c r="AT120" s="203"/>
      <c r="AU120" s="203"/>
      <c r="AV120" s="203"/>
      <c r="AW120" s="203"/>
      <c r="AX120" s="203"/>
      <c r="AY120" s="203"/>
    </row>
    <row r="121" spans="1:51">
      <c r="A121" t="s">
        <v>16</v>
      </c>
      <c r="C121" t="str">
        <f>C117</f>
        <v>Bus, minibus, metro rail</v>
      </c>
      <c r="D121" t="s">
        <v>124</v>
      </c>
      <c r="E121" s="3">
        <f t="shared" ref="E121" si="265">E$64*(1-E$73)*E70*(E81*E85+E97*E100)/1000</f>
        <v>41.262738932037614</v>
      </c>
      <c r="F121" s="3">
        <f t="shared" ref="F121:H121" si="266">F$64*(1-F$73)*F70*(F81*F85+F97*F100)/1000</f>
        <v>38.137009704222031</v>
      </c>
      <c r="G121" s="3">
        <f t="shared" si="266"/>
        <v>40.077199921298309</v>
      </c>
      <c r="H121" s="3">
        <f t="shared" si="266"/>
        <v>38.131256914222426</v>
      </c>
      <c r="I121" s="3">
        <f>I$64*(1-I$73)*I70*(I81*I85+I97*I100)/1000</f>
        <v>45.850248850596692</v>
      </c>
      <c r="J121" s="3">
        <f>J$64*(1-J$73)*J70*(J81*J85+J97*J100)/1000</f>
        <v>53.644727592486696</v>
      </c>
      <c r="K121" s="3">
        <f>K$64*(1-K$73)*K70*(K81*K85+K97*K100)/1000</f>
        <v>53.644727592486696</v>
      </c>
      <c r="L121" s="3">
        <f>L$64*(1-L$73)*L70*(L81*L85+L97*L100)/1000</f>
        <v>53.644727592486696</v>
      </c>
      <c r="M121" s="3">
        <f>M$64*(1-M$73)*M70*(M81*M85+M97*M100)/1000</f>
        <v>75.777867057946438</v>
      </c>
      <c r="N121" s="204"/>
      <c r="O121" s="3">
        <f t="shared" ref="O121:R121" si="267">O$64*(1-O$73)*O70*(O81*O85+O97*O100)/1000</f>
        <v>36.272826317000501</v>
      </c>
      <c r="P121" s="3">
        <f t="shared" si="267"/>
        <v>38.137009704222031</v>
      </c>
      <c r="Q121" s="3">
        <f t="shared" si="267"/>
        <v>40.077199921298309</v>
      </c>
      <c r="R121" s="3">
        <f t="shared" si="267"/>
        <v>38.131256914222426</v>
      </c>
      <c r="S121" s="249">
        <f>S$64*(1-S$73)*S70*(S81*S85+S97*S100)/1000</f>
        <v>43.981164462470069</v>
      </c>
      <c r="T121" s="249">
        <f>T$64*(1-T$73)*T70*(T81*T85+T97*T100)/1000</f>
        <v>50.432367119367022</v>
      </c>
      <c r="U121" s="249">
        <f>U$64*(1-U$73)*U70*(U81*U85+U97*U100)/1000</f>
        <v>58.029772320798834</v>
      </c>
      <c r="V121" s="249">
        <f>V$64*(1-V$73)*V70*(V81*V85+V97*V100)/1000</f>
        <v>64.570781916538522</v>
      </c>
      <c r="W121" s="249">
        <f>W$64*(1-W$73)*W70*(W81*W85+W97*W100)/1000</f>
        <v>70.27550261950222</v>
      </c>
      <c r="X121" s="203"/>
      <c r="Y121" s="3">
        <f t="shared" si="261"/>
        <v>36.272826317000501</v>
      </c>
      <c r="Z121" s="3">
        <f t="shared" si="261"/>
        <v>38.137009704222031</v>
      </c>
      <c r="AA121" s="3">
        <f t="shared" si="261"/>
        <v>40.077199921298309</v>
      </c>
      <c r="AB121" s="3">
        <f t="shared" si="261"/>
        <v>38.131256914222426</v>
      </c>
      <c r="AC121" s="249">
        <f>AC$64*(1-AC$73)*AC70*(AC81*AC85+AC97*AC100)/1000</f>
        <v>45.850248850596692</v>
      </c>
      <c r="AD121" s="249">
        <f>AD$64*(1-AD$73)*AD70*(AD81*AD85+AD97*AD100)/1000</f>
        <v>53.644727592486696</v>
      </c>
      <c r="AE121" s="249">
        <f>AE$64*(1-AE$73)*AE70*(AE81*AE85+AE97*AE100)/1000</f>
        <v>61.30973604499016</v>
      </c>
      <c r="AF121" s="249">
        <f>AF$64*(1-AF$73)*AF70*(AF81*AF85+AF97*AF100)/1000</f>
        <v>68.174901983325455</v>
      </c>
      <c r="AG121" s="249">
        <f>AG$64*(1-AG$73)*AG70*(AG81*AG85+AG97*AG100)/1000</f>
        <v>75.777867057946438</v>
      </c>
      <c r="AH121" s="203"/>
      <c r="AI121" s="203"/>
      <c r="AJ121" s="203"/>
      <c r="AK121" s="203"/>
      <c r="AL121" s="203"/>
      <c r="AM121" s="203"/>
      <c r="AN121" s="203"/>
      <c r="AO121" s="203"/>
      <c r="AP121" s="203"/>
      <c r="AQ121" s="203"/>
      <c r="AR121" s="203"/>
      <c r="AS121" s="203"/>
      <c r="AT121" s="203"/>
      <c r="AU121" s="203"/>
      <c r="AV121" s="203"/>
      <c r="AW121" s="203"/>
      <c r="AX121" s="203"/>
      <c r="AY121" s="203"/>
    </row>
    <row r="122" spans="1:51">
      <c r="A122" t="s">
        <v>16</v>
      </c>
      <c r="C122" s="29" t="str">
        <f>C101</f>
        <v>High Income</v>
      </c>
      <c r="E122" s="3"/>
      <c r="F122" s="3"/>
      <c r="G122" s="3"/>
      <c r="H122" s="3"/>
      <c r="I122" s="3"/>
      <c r="J122" s="3"/>
      <c r="K122" s="3"/>
      <c r="L122" s="3"/>
      <c r="M122" s="3"/>
      <c r="N122" s="31"/>
      <c r="O122" s="3"/>
      <c r="P122" s="3"/>
      <c r="Q122" s="3"/>
      <c r="R122" s="3"/>
      <c r="S122" s="3"/>
      <c r="T122" s="3"/>
      <c r="U122" s="3"/>
      <c r="V122" s="3"/>
      <c r="W122" s="3"/>
      <c r="AA122" s="3"/>
      <c r="AC122" s="3"/>
      <c r="AD122" s="3"/>
      <c r="AE122" s="3"/>
      <c r="AF122" s="3"/>
      <c r="AG122" s="3"/>
    </row>
    <row r="123" spans="1:51">
      <c r="A123" t="s">
        <v>16</v>
      </c>
      <c r="C123" t="str">
        <f>C119</f>
        <v>BRT</v>
      </c>
      <c r="D123" t="s">
        <v>124</v>
      </c>
      <c r="E123" s="3">
        <f t="shared" ref="E123" si="268">E$64*(1-E$73)*E68*(E86*E88+E101*E102)/1000</f>
        <v>0.56495760904595693</v>
      </c>
      <c r="F123" s="3">
        <f t="shared" ref="F123:H123" si="269">F$64*(1-F$73)*F68*(F86*F88+F101*F102)/1000</f>
        <v>0.67247691119602993</v>
      </c>
      <c r="G123" s="3">
        <f t="shared" si="269"/>
        <v>0.56792803939135406</v>
      </c>
      <c r="H123" s="3">
        <f t="shared" si="269"/>
        <v>0.64956447370940695</v>
      </c>
      <c r="I123" s="3">
        <f>I$64*(1-I$73)*I68*(I86*I88+I101*I102)/1000</f>
        <v>0.69597687735475611</v>
      </c>
      <c r="J123" s="3">
        <f>J$64*(1-J$73)*J68*(J86*J88+J101*J102)/1000</f>
        <v>0.89078232729649098</v>
      </c>
      <c r="K123" s="3">
        <f>K$64*(1-K$73)*K68*(K86*K88+K101*K102)/1000</f>
        <v>0.89078232729649098</v>
      </c>
      <c r="L123" s="3">
        <f>L$64*(1-L$73)*L68*(L86*L88+L101*L102)/1000</f>
        <v>0.89078232729649098</v>
      </c>
      <c r="M123" s="3">
        <f>M$64*(1-M$73)*M68*(M86*M88+M101*M102)/1000</f>
        <v>1.3297199128150126</v>
      </c>
      <c r="N123" s="204"/>
      <c r="O123" s="3">
        <f t="shared" ref="O123:R123" si="270">O$64*(1-O$73)*O68*(O86*O88+O101*O102)/1000</f>
        <v>0.56495760904595693</v>
      </c>
      <c r="P123" s="3">
        <f t="shared" si="270"/>
        <v>0.67247691119602993</v>
      </c>
      <c r="Q123" s="3">
        <f t="shared" si="270"/>
        <v>0.56792803939135406</v>
      </c>
      <c r="R123" s="3">
        <f t="shared" si="270"/>
        <v>0.64956447370940695</v>
      </c>
      <c r="S123" s="249">
        <f>S$64*(1-S$73)*S68*(S86*S88+S101*S102)/1000</f>
        <v>0.79171972820779135</v>
      </c>
      <c r="T123" s="249">
        <f>T$64*(1-T$73)*T68*(T86*T88+T101*T102)/1000</f>
        <v>1.0133238114748444</v>
      </c>
      <c r="U123" s="249">
        <f>U$64*(1-U$73)*U68*(U86*U88+U101*U102)/1000</f>
        <v>1.1996327279960846</v>
      </c>
      <c r="V123" s="249">
        <f>V$64*(1-V$73)*V68*(V86*V88+V101*V102)/1000</f>
        <v>1.365747794872346</v>
      </c>
      <c r="W123" s="249">
        <f>W$64*(1-W$73)*W68*(W86*W88+W101*W102)/1000</f>
        <v>1.5126443452657552</v>
      </c>
      <c r="X123" s="203"/>
      <c r="Y123" s="3">
        <f t="shared" ref="Y123:AB125" si="271">O123</f>
        <v>0.56495760904595693</v>
      </c>
      <c r="Z123" s="3">
        <f t="shared" si="271"/>
        <v>0.67247691119602993</v>
      </c>
      <c r="AA123" s="3">
        <f t="shared" si="271"/>
        <v>0.56792803939135406</v>
      </c>
      <c r="AB123" s="3">
        <f t="shared" si="271"/>
        <v>0.64956447370940695</v>
      </c>
      <c r="AC123" s="249">
        <f>AC$64*(1-AC$73)*AC68*(AC86*AC88+AC101*AC102)/1000</f>
        <v>0.69597687735475611</v>
      </c>
      <c r="AD123" s="249">
        <f>AD$64*(1-AD$73)*AD68*(AD86*AD88+AD101*AD102)/1000</f>
        <v>0.89078232729649098</v>
      </c>
      <c r="AE123" s="249">
        <f>AE$64*(1-AE$73)*AE68*(AE86*AE88+AE101*AE102)/1000</f>
        <v>1.0545608632151622</v>
      </c>
      <c r="AF123" s="249">
        <f>AF$64*(1-AF$73)*AF68*(AF86*AF88+AF101*AF102)/1000</f>
        <v>1.2005875964226669</v>
      </c>
      <c r="AG123" s="249">
        <f>AG$64*(1-AG$73)*AG68*(AG86*AG88+AG101*AG102)/1000</f>
        <v>1.3297199128150126</v>
      </c>
      <c r="AH123" s="203"/>
      <c r="AI123" s="203"/>
      <c r="AJ123" s="203"/>
      <c r="AK123" s="203"/>
      <c r="AL123" s="203"/>
      <c r="AM123" s="203"/>
      <c r="AN123" s="203"/>
      <c r="AO123" s="203"/>
      <c r="AP123" s="203"/>
      <c r="AQ123" s="203"/>
      <c r="AR123" s="203"/>
      <c r="AS123" s="203"/>
      <c r="AT123" s="203"/>
      <c r="AU123" s="203"/>
      <c r="AV123" s="203"/>
      <c r="AW123" s="203"/>
      <c r="AX123" s="203"/>
      <c r="AY123" s="203"/>
    </row>
    <row r="124" spans="1:51">
      <c r="A124" t="s">
        <v>16</v>
      </c>
      <c r="C124" t="str">
        <f>C120</f>
        <v>Gautrain</v>
      </c>
      <c r="D124" t="s">
        <v>124</v>
      </c>
      <c r="E124" s="3">
        <f t="shared" ref="E124" si="272">E$64*(1-E$73)*E69*(E86*E89+E101*E103)/1000</f>
        <v>0.42603549444003685</v>
      </c>
      <c r="F124" s="3">
        <f t="shared" ref="F124:H124" si="273">F$64*(1-F$73)*F69*(F86*F89+F101*F103)/1000</f>
        <v>0.44831794079735332</v>
      </c>
      <c r="G124" s="3">
        <f t="shared" si="273"/>
        <v>0.37861869292756944</v>
      </c>
      <c r="H124" s="3">
        <f t="shared" si="273"/>
        <v>0.43304298247293793</v>
      </c>
      <c r="I124" s="3">
        <f>I$64*(1-I$73)*I69*(I86*I89+I101*I103)/1000</f>
        <v>0.75238987880463182</v>
      </c>
      <c r="J124" s="3">
        <f>J$64*(1-J$73)*J69*(J86*J89+J101*J103)/1000</f>
        <v>0.96908867441998203</v>
      </c>
      <c r="K124" s="3">
        <f>K$64*(1-K$73)*K69*(K86*K89+K101*K103)/1000</f>
        <v>0.96908867441998203</v>
      </c>
      <c r="L124" s="3">
        <f>L$64*(1-L$73)*L69*(L86*L89+L101*L103)/1000</f>
        <v>0.96908867441998203</v>
      </c>
      <c r="M124" s="3">
        <f>M$64*(1-M$73)*M69*(M86*M89+M101*M103)/1000</f>
        <v>2.9405544748632062</v>
      </c>
      <c r="N124" s="204"/>
      <c r="O124" s="3">
        <f t="shared" ref="O124:R124" si="274">O$64*(1-O$73)*O69*(O86*O89+O101*O103)/1000</f>
        <v>0.42603549444003685</v>
      </c>
      <c r="P124" s="3">
        <f t="shared" si="274"/>
        <v>0.44831794079735332</v>
      </c>
      <c r="Q124" s="3">
        <f t="shared" si="274"/>
        <v>0.37861869292756944</v>
      </c>
      <c r="R124" s="3">
        <f t="shared" si="274"/>
        <v>0.43304298247293793</v>
      </c>
      <c r="S124" s="249">
        <f>S$64*(1-S$73)*S69*(S86*S89+S101*S103)/1000</f>
        <v>0.52781315213852753</v>
      </c>
      <c r="T124" s="249">
        <f>T$64*(1-T$73)*T69*(T86*T89+T101*T103)/1000</f>
        <v>0.67554920764989612</v>
      </c>
      <c r="U124" s="249">
        <f>U$64*(1-U$73)*U69*(U86*U89+U101*U103)/1000</f>
        <v>0.79975515199738978</v>
      </c>
      <c r="V124" s="249">
        <f>V$64*(1-V$73)*V69*(V86*V89+V101*V103)/1000</f>
        <v>0.91049852991489744</v>
      </c>
      <c r="W124" s="249">
        <f>W$64*(1-W$73)*W69*(W86*W89+W101*W103)/1000</f>
        <v>1.0084295635105036</v>
      </c>
      <c r="X124" s="203"/>
      <c r="Y124" s="3">
        <f t="shared" si="271"/>
        <v>0.42603549444003685</v>
      </c>
      <c r="Z124" s="3">
        <f t="shared" si="271"/>
        <v>0.44831794079735332</v>
      </c>
      <c r="AA124" s="3">
        <f t="shared" si="271"/>
        <v>0.37861869292756944</v>
      </c>
      <c r="AB124" s="3">
        <f t="shared" si="271"/>
        <v>0.43304298247293793</v>
      </c>
      <c r="AC124" s="249">
        <f>AC$64*(1-AC$73)*AC69*(AC86*AC89+AC101*AC103)/1000</f>
        <v>0.75238987880463182</v>
      </c>
      <c r="AD124" s="249">
        <f>AD$64*(1-AD$73)*AD69*(AD86*AD89+AD101*AD103)/1000</f>
        <v>0.96908867441998203</v>
      </c>
      <c r="AE124" s="249">
        <f>AE$64*(1-AE$73)*AE69*(AE86*AE89+AE101*AE103)/1000</f>
        <v>1.6777607307434002</v>
      </c>
      <c r="AF124" s="249">
        <f>AF$64*(1-AF$73)*AF69*(AF86*AF89+AF101*AF103)/1000</f>
        <v>2.5877016184958554</v>
      </c>
      <c r="AG124" s="249">
        <f>AG$64*(1-AG$73)*AG69*(AG86*AG89+AG101*AG103)/1000</f>
        <v>2.9405544748632062</v>
      </c>
      <c r="AH124" s="203"/>
      <c r="AI124" s="203"/>
      <c r="AJ124" s="203"/>
      <c r="AK124" s="203"/>
      <c r="AL124" s="203"/>
      <c r="AM124" s="203"/>
      <c r="AN124" s="203"/>
      <c r="AO124" s="203"/>
      <c r="AP124" s="203"/>
      <c r="AQ124" s="203"/>
      <c r="AR124" s="203"/>
      <c r="AS124" s="203"/>
      <c r="AT124" s="203"/>
      <c r="AU124" s="203"/>
      <c r="AV124" s="203"/>
      <c r="AW124" s="203"/>
      <c r="AX124" s="203"/>
      <c r="AY124" s="203"/>
    </row>
    <row r="125" spans="1:51">
      <c r="A125" t="s">
        <v>16</v>
      </c>
      <c r="C125" t="str">
        <f>C121</f>
        <v>Bus, minibus, metro rail</v>
      </c>
      <c r="D125" t="s">
        <v>124</v>
      </c>
      <c r="E125" s="3">
        <f t="shared" ref="E125" si="275">E$64*(1-E$73)*E70*(E86*E90+E101*E104)/1000</f>
        <v>19.89548022216918</v>
      </c>
      <c r="F125" s="3">
        <f t="shared" ref="F125:H125" si="276">F$64*(1-F$73)*F70*(F86*F90+F101*F104)/1000</f>
        <v>18.358554630460585</v>
      </c>
      <c r="G125" s="3">
        <f t="shared" si="276"/>
        <v>15.664466943331325</v>
      </c>
      <c r="H125" s="3">
        <f t="shared" si="276"/>
        <v>17.729755428025594</v>
      </c>
      <c r="I125" s="3">
        <f>I$64*(1-I$73)*I70*(I86*I90+I101*I104)/1000</f>
        <v>24.356919168927593</v>
      </c>
      <c r="J125" s="3">
        <f>J$64*(1-J$73)*J70*(J86*J90+J101*J104)/1000</f>
        <v>31.551645720039694</v>
      </c>
      <c r="K125" s="3">
        <f>K$64*(1-K$73)*K70*(K86*K90+K101*K104)/1000</f>
        <v>31.551645720039694</v>
      </c>
      <c r="L125" s="3">
        <f>L$64*(1-L$73)*L70*(L86*L90+L101*L104)/1000</f>
        <v>31.551645720039694</v>
      </c>
      <c r="M125" s="3">
        <f>M$64*(1-M$73)*M70*(M86*M90+M101*M104)/1000</f>
        <v>44.658195837452318</v>
      </c>
      <c r="N125" s="204"/>
      <c r="O125" s="3">
        <f t="shared" ref="O125:R125" si="277">O$64*(1-O$73)*O70*(O86*O90+O101*O104)/1000</f>
        <v>17.489515172046392</v>
      </c>
      <c r="P125" s="3">
        <f t="shared" si="277"/>
        <v>18.358554630460585</v>
      </c>
      <c r="Q125" s="3">
        <f t="shared" si="277"/>
        <v>15.664466943331325</v>
      </c>
      <c r="R125" s="3">
        <f t="shared" si="277"/>
        <v>17.729755428025594</v>
      </c>
      <c r="S125" s="249">
        <f>S$64*(1-S$73)*S70*(S86*S90+S101*S104)/1000</f>
        <v>20.974259076634574</v>
      </c>
      <c r="T125" s="249">
        <f>T$64*(1-T$73)*T70*(T86*T90+T101*T104)/1000</f>
        <v>23.917163281480736</v>
      </c>
      <c r="U125" s="249">
        <f>U$64*(1-U$73)*U70*(U86*U90+U101*U104)/1000</f>
        <v>22.093261166731264</v>
      </c>
      <c r="V125" s="249">
        <f>V$64*(1-V$73)*V70*(V86*V90+V101*V104)/1000</f>
        <v>25.152550456343118</v>
      </c>
      <c r="W125" s="249">
        <f>W$64*(1-W$73)*W70*(W86*W90+W101*W104)/1000</f>
        <v>27.700892525678654</v>
      </c>
      <c r="X125" s="203"/>
      <c r="Y125" s="3">
        <f t="shared" si="271"/>
        <v>17.489515172046392</v>
      </c>
      <c r="Z125" s="3">
        <f t="shared" si="271"/>
        <v>18.358554630460585</v>
      </c>
      <c r="AA125" s="3">
        <f t="shared" si="271"/>
        <v>15.664466943331325</v>
      </c>
      <c r="AB125" s="3">
        <f t="shared" si="271"/>
        <v>17.729755428025594</v>
      </c>
      <c r="AC125" s="249">
        <f>AC$64*(1-AC$73)*AC70*(AC86*AC90+AC101*AC104)/1000</f>
        <v>24.356919168927593</v>
      </c>
      <c r="AD125" s="249">
        <f>AD$64*(1-AD$73)*AD70*(AD86*AD90+AD101*AD104)/1000</f>
        <v>31.551645720039694</v>
      </c>
      <c r="AE125" s="249">
        <f>AE$64*(1-AE$73)*AE70*(AE86*AE90+AE101*AE104)/1000</f>
        <v>32.273540478948284</v>
      </c>
      <c r="AF125" s="249">
        <f>AF$64*(1-AF$73)*AF70*(AF86*AF90+AF101*AF104)/1000</f>
        <v>36.403700029130604</v>
      </c>
      <c r="AG125" s="249">
        <f>AG$64*(1-AG$73)*AG70*(AG86*AG90+AG101*AG104)/1000</f>
        <v>44.658195837452318</v>
      </c>
      <c r="AH125" s="203"/>
      <c r="AI125" s="203"/>
      <c r="AJ125" s="203"/>
      <c r="AK125" s="203"/>
      <c r="AL125" s="203"/>
      <c r="AM125" s="203"/>
      <c r="AN125" s="203"/>
      <c r="AO125" s="203"/>
      <c r="AP125" s="203"/>
      <c r="AQ125" s="203"/>
      <c r="AR125" s="203"/>
      <c r="AS125" s="203"/>
      <c r="AT125" s="203"/>
      <c r="AU125" s="203"/>
      <c r="AV125" s="203"/>
      <c r="AW125" s="203"/>
      <c r="AX125" s="203"/>
      <c r="AY125" s="203"/>
    </row>
    <row r="126" spans="1:51">
      <c r="A126" t="s">
        <v>16</v>
      </c>
      <c r="C126" s="29" t="s">
        <v>5</v>
      </c>
      <c r="E126" s="3"/>
      <c r="F126" s="3"/>
      <c r="G126" s="3"/>
      <c r="H126" s="3"/>
      <c r="I126" s="3"/>
      <c r="J126" s="3"/>
      <c r="K126" s="3"/>
      <c r="L126" s="3"/>
      <c r="M126" s="3"/>
      <c r="N126" s="31"/>
      <c r="O126" s="3"/>
      <c r="P126" s="3"/>
      <c r="Q126" s="3"/>
      <c r="R126" s="3"/>
      <c r="S126" s="3"/>
      <c r="T126" s="3"/>
      <c r="U126" s="3"/>
      <c r="V126" s="3"/>
      <c r="W126" s="3"/>
      <c r="AA126" s="3"/>
      <c r="AC126" s="3"/>
      <c r="AD126" s="3"/>
      <c r="AE126" s="3"/>
      <c r="AF126" s="3"/>
      <c r="AG126" s="3"/>
    </row>
    <row r="127" spans="1:51">
      <c r="A127" t="s">
        <v>16</v>
      </c>
      <c r="C127" t="str">
        <f>C123</f>
        <v>BRT</v>
      </c>
      <c r="D127" t="s">
        <v>124</v>
      </c>
      <c r="E127" s="3">
        <f t="shared" ref="E127:E129" si="278">E115+E119+E123</f>
        <v>1.8199995725306071</v>
      </c>
      <c r="F127" s="3">
        <f t="shared" ref="F127:H127" si="279">F115+F119+F123</f>
        <v>2.7827386966557452</v>
      </c>
      <c r="G127" s="3">
        <f t="shared" si="279"/>
        <v>2.7728192749407472</v>
      </c>
      <c r="H127" s="3">
        <f t="shared" si="279"/>
        <v>2.8312206322409188</v>
      </c>
      <c r="I127" s="3">
        <f t="shared" ref="I127:M129" si="280">I115+I119+I123</f>
        <v>2.7107997568530555</v>
      </c>
      <c r="J127" s="3">
        <f t="shared" si="280"/>
        <v>2.9247283726769364</v>
      </c>
      <c r="K127" s="3">
        <f t="shared" ref="K127:L127" si="281">K115+K119+K123</f>
        <v>2.9247283726769364</v>
      </c>
      <c r="L127" s="3">
        <f t="shared" si="281"/>
        <v>2.9247283726769364</v>
      </c>
      <c r="M127" s="3">
        <f t="shared" si="280"/>
        <v>3.2160675508587655</v>
      </c>
      <c r="N127" s="204"/>
      <c r="O127" s="3">
        <f t="shared" ref="O127:R129" si="282">O115+O119+O123</f>
        <v>1.8199995725306071</v>
      </c>
      <c r="P127" s="3">
        <f t="shared" si="282"/>
        <v>2.7827386966557452</v>
      </c>
      <c r="Q127" s="3">
        <f t="shared" si="282"/>
        <v>2.7728192749407472</v>
      </c>
      <c r="R127" s="3">
        <f t="shared" si="282"/>
        <v>2.8312206322409188</v>
      </c>
      <c r="S127" s="249">
        <f t="shared" ref="S127:W129" si="283">S115+S119+S123</f>
        <v>3.0837140091185553</v>
      </c>
      <c r="T127" s="249">
        <f t="shared" si="283"/>
        <v>3.3270719583361981</v>
      </c>
      <c r="U127" s="249">
        <f t="shared" ref="U127:V127" si="284">U115+U119+U123</f>
        <v>3.5116050165620885</v>
      </c>
      <c r="V127" s="249">
        <f t="shared" si="284"/>
        <v>3.6159272158105646</v>
      </c>
      <c r="W127" s="249">
        <f t="shared" si="283"/>
        <v>3.6584895419821946</v>
      </c>
      <c r="X127" s="203"/>
      <c r="Y127" s="3">
        <f t="shared" ref="Y127:AB128" si="285">O127</f>
        <v>1.8199995725306071</v>
      </c>
      <c r="Z127" s="3">
        <f t="shared" si="285"/>
        <v>2.7827386966557452</v>
      </c>
      <c r="AA127" s="3">
        <f t="shared" si="285"/>
        <v>2.7728192749407472</v>
      </c>
      <c r="AB127" s="3">
        <f t="shared" si="285"/>
        <v>2.8312206322409188</v>
      </c>
      <c r="AC127" s="249">
        <f t="shared" ref="AC127:AG129" si="286">AC115+AC119+AC123</f>
        <v>2.7107997568530555</v>
      </c>
      <c r="AD127" s="249">
        <f t="shared" si="286"/>
        <v>2.9247283726769364</v>
      </c>
      <c r="AE127" s="249">
        <f t="shared" ref="AE127:AF127" si="287">AE115+AE119+AE123</f>
        <v>3.0869458052569048</v>
      </c>
      <c r="AF127" s="249">
        <f t="shared" si="287"/>
        <v>3.1786522966892869</v>
      </c>
      <c r="AG127" s="249">
        <f t="shared" si="286"/>
        <v>3.2160675508587655</v>
      </c>
      <c r="AH127" s="203"/>
      <c r="AI127" s="203"/>
      <c r="AJ127" s="203"/>
      <c r="AK127" s="203"/>
      <c r="AL127" s="203"/>
      <c r="AM127" s="203"/>
      <c r="AN127" s="203"/>
      <c r="AO127" s="203"/>
      <c r="AP127" s="203"/>
      <c r="AQ127" s="203"/>
      <c r="AR127" s="203"/>
      <c r="AS127" s="203"/>
      <c r="AT127" s="203"/>
      <c r="AU127" s="203"/>
      <c r="AV127" s="203"/>
      <c r="AW127" s="203"/>
      <c r="AX127" s="203"/>
      <c r="AY127" s="203"/>
    </row>
    <row r="128" spans="1:51">
      <c r="A128" t="s">
        <v>16</v>
      </c>
      <c r="C128" t="str">
        <f>C124</f>
        <v>Gautrain</v>
      </c>
      <c r="D128" t="s">
        <v>124</v>
      </c>
      <c r="E128" s="3">
        <f t="shared" si="278"/>
        <v>0.64854136839212595</v>
      </c>
      <c r="F128" s="3">
        <f t="shared" ref="F128:H128" si="288">F116+F120+F124</f>
        <v>0.6995709084876961</v>
      </c>
      <c r="G128" s="3">
        <f t="shared" si="288"/>
        <v>0.64248252977129328</v>
      </c>
      <c r="H128" s="3">
        <f t="shared" si="288"/>
        <v>0.68522387738371804</v>
      </c>
      <c r="I128" s="3">
        <f t="shared" si="280"/>
        <v>1.4694762168121909</v>
      </c>
      <c r="J128" s="3">
        <f t="shared" si="280"/>
        <v>2.4875212067437662</v>
      </c>
      <c r="K128" s="3">
        <f t="shared" ref="K128:L128" si="289">K116+K120+K124</f>
        <v>2.4875212067437662</v>
      </c>
      <c r="L128" s="3">
        <f t="shared" si="289"/>
        <v>2.4875212067437662</v>
      </c>
      <c r="M128" s="3">
        <f t="shared" si="280"/>
        <v>6.5688265757783757</v>
      </c>
      <c r="N128" s="204"/>
      <c r="O128" s="3">
        <f t="shared" si="282"/>
        <v>0.64854136839212595</v>
      </c>
      <c r="P128" s="3">
        <f t="shared" si="282"/>
        <v>0.6995709084876961</v>
      </c>
      <c r="Q128" s="3">
        <f t="shared" si="282"/>
        <v>0.64248252977129328</v>
      </c>
      <c r="R128" s="3">
        <f t="shared" si="282"/>
        <v>0.68522387738371804</v>
      </c>
      <c r="S128" s="249">
        <f t="shared" si="283"/>
        <v>0.81566069118119378</v>
      </c>
      <c r="T128" s="249">
        <f t="shared" si="283"/>
        <v>1.0013836629689683</v>
      </c>
      <c r="U128" s="249">
        <f t="shared" ref="U128:V128" si="290">U116+U120+U124</f>
        <v>1.1699568078493543</v>
      </c>
      <c r="V128" s="249">
        <f t="shared" si="290"/>
        <v>1.3180866292979314</v>
      </c>
      <c r="W128" s="249">
        <f t="shared" si="283"/>
        <v>1.447944780185249</v>
      </c>
      <c r="X128" s="203"/>
      <c r="Y128" s="3">
        <f t="shared" si="285"/>
        <v>0.64854136839212595</v>
      </c>
      <c r="Z128" s="3">
        <f t="shared" si="285"/>
        <v>0.6995709084876961</v>
      </c>
      <c r="AA128" s="3">
        <f t="shared" si="285"/>
        <v>0.64248252977129328</v>
      </c>
      <c r="AB128" s="3">
        <f t="shared" si="285"/>
        <v>0.68522387738371804</v>
      </c>
      <c r="AC128" s="249">
        <f t="shared" si="286"/>
        <v>1.4694762168121909</v>
      </c>
      <c r="AD128" s="249">
        <f t="shared" si="286"/>
        <v>2.4875212067437662</v>
      </c>
      <c r="AE128" s="249">
        <f t="shared" ref="AE128:AF128" si="291">AE116+AE120+AE124</f>
        <v>4.2575864646612285</v>
      </c>
      <c r="AF128" s="249">
        <f t="shared" si="291"/>
        <v>5.5494308972229671</v>
      </c>
      <c r="AG128" s="249">
        <f t="shared" si="286"/>
        <v>6.5688265757783757</v>
      </c>
      <c r="AH128" s="203"/>
      <c r="AI128" s="203"/>
      <c r="AJ128" s="203"/>
      <c r="AK128" s="203"/>
      <c r="AL128" s="203"/>
      <c r="AM128" s="203"/>
      <c r="AN128" s="203"/>
      <c r="AO128" s="203"/>
      <c r="AP128" s="203"/>
      <c r="AQ128" s="203"/>
      <c r="AR128" s="203"/>
      <c r="AS128" s="203"/>
      <c r="AT128" s="203"/>
      <c r="AU128" s="203"/>
      <c r="AV128" s="203"/>
      <c r="AW128" s="203"/>
      <c r="AX128" s="203"/>
      <c r="AY128" s="203"/>
    </row>
    <row r="129" spans="1:51">
      <c r="A129" t="s">
        <v>16</v>
      </c>
      <c r="C129" t="str">
        <f>C125</f>
        <v>Bus, minibus, metro rail</v>
      </c>
      <c r="D129" t="s">
        <v>124</v>
      </c>
      <c r="E129" s="3">
        <f t="shared" si="278"/>
        <v>142.59296423330505</v>
      </c>
      <c r="F129" s="3">
        <f t="shared" ref="F129:H129" si="292">F117+F121+F125</f>
        <v>128.25012085990809</v>
      </c>
      <c r="G129" s="3">
        <f t="shared" si="292"/>
        <v>130.4042568665019</v>
      </c>
      <c r="H129" s="3">
        <f t="shared" si="292"/>
        <v>131.78759096861373</v>
      </c>
      <c r="I129" s="3">
        <f t="shared" si="280"/>
        <v>144.73757929327337</v>
      </c>
      <c r="J129" s="3">
        <f t="shared" si="280"/>
        <v>152.32249967880338</v>
      </c>
      <c r="K129" s="3">
        <f t="shared" ref="K129:L129" si="293">K117+K121+K125</f>
        <v>152.32249967880338</v>
      </c>
      <c r="L129" s="3">
        <f t="shared" si="293"/>
        <v>152.32249967880338</v>
      </c>
      <c r="M129" s="3">
        <f t="shared" si="280"/>
        <v>151.04923398686336</v>
      </c>
      <c r="N129" s="204"/>
      <c r="O129" s="3">
        <f t="shared" si="282"/>
        <v>125.34916390741699</v>
      </c>
      <c r="P129" s="3">
        <f t="shared" si="282"/>
        <v>128.25012085990809</v>
      </c>
      <c r="Q129" s="3">
        <f t="shared" si="282"/>
        <v>130.4042568665019</v>
      </c>
      <c r="R129" s="3">
        <f t="shared" si="282"/>
        <v>131.78759096861373</v>
      </c>
      <c r="S129" s="249">
        <f t="shared" si="283"/>
        <v>139.44380695921973</v>
      </c>
      <c r="T129" s="249">
        <f t="shared" si="283"/>
        <v>141.42344766918035</v>
      </c>
      <c r="U129" s="249">
        <f t="shared" ref="U129:V129" si="294">U117+U121+U125</f>
        <v>136.86725766484253</v>
      </c>
      <c r="V129" s="249">
        <f t="shared" si="294"/>
        <v>134.05911055607081</v>
      </c>
      <c r="W129" s="249">
        <f t="shared" si="283"/>
        <v>128.54802758651584</v>
      </c>
      <c r="X129" s="203"/>
      <c r="Y129" s="3">
        <f t="shared" ref="Y129:AB129" si="295">Y117+Y121+Y125</f>
        <v>125.34916390741699</v>
      </c>
      <c r="Z129" s="3">
        <f t="shared" si="295"/>
        <v>128.25012085990809</v>
      </c>
      <c r="AA129" s="3">
        <f t="shared" si="295"/>
        <v>130.4042568665019</v>
      </c>
      <c r="AB129" s="3">
        <f t="shared" si="295"/>
        <v>131.78759096861373</v>
      </c>
      <c r="AC129" s="249">
        <f t="shared" si="286"/>
        <v>144.73757929327337</v>
      </c>
      <c r="AD129" s="249">
        <f t="shared" si="286"/>
        <v>152.32249967880338</v>
      </c>
      <c r="AE129" s="249">
        <f t="shared" ref="AE129:AF129" si="296">AE117+AE121+AE125</f>
        <v>150.38321415201293</v>
      </c>
      <c r="AF129" s="249">
        <f t="shared" si="296"/>
        <v>148.95791060302358</v>
      </c>
      <c r="AG129" s="249">
        <f t="shared" si="286"/>
        <v>151.04923398686336</v>
      </c>
      <c r="AH129" s="203"/>
      <c r="AI129" s="203"/>
      <c r="AJ129" s="203"/>
      <c r="AK129" s="203"/>
      <c r="AL129" s="203"/>
      <c r="AM129" s="203"/>
      <c r="AN129" s="203"/>
      <c r="AO129" s="203"/>
      <c r="AP129" s="203"/>
      <c r="AQ129" s="203"/>
      <c r="AR129" s="203"/>
      <c r="AS129" s="203"/>
      <c r="AT129" s="203"/>
      <c r="AU129" s="203"/>
      <c r="AV129" s="203"/>
      <c r="AW129" s="203"/>
      <c r="AX129" s="203"/>
      <c r="AY129" s="203"/>
    </row>
    <row r="130" spans="1:51">
      <c r="A130" t="s">
        <v>16</v>
      </c>
      <c r="J130"/>
      <c r="N130" s="31"/>
    </row>
    <row r="131" spans="1:51" ht="15.75" thickBot="1">
      <c r="A131" t="s">
        <v>16</v>
      </c>
      <c r="C131" s="13" t="s">
        <v>163</v>
      </c>
      <c r="E131" s="243">
        <f t="shared" ref="E131:M131" si="297">E$12</f>
        <v>2017</v>
      </c>
      <c r="F131" s="243">
        <f t="shared" si="297"/>
        <v>2019</v>
      </c>
      <c r="G131" s="243">
        <f t="shared" si="297"/>
        <v>2020</v>
      </c>
      <c r="H131" s="243">
        <f t="shared" si="297"/>
        <v>2021</v>
      </c>
      <c r="I131" s="243">
        <f t="shared" si="297"/>
        <v>2030</v>
      </c>
      <c r="J131" s="243">
        <f t="shared" si="297"/>
        <v>2040</v>
      </c>
      <c r="K131" s="243">
        <f t="shared" si="297"/>
        <v>2050</v>
      </c>
      <c r="L131" s="243">
        <f t="shared" si="297"/>
        <v>2060</v>
      </c>
      <c r="M131" s="243">
        <f t="shared" si="297"/>
        <v>2070</v>
      </c>
      <c r="N131" s="31"/>
      <c r="O131" s="243">
        <f t="shared" ref="O131:W131" si="298">O$12</f>
        <v>2017</v>
      </c>
      <c r="P131" s="243">
        <f t="shared" si="298"/>
        <v>2019</v>
      </c>
      <c r="Q131" s="243">
        <f t="shared" si="298"/>
        <v>2020</v>
      </c>
      <c r="R131" s="243">
        <f t="shared" si="298"/>
        <v>2021</v>
      </c>
      <c r="S131" s="243">
        <f t="shared" si="298"/>
        <v>2030</v>
      </c>
      <c r="T131" s="243">
        <f t="shared" si="298"/>
        <v>2040</v>
      </c>
      <c r="U131" s="243">
        <f t="shared" si="298"/>
        <v>2050</v>
      </c>
      <c r="V131" s="243">
        <f t="shared" si="298"/>
        <v>2060</v>
      </c>
      <c r="W131" s="243">
        <f t="shared" si="298"/>
        <v>2070</v>
      </c>
      <c r="Y131" s="368" t="s">
        <v>191</v>
      </c>
    </row>
    <row r="132" spans="1:51">
      <c r="A132" t="s">
        <v>16</v>
      </c>
      <c r="C132" s="18" t="s">
        <v>88</v>
      </c>
      <c r="E132" s="196">
        <f t="shared" ref="E132" si="299">1-E133-E134</f>
        <v>0.79999999999999993</v>
      </c>
      <c r="F132" s="3">
        <f t="shared" ref="F132:J134" si="300">IF($D$4,Z132,P132)</f>
        <v>0.79999999999999993</v>
      </c>
      <c r="G132" s="3">
        <f t="shared" si="300"/>
        <v>0.79999999999999993</v>
      </c>
      <c r="H132" s="3">
        <f t="shared" si="300"/>
        <v>0.79999999999999993</v>
      </c>
      <c r="I132" s="3">
        <f t="shared" si="300"/>
        <v>0.79999999999999993</v>
      </c>
      <c r="J132" s="3">
        <f t="shared" si="300"/>
        <v>0.79999999999999993</v>
      </c>
      <c r="K132" s="3">
        <f>IF($D$4,AD132,T132)</f>
        <v>0.79999999999999993</v>
      </c>
      <c r="L132" s="3">
        <f>IF($D$4,AD132,T132)</f>
        <v>0.79999999999999993</v>
      </c>
      <c r="M132" s="3">
        <f>IF($D$4,AG132,W132)</f>
        <v>0.79999999999999993</v>
      </c>
      <c r="N132" s="31"/>
      <c r="O132" s="196">
        <f t="shared" ref="O132" si="301">1-O133-O134</f>
        <v>0.79999999999999993</v>
      </c>
      <c r="P132" s="196">
        <f t="shared" ref="P132:W132" si="302">1-P133-P134</f>
        <v>0.79999999999999993</v>
      </c>
      <c r="Q132" s="196">
        <f t="shared" si="302"/>
        <v>0.79999999999999993</v>
      </c>
      <c r="R132" s="196">
        <f t="shared" si="302"/>
        <v>0.79999999999999993</v>
      </c>
      <c r="S132" s="52">
        <f t="shared" si="302"/>
        <v>0.79999999999999993</v>
      </c>
      <c r="T132" s="52">
        <f t="shared" si="302"/>
        <v>0.79999999999999993</v>
      </c>
      <c r="U132" s="52">
        <f t="shared" ref="U132:V132" si="303">1-U133-U134</f>
        <v>0.79999999999999993</v>
      </c>
      <c r="V132" s="52">
        <f t="shared" si="303"/>
        <v>0.79999999999999993</v>
      </c>
      <c r="W132" s="52">
        <f t="shared" si="302"/>
        <v>0.79999999999999993</v>
      </c>
      <c r="Y132" s="196">
        <f t="shared" ref="Y132:AB134" si="304">O132</f>
        <v>0.79999999999999993</v>
      </c>
      <c r="Z132" s="196">
        <f t="shared" si="304"/>
        <v>0.79999999999999993</v>
      </c>
      <c r="AA132" s="196">
        <f t="shared" si="304"/>
        <v>0.79999999999999993</v>
      </c>
      <c r="AB132" s="196">
        <f t="shared" si="304"/>
        <v>0.79999999999999993</v>
      </c>
      <c r="AC132" s="52">
        <f>1-AC133-AC134</f>
        <v>0.79999999999999993</v>
      </c>
      <c r="AD132" s="52">
        <f>1-AD133-AD134</f>
        <v>0.79999999999999993</v>
      </c>
      <c r="AE132" s="52">
        <f>1-AE133-AE134</f>
        <v>0.79999999999999993</v>
      </c>
      <c r="AF132" s="52">
        <f>1-AF133-AF134</f>
        <v>0.79999999999999993</v>
      </c>
      <c r="AG132" s="52">
        <f>1-AG133-AG134</f>
        <v>0.79999999999999993</v>
      </c>
    </row>
    <row r="133" spans="1:51">
      <c r="A133" t="s">
        <v>16</v>
      </c>
      <c r="C133" s="18" t="s">
        <v>87</v>
      </c>
      <c r="E133" s="330">
        <v>0.17</v>
      </c>
      <c r="F133" s="3">
        <f t="shared" si="300"/>
        <v>0.17</v>
      </c>
      <c r="G133" s="3">
        <f t="shared" si="300"/>
        <v>0.17</v>
      </c>
      <c r="H133" s="3">
        <f t="shared" si="300"/>
        <v>0.17</v>
      </c>
      <c r="I133" s="3">
        <f t="shared" si="300"/>
        <v>0.17</v>
      </c>
      <c r="J133" s="3">
        <f t="shared" si="300"/>
        <v>0.17</v>
      </c>
      <c r="K133" s="3">
        <f>IF($D$4,AD133,T133)</f>
        <v>0.17</v>
      </c>
      <c r="L133" s="3">
        <f>IF($D$4,AD133,T133)</f>
        <v>0.17</v>
      </c>
      <c r="M133" s="3">
        <f>IF($D$4,AG133,W133)</f>
        <v>0.17</v>
      </c>
      <c r="N133" s="31"/>
      <c r="O133" s="277">
        <f>E133</f>
        <v>0.17</v>
      </c>
      <c r="P133" s="196">
        <f t="shared" ref="P133:T133" si="305">O133</f>
        <v>0.17</v>
      </c>
      <c r="Q133" s="196">
        <f t="shared" si="305"/>
        <v>0.17</v>
      </c>
      <c r="R133" s="196">
        <f t="shared" si="305"/>
        <v>0.17</v>
      </c>
      <c r="S133" s="52">
        <f t="shared" si="305"/>
        <v>0.17</v>
      </c>
      <c r="T133" s="52">
        <f t="shared" si="305"/>
        <v>0.17</v>
      </c>
      <c r="U133" s="52">
        <f>S133</f>
        <v>0.17</v>
      </c>
      <c r="V133" s="52">
        <f>S133</f>
        <v>0.17</v>
      </c>
      <c r="W133" s="52">
        <f>T133</f>
        <v>0.17</v>
      </c>
      <c r="Y133" s="196">
        <f t="shared" si="304"/>
        <v>0.17</v>
      </c>
      <c r="Z133" s="196">
        <f t="shared" si="304"/>
        <v>0.17</v>
      </c>
      <c r="AA133" s="196">
        <f t="shared" si="304"/>
        <v>0.17</v>
      </c>
      <c r="AB133" s="196">
        <f t="shared" si="304"/>
        <v>0.17</v>
      </c>
      <c r="AC133" s="332">
        <v>0.17</v>
      </c>
      <c r="AD133" s="332">
        <v>0.17</v>
      </c>
      <c r="AE133" s="333">
        <f>AC133</f>
        <v>0.17</v>
      </c>
      <c r="AF133" s="333">
        <f>AC133</f>
        <v>0.17</v>
      </c>
      <c r="AG133" s="333">
        <f>AD133</f>
        <v>0.17</v>
      </c>
    </row>
    <row r="134" spans="1:51">
      <c r="A134" t="s">
        <v>16</v>
      </c>
      <c r="C134" s="18" t="s">
        <v>164</v>
      </c>
      <c r="E134" s="331">
        <v>0.03</v>
      </c>
      <c r="F134" s="92">
        <f t="shared" si="300"/>
        <v>0.03</v>
      </c>
      <c r="G134" s="92">
        <f t="shared" si="300"/>
        <v>0.03</v>
      </c>
      <c r="H134" s="92">
        <f t="shared" si="300"/>
        <v>0.03</v>
      </c>
      <c r="I134" s="92">
        <f t="shared" si="300"/>
        <v>0.03</v>
      </c>
      <c r="J134" s="92">
        <f t="shared" si="300"/>
        <v>0.03</v>
      </c>
      <c r="K134" s="92">
        <f>IF($D$4,AD134,T134)</f>
        <v>0.03</v>
      </c>
      <c r="L134" s="92">
        <f>IF($D$4,AD134,T134)</f>
        <v>0.03</v>
      </c>
      <c r="M134" s="92">
        <f>IF($D$4,AG134,W134)</f>
        <v>0.03</v>
      </c>
      <c r="N134" s="31"/>
      <c r="O134" s="261">
        <f>E134</f>
        <v>0.03</v>
      </c>
      <c r="P134" s="196">
        <f t="shared" ref="P134:T134" si="306">O134</f>
        <v>0.03</v>
      </c>
      <c r="Q134" s="196">
        <f t="shared" si="306"/>
        <v>0.03</v>
      </c>
      <c r="R134" s="196">
        <f t="shared" si="306"/>
        <v>0.03</v>
      </c>
      <c r="S134" s="52">
        <f t="shared" si="306"/>
        <v>0.03</v>
      </c>
      <c r="T134" s="52">
        <f t="shared" si="306"/>
        <v>0.03</v>
      </c>
      <c r="U134" s="52">
        <f>S134</f>
        <v>0.03</v>
      </c>
      <c r="V134" s="52">
        <f>S134</f>
        <v>0.03</v>
      </c>
      <c r="W134" s="52">
        <f>T134</f>
        <v>0.03</v>
      </c>
      <c r="Y134" s="196">
        <f>O134</f>
        <v>0.03</v>
      </c>
      <c r="Z134" s="196">
        <f t="shared" si="304"/>
        <v>0.03</v>
      </c>
      <c r="AA134" s="196">
        <f t="shared" si="304"/>
        <v>0.03</v>
      </c>
      <c r="AB134" s="196">
        <f t="shared" si="304"/>
        <v>0.03</v>
      </c>
      <c r="AC134" s="333">
        <f>AA134</f>
        <v>0.03</v>
      </c>
      <c r="AD134" s="333">
        <f>AC134</f>
        <v>0.03</v>
      </c>
      <c r="AE134" s="333">
        <f>AC134</f>
        <v>0.03</v>
      </c>
      <c r="AF134" s="333">
        <f>AC134</f>
        <v>0.03</v>
      </c>
      <c r="AG134" s="333">
        <f>AD134</f>
        <v>0.03</v>
      </c>
    </row>
    <row r="135" spans="1:51">
      <c r="A135" t="s">
        <v>16</v>
      </c>
      <c r="C135" s="18"/>
      <c r="E135" s="197"/>
      <c r="G135" s="197"/>
      <c r="I135" s="197"/>
      <c r="J135" s="197"/>
      <c r="K135" s="197"/>
      <c r="L135" s="197"/>
      <c r="M135" s="197"/>
      <c r="N135" s="31"/>
    </row>
    <row r="136" spans="1:51" ht="15.75" thickBot="1">
      <c r="A136" t="s">
        <v>16</v>
      </c>
      <c r="C136" s="13" t="s">
        <v>173</v>
      </c>
      <c r="E136" s="197"/>
      <c r="G136" s="197"/>
      <c r="I136" s="197"/>
      <c r="J136" s="197"/>
      <c r="K136" s="197"/>
      <c r="L136" s="197"/>
      <c r="M136" s="197"/>
      <c r="N136" s="31"/>
    </row>
    <row r="137" spans="1:51">
      <c r="A137" t="s">
        <v>16</v>
      </c>
      <c r="C137" s="18" t="s">
        <v>53</v>
      </c>
      <c r="E137" s="51">
        <v>0.1278</v>
      </c>
      <c r="F137" s="3">
        <f t="shared" ref="F137:J139" si="307">IF($D$4,Z137,P137)</f>
        <v>0.1278</v>
      </c>
      <c r="G137" s="3">
        <f t="shared" si="307"/>
        <v>0.1278</v>
      </c>
      <c r="H137" s="3">
        <f t="shared" si="307"/>
        <v>0.1278</v>
      </c>
      <c r="I137" s="3">
        <f t="shared" si="307"/>
        <v>0.1278</v>
      </c>
      <c r="J137" s="3">
        <f t="shared" si="307"/>
        <v>0.1278</v>
      </c>
      <c r="K137" s="3">
        <f>IF($D$4,AD137,T137)</f>
        <v>0.1278</v>
      </c>
      <c r="L137" s="3">
        <f>IF($D$4,AD137,T137)</f>
        <v>0.1278</v>
      </c>
      <c r="M137" s="3">
        <f>IF($D$4,AG137,W137)</f>
        <v>0.1278</v>
      </c>
      <c r="N137" s="31"/>
      <c r="O137" s="196">
        <f>E137</f>
        <v>0.1278</v>
      </c>
      <c r="P137" s="196">
        <f t="shared" ref="P137:R139" si="308">O137</f>
        <v>0.1278</v>
      </c>
      <c r="Q137" s="196">
        <f t="shared" si="308"/>
        <v>0.1278</v>
      </c>
      <c r="R137" s="196">
        <f t="shared" si="308"/>
        <v>0.1278</v>
      </c>
      <c r="S137" s="52">
        <f>1-S138-S139</f>
        <v>0.12780000000000002</v>
      </c>
      <c r="T137" s="52">
        <f>1-T138-T139</f>
        <v>0.12780000000000002</v>
      </c>
      <c r="U137" s="52">
        <f>1-U138-U139</f>
        <v>0.12780000000000002</v>
      </c>
      <c r="V137" s="52">
        <f>1-V138-V139</f>
        <v>0.12780000000000002</v>
      </c>
      <c r="W137" s="52">
        <f>1-W138-W139</f>
        <v>0.12780000000000002</v>
      </c>
      <c r="Y137" s="196">
        <f t="shared" ref="Y137:AB139" si="309">O137</f>
        <v>0.1278</v>
      </c>
      <c r="Z137" s="196">
        <f t="shared" si="309"/>
        <v>0.1278</v>
      </c>
      <c r="AA137" s="196">
        <f t="shared" si="309"/>
        <v>0.1278</v>
      </c>
      <c r="AB137" s="196">
        <f t="shared" si="309"/>
        <v>0.1278</v>
      </c>
      <c r="AC137" s="52">
        <f>AB137</f>
        <v>0.1278</v>
      </c>
      <c r="AD137" s="52">
        <f t="shared" ref="AD137:AG137" si="310">AC137</f>
        <v>0.1278</v>
      </c>
      <c r="AE137" s="52">
        <f t="shared" si="310"/>
        <v>0.1278</v>
      </c>
      <c r="AF137" s="52">
        <f t="shared" si="310"/>
        <v>0.1278</v>
      </c>
      <c r="AG137" s="52">
        <f t="shared" si="310"/>
        <v>0.1278</v>
      </c>
    </row>
    <row r="138" spans="1:51">
      <c r="A138" t="s">
        <v>16</v>
      </c>
      <c r="C138" s="18" t="s">
        <v>172</v>
      </c>
      <c r="E138" s="51">
        <v>0.80300000000000005</v>
      </c>
      <c r="F138" s="3">
        <f t="shared" si="307"/>
        <v>0.80300000000000005</v>
      </c>
      <c r="G138" s="3">
        <f t="shared" si="307"/>
        <v>0.80300000000000005</v>
      </c>
      <c r="H138" s="3">
        <f t="shared" si="307"/>
        <v>0.80300000000000005</v>
      </c>
      <c r="I138" s="3">
        <f t="shared" si="307"/>
        <v>0.7772</v>
      </c>
      <c r="J138" s="3">
        <f t="shared" si="307"/>
        <v>0.75719999999999998</v>
      </c>
      <c r="K138" s="3">
        <f>IF($D$4,AD138,T138)</f>
        <v>0.75719999999999998</v>
      </c>
      <c r="L138" s="3">
        <f>IF($D$4,AD138,T138)</f>
        <v>0.75719999999999998</v>
      </c>
      <c r="M138" s="3">
        <f>IF($D$4,AG138,W138)</f>
        <v>0.75719999999999998</v>
      </c>
      <c r="N138" s="31"/>
      <c r="O138" s="196">
        <f>E138</f>
        <v>0.80300000000000005</v>
      </c>
      <c r="P138" s="196">
        <f t="shared" si="308"/>
        <v>0.80300000000000005</v>
      </c>
      <c r="Q138" s="196">
        <f t="shared" si="308"/>
        <v>0.80300000000000005</v>
      </c>
      <c r="R138" s="196">
        <f t="shared" si="308"/>
        <v>0.80300000000000005</v>
      </c>
      <c r="S138" s="52">
        <f>Q138</f>
        <v>0.80300000000000005</v>
      </c>
      <c r="T138" s="52">
        <f>S138</f>
        <v>0.80300000000000005</v>
      </c>
      <c r="U138" s="52">
        <f>S138</f>
        <v>0.80300000000000005</v>
      </c>
      <c r="V138" s="52">
        <f>S138</f>
        <v>0.80300000000000005</v>
      </c>
      <c r="W138" s="52">
        <f>T138</f>
        <v>0.80300000000000005</v>
      </c>
      <c r="Y138" s="196">
        <f t="shared" si="309"/>
        <v>0.80300000000000005</v>
      </c>
      <c r="Z138" s="196">
        <f t="shared" si="309"/>
        <v>0.80300000000000005</v>
      </c>
      <c r="AA138" s="196">
        <f t="shared" si="309"/>
        <v>0.80300000000000005</v>
      </c>
      <c r="AB138" s="196">
        <f t="shared" si="309"/>
        <v>0.80300000000000005</v>
      </c>
      <c r="AC138" s="52">
        <f>1-AC137-AC139</f>
        <v>0.7772</v>
      </c>
      <c r="AD138" s="52">
        <f t="shared" ref="AD138:AG138" si="311">1-AD137-AD139</f>
        <v>0.75719999999999998</v>
      </c>
      <c r="AE138" s="52">
        <f t="shared" si="311"/>
        <v>0.75719999999999998</v>
      </c>
      <c r="AF138" s="52">
        <f t="shared" si="311"/>
        <v>0.75719999999999998</v>
      </c>
      <c r="AG138" s="52">
        <f t="shared" si="311"/>
        <v>0.75719999999999998</v>
      </c>
    </row>
    <row r="139" spans="1:51">
      <c r="A139" t="s">
        <v>16</v>
      </c>
      <c r="C139" s="18" t="s">
        <v>174</v>
      </c>
      <c r="E139" s="51">
        <f>1-SUM(G137:G138)</f>
        <v>6.9199999999999928E-2</v>
      </c>
      <c r="F139" s="3">
        <f t="shared" si="307"/>
        <v>6.9199999999999928E-2</v>
      </c>
      <c r="G139" s="3">
        <f t="shared" si="307"/>
        <v>6.9199999999999928E-2</v>
      </c>
      <c r="H139" s="3">
        <f t="shared" si="307"/>
        <v>6.9199999999999928E-2</v>
      </c>
      <c r="I139" s="3">
        <f t="shared" si="307"/>
        <v>9.5000000000000001E-2</v>
      </c>
      <c r="J139" s="3">
        <f t="shared" si="307"/>
        <v>0.115</v>
      </c>
      <c r="K139" s="3">
        <f>IF($D$4,AD139,T139)</f>
        <v>0.115</v>
      </c>
      <c r="L139" s="3">
        <f>IF($D$4,AD139,T139)</f>
        <v>0.115</v>
      </c>
      <c r="M139" s="3">
        <f>IF($D$4,AG139,W139)</f>
        <v>0.115</v>
      </c>
      <c r="N139" s="31"/>
      <c r="O139" s="196">
        <f>1-SUM(Q137:Q138)</f>
        <v>6.9199999999999928E-2</v>
      </c>
      <c r="P139" s="196">
        <f t="shared" si="308"/>
        <v>6.9199999999999928E-2</v>
      </c>
      <c r="Q139" s="196">
        <f t="shared" si="308"/>
        <v>6.9199999999999928E-2</v>
      </c>
      <c r="R139" s="196">
        <f t="shared" si="308"/>
        <v>6.9199999999999928E-2</v>
      </c>
      <c r="S139" s="52">
        <f>Q139</f>
        <v>6.9199999999999928E-2</v>
      </c>
      <c r="T139" s="52">
        <f>S139</f>
        <v>6.9199999999999928E-2</v>
      </c>
      <c r="U139" s="52">
        <f>S139</f>
        <v>6.9199999999999928E-2</v>
      </c>
      <c r="V139" s="52">
        <f>S139</f>
        <v>6.9199999999999928E-2</v>
      </c>
      <c r="W139" s="52">
        <f>T139</f>
        <v>6.9199999999999928E-2</v>
      </c>
      <c r="Y139" s="196">
        <f t="shared" si="309"/>
        <v>6.9199999999999928E-2</v>
      </c>
      <c r="Z139" s="196">
        <f t="shared" si="309"/>
        <v>6.9199999999999928E-2</v>
      </c>
      <c r="AA139" s="196">
        <f t="shared" si="309"/>
        <v>6.9199999999999928E-2</v>
      </c>
      <c r="AB139" s="196">
        <f t="shared" si="309"/>
        <v>6.9199999999999928E-2</v>
      </c>
      <c r="AC139" s="52">
        <v>9.5000000000000001E-2</v>
      </c>
      <c r="AD139" s="52">
        <v>0.115</v>
      </c>
      <c r="AE139" s="59">
        <f>AD139</f>
        <v>0.115</v>
      </c>
      <c r="AF139" s="59">
        <f>AE139</f>
        <v>0.115</v>
      </c>
      <c r="AG139" s="59">
        <f>AF139</f>
        <v>0.115</v>
      </c>
    </row>
    <row r="140" spans="1:51">
      <c r="A140" t="s">
        <v>16</v>
      </c>
      <c r="C140" s="18"/>
      <c r="E140" s="197"/>
      <c r="G140" s="197"/>
      <c r="I140" s="197"/>
      <c r="J140" s="197"/>
      <c r="K140" s="197"/>
      <c r="L140" s="197"/>
      <c r="M140" s="197"/>
      <c r="N140" s="31"/>
    </row>
    <row r="141" spans="1:51" ht="15.75" thickBot="1">
      <c r="A141" t="s">
        <v>16</v>
      </c>
      <c r="C141" s="13" t="s">
        <v>184</v>
      </c>
      <c r="D141" s="213">
        <f>INDEX($W$5:$W$8,MATCH($D$3,$P$5:$P$8,0))</f>
        <v>0</v>
      </c>
      <c r="E141" s="197"/>
      <c r="G141" s="197"/>
      <c r="I141" s="197"/>
      <c r="J141" s="197"/>
      <c r="K141" s="197"/>
      <c r="L141" s="197"/>
      <c r="M141" s="197"/>
      <c r="N141" s="31"/>
      <c r="Y141" t="s">
        <v>192</v>
      </c>
    </row>
    <row r="142" spans="1:51">
      <c r="A142" t="s">
        <v>16</v>
      </c>
      <c r="C142" t="s">
        <v>53</v>
      </c>
      <c r="D142" t="s">
        <v>85</v>
      </c>
      <c r="E142" s="206">
        <v>25</v>
      </c>
      <c r="F142" s="3">
        <f t="shared" ref="F142:J144" si="312">IF($D$4,Z142,P142)</f>
        <v>25</v>
      </c>
      <c r="G142" s="3">
        <f t="shared" si="312"/>
        <v>25</v>
      </c>
      <c r="H142" s="3">
        <f t="shared" si="312"/>
        <v>25</v>
      </c>
      <c r="I142" s="3">
        <f t="shared" si="312"/>
        <v>25</v>
      </c>
      <c r="J142" s="3">
        <f t="shared" si="312"/>
        <v>25</v>
      </c>
      <c r="K142" s="3">
        <f>IF($D$4,AD142,T142)</f>
        <v>25</v>
      </c>
      <c r="L142" s="3">
        <f>IF($D$4,AD142,T142)</f>
        <v>25</v>
      </c>
      <c r="M142" s="3">
        <f>IF($D$4,AG142,W142)</f>
        <v>25</v>
      </c>
      <c r="N142" s="207"/>
      <c r="O142" s="208">
        <f>E142</f>
        <v>25</v>
      </c>
      <c r="P142" s="208">
        <f>O142</f>
        <v>25</v>
      </c>
      <c r="Q142" s="208">
        <f t="shared" ref="Q142:T142" si="313">P142</f>
        <v>25</v>
      </c>
      <c r="R142" s="208">
        <f t="shared" si="313"/>
        <v>25</v>
      </c>
      <c r="S142" s="46">
        <f t="shared" si="313"/>
        <v>25</v>
      </c>
      <c r="T142" s="46">
        <f t="shared" si="313"/>
        <v>25</v>
      </c>
      <c r="U142" s="46">
        <f>S142</f>
        <v>25</v>
      </c>
      <c r="V142" s="46">
        <f t="shared" ref="V142:W144" si="314">S142</f>
        <v>25</v>
      </c>
      <c r="W142" s="46">
        <f t="shared" si="314"/>
        <v>25</v>
      </c>
      <c r="X142" s="209"/>
      <c r="Y142" s="208">
        <f t="shared" ref="Y142:AB144" si="315">O142</f>
        <v>25</v>
      </c>
      <c r="Z142" s="208">
        <f t="shared" si="315"/>
        <v>25</v>
      </c>
      <c r="AA142" s="208">
        <f t="shared" si="315"/>
        <v>25</v>
      </c>
      <c r="AB142" s="208">
        <f t="shared" si="315"/>
        <v>25</v>
      </c>
      <c r="AC142" s="60">
        <f>AA142*(1+$D$141)</f>
        <v>25</v>
      </c>
      <c r="AD142" s="60">
        <f>AC142*(1+$D$141)</f>
        <v>25</v>
      </c>
      <c r="AE142" s="60">
        <f>AC142*(1+$D$141)</f>
        <v>25</v>
      </c>
      <c r="AF142" s="60">
        <f>AC142*(1+$D$141)</f>
        <v>25</v>
      </c>
      <c r="AG142" s="60">
        <f>AD142*(1+$D$141)</f>
        <v>25</v>
      </c>
      <c r="AH142" s="209"/>
      <c r="AI142" s="209"/>
      <c r="AJ142" s="209"/>
      <c r="AK142" s="209"/>
      <c r="AL142" s="209"/>
      <c r="AM142" s="209"/>
      <c r="AN142" s="209"/>
      <c r="AO142" s="209"/>
      <c r="AP142" s="209"/>
      <c r="AQ142" s="209"/>
      <c r="AR142" s="209"/>
      <c r="AS142" s="209"/>
      <c r="AT142" s="209"/>
      <c r="AU142" s="209"/>
      <c r="AV142" s="209"/>
      <c r="AW142" s="209"/>
      <c r="AX142" s="209"/>
      <c r="AY142" s="209"/>
    </row>
    <row r="143" spans="1:51">
      <c r="A143" t="s">
        <v>16</v>
      </c>
      <c r="C143" t="s">
        <v>172</v>
      </c>
      <c r="D143" t="s">
        <v>85</v>
      </c>
      <c r="E143" s="206">
        <v>14</v>
      </c>
      <c r="F143" s="3">
        <f t="shared" si="312"/>
        <v>14</v>
      </c>
      <c r="G143" s="3">
        <f t="shared" si="312"/>
        <v>14</v>
      </c>
      <c r="H143" s="3">
        <f t="shared" si="312"/>
        <v>14</v>
      </c>
      <c r="I143" s="3">
        <f t="shared" si="312"/>
        <v>14</v>
      </c>
      <c r="J143" s="3">
        <f t="shared" si="312"/>
        <v>14</v>
      </c>
      <c r="K143" s="3">
        <f>IF($D$4,AD143,T143)</f>
        <v>14</v>
      </c>
      <c r="L143" s="3">
        <f>IF($D$4,AD143,T143)</f>
        <v>14</v>
      </c>
      <c r="M143" s="3">
        <f>IF($D$4,AG143,W143)</f>
        <v>14</v>
      </c>
      <c r="N143" s="207"/>
      <c r="O143" s="208">
        <f t="shared" ref="O143:O144" si="316">E143</f>
        <v>14</v>
      </c>
      <c r="P143" s="208">
        <f t="shared" ref="P143" si="317">O143</f>
        <v>14</v>
      </c>
      <c r="Q143" s="208">
        <f t="shared" ref="Q143:T143" si="318">P143</f>
        <v>14</v>
      </c>
      <c r="R143" s="208">
        <f t="shared" si="318"/>
        <v>14</v>
      </c>
      <c r="S143" s="46">
        <f t="shared" si="318"/>
        <v>14</v>
      </c>
      <c r="T143" s="46">
        <f t="shared" si="318"/>
        <v>14</v>
      </c>
      <c r="U143" s="46">
        <f>S143</f>
        <v>14</v>
      </c>
      <c r="V143" s="46">
        <f t="shared" si="314"/>
        <v>14</v>
      </c>
      <c r="W143" s="46">
        <f t="shared" si="314"/>
        <v>14</v>
      </c>
      <c r="X143" s="209"/>
      <c r="Y143" s="208">
        <f t="shared" si="315"/>
        <v>14</v>
      </c>
      <c r="Z143" s="208">
        <f t="shared" si="315"/>
        <v>14</v>
      </c>
      <c r="AA143" s="208">
        <f t="shared" si="315"/>
        <v>14</v>
      </c>
      <c r="AB143" s="208">
        <f t="shared" si="315"/>
        <v>14</v>
      </c>
      <c r="AC143" s="60">
        <f>AA143</f>
        <v>14</v>
      </c>
      <c r="AD143" s="60">
        <f>AC143</f>
        <v>14</v>
      </c>
      <c r="AE143" s="60">
        <f>AC143</f>
        <v>14</v>
      </c>
      <c r="AF143" s="60">
        <f>AC143</f>
        <v>14</v>
      </c>
      <c r="AG143" s="60">
        <f>AD143</f>
        <v>14</v>
      </c>
      <c r="AH143" s="209"/>
      <c r="AI143" s="209"/>
      <c r="AJ143" s="209"/>
      <c r="AK143" s="209"/>
      <c r="AL143" s="209"/>
      <c r="AM143" s="209"/>
      <c r="AN143" s="209"/>
      <c r="AO143" s="209"/>
      <c r="AP143" s="209"/>
      <c r="AQ143" s="209"/>
      <c r="AR143" s="209"/>
      <c r="AS143" s="209"/>
      <c r="AT143" s="209"/>
      <c r="AU143" s="209"/>
      <c r="AV143" s="209"/>
      <c r="AW143" s="209"/>
      <c r="AX143" s="209"/>
      <c r="AY143" s="209"/>
    </row>
    <row r="144" spans="1:51">
      <c r="A144" t="s">
        <v>16</v>
      </c>
      <c r="C144" t="s">
        <v>54</v>
      </c>
      <c r="D144" t="s">
        <v>85</v>
      </c>
      <c r="E144" s="206">
        <v>25</v>
      </c>
      <c r="F144" s="3">
        <f t="shared" si="312"/>
        <v>25</v>
      </c>
      <c r="G144" s="3">
        <f t="shared" si="312"/>
        <v>25</v>
      </c>
      <c r="H144" s="3">
        <f t="shared" si="312"/>
        <v>25</v>
      </c>
      <c r="I144" s="3">
        <f t="shared" si="312"/>
        <v>25</v>
      </c>
      <c r="J144" s="3">
        <f t="shared" si="312"/>
        <v>25</v>
      </c>
      <c r="K144" s="3">
        <f>IF($D$4,AD144,T144)</f>
        <v>25</v>
      </c>
      <c r="L144" s="3">
        <f>IF($D$4,AD144,T144)</f>
        <v>25</v>
      </c>
      <c r="M144" s="3">
        <f>IF($D$4,AG144,W144)</f>
        <v>25</v>
      </c>
      <c r="N144" s="207"/>
      <c r="O144" s="208">
        <f t="shared" si="316"/>
        <v>25</v>
      </c>
      <c r="P144" s="208">
        <f t="shared" ref="P144:T144" si="319">O144</f>
        <v>25</v>
      </c>
      <c r="Q144" s="208">
        <f t="shared" si="319"/>
        <v>25</v>
      </c>
      <c r="R144" s="208">
        <f t="shared" si="319"/>
        <v>25</v>
      </c>
      <c r="S144" s="46">
        <f t="shared" si="319"/>
        <v>25</v>
      </c>
      <c r="T144" s="46">
        <f t="shared" si="319"/>
        <v>25</v>
      </c>
      <c r="U144" s="46">
        <f>S144</f>
        <v>25</v>
      </c>
      <c r="V144" s="46">
        <f t="shared" si="314"/>
        <v>25</v>
      </c>
      <c r="W144" s="46">
        <f t="shared" si="314"/>
        <v>25</v>
      </c>
      <c r="X144" s="209"/>
      <c r="Y144" s="208">
        <f t="shared" si="315"/>
        <v>25</v>
      </c>
      <c r="Z144" s="208">
        <f t="shared" si="315"/>
        <v>25</v>
      </c>
      <c r="AA144" s="208">
        <f t="shared" si="315"/>
        <v>25</v>
      </c>
      <c r="AB144" s="208">
        <f t="shared" si="315"/>
        <v>25</v>
      </c>
      <c r="AC144" s="60">
        <f>AA144*(1+$D$141)</f>
        <v>25</v>
      </c>
      <c r="AD144" s="60">
        <f>AC144*(1+$D$141)</f>
        <v>25</v>
      </c>
      <c r="AE144" s="60">
        <f>AC144*(1+$D$141)</f>
        <v>25</v>
      </c>
      <c r="AF144" s="60">
        <f>AC144*(1+$D$141)</f>
        <v>25</v>
      </c>
      <c r="AG144" s="60">
        <f>AD144*(1+$D$141)</f>
        <v>25</v>
      </c>
      <c r="AH144" s="209"/>
      <c r="AI144" s="209"/>
      <c r="AJ144" s="209"/>
      <c r="AK144" s="209"/>
      <c r="AL144" s="209"/>
      <c r="AM144" s="209"/>
      <c r="AN144" s="209"/>
      <c r="AO144" s="209"/>
      <c r="AP144" s="209"/>
      <c r="AQ144" s="209"/>
      <c r="AR144" s="209"/>
      <c r="AS144" s="209"/>
      <c r="AT144" s="209"/>
      <c r="AU144" s="209"/>
      <c r="AV144" s="209"/>
      <c r="AW144" s="209"/>
      <c r="AX144" s="209"/>
      <c r="AY144" s="209"/>
    </row>
    <row r="145" spans="1:51">
      <c r="A145" t="s">
        <v>16</v>
      </c>
      <c r="C145" s="18"/>
      <c r="E145" s="197"/>
      <c r="G145" s="197"/>
      <c r="I145" s="197"/>
      <c r="J145" s="197"/>
      <c r="K145" s="197"/>
      <c r="L145" s="197"/>
      <c r="M145" s="197"/>
      <c r="N145" s="31"/>
    </row>
    <row r="146" spans="1:51">
      <c r="A146" t="s">
        <v>16</v>
      </c>
      <c r="J146"/>
      <c r="N146" s="31"/>
    </row>
    <row r="147" spans="1:51">
      <c r="A147" t="s">
        <v>16</v>
      </c>
      <c r="E147" s="21"/>
      <c r="G147" s="21"/>
      <c r="I147" s="21"/>
      <c r="J147" s="21"/>
      <c r="K147" s="21"/>
      <c r="L147" s="21"/>
      <c r="M147" s="21"/>
      <c r="N147" s="207"/>
      <c r="O147" s="209" t="str">
        <f>O11</f>
        <v>Reference</v>
      </c>
      <c r="Q147" s="209"/>
      <c r="S147" s="209"/>
      <c r="T147" s="209"/>
      <c r="U147" s="209"/>
      <c r="V147" s="209"/>
      <c r="W147" s="209"/>
      <c r="X147" s="209"/>
      <c r="Y147" s="209" t="str">
        <f>Y11</f>
        <v>Scenario</v>
      </c>
      <c r="AA147" s="209"/>
      <c r="AB147" s="209"/>
      <c r="AD147" s="209"/>
      <c r="AE147" s="209"/>
      <c r="AF147" s="209"/>
      <c r="AG147" s="209"/>
      <c r="AH147" s="209"/>
      <c r="AR147" s="209"/>
      <c r="AS147" s="209"/>
      <c r="AT147" s="209"/>
      <c r="AU147" s="209"/>
      <c r="AV147" s="209"/>
      <c r="AW147" s="209"/>
      <c r="AX147" s="209"/>
      <c r="AY147" s="209"/>
    </row>
    <row r="148" spans="1:51" ht="15.75" thickBot="1">
      <c r="A148" t="s">
        <v>16</v>
      </c>
      <c r="C148" s="13" t="s">
        <v>130</v>
      </c>
      <c r="D148" s="13"/>
      <c r="E148" s="4">
        <f t="shared" ref="E148:M148" si="320">E4</f>
        <v>2017</v>
      </c>
      <c r="F148" s="4">
        <f t="shared" si="320"/>
        <v>2019</v>
      </c>
      <c r="G148" s="4">
        <f t="shared" si="320"/>
        <v>2020</v>
      </c>
      <c r="H148" s="4">
        <f t="shared" si="320"/>
        <v>2021</v>
      </c>
      <c r="I148" s="4">
        <f t="shared" si="320"/>
        <v>2030</v>
      </c>
      <c r="J148" s="4">
        <f t="shared" si="320"/>
        <v>2040</v>
      </c>
      <c r="K148" s="4">
        <f t="shared" ref="K148:L148" si="321">K4</f>
        <v>2050</v>
      </c>
      <c r="L148" s="4">
        <f t="shared" si="321"/>
        <v>2060</v>
      </c>
      <c r="M148" s="4">
        <f t="shared" si="320"/>
        <v>2070</v>
      </c>
      <c r="N148" s="207"/>
      <c r="O148" s="243">
        <f t="shared" ref="O148:W148" si="322">O$12</f>
        <v>2017</v>
      </c>
      <c r="P148" s="243">
        <f t="shared" si="322"/>
        <v>2019</v>
      </c>
      <c r="Q148" s="243">
        <f t="shared" si="322"/>
        <v>2020</v>
      </c>
      <c r="R148" s="243">
        <f t="shared" si="322"/>
        <v>2021</v>
      </c>
      <c r="S148" s="243">
        <f t="shared" si="322"/>
        <v>2030</v>
      </c>
      <c r="T148" s="243">
        <f t="shared" si="322"/>
        <v>2040</v>
      </c>
      <c r="U148" s="243">
        <f t="shared" si="322"/>
        <v>2050</v>
      </c>
      <c r="V148" s="243">
        <f t="shared" si="322"/>
        <v>2060</v>
      </c>
      <c r="W148" s="243">
        <f t="shared" si="322"/>
        <v>2070</v>
      </c>
      <c r="X148" s="209"/>
      <c r="Y148" s="243">
        <f t="shared" ref="Y148:AG148" si="323">Y$12</f>
        <v>2017</v>
      </c>
      <c r="Z148" s="243">
        <f t="shared" si="323"/>
        <v>2019</v>
      </c>
      <c r="AA148" s="243">
        <f t="shared" si="323"/>
        <v>2020</v>
      </c>
      <c r="AB148" s="243">
        <f t="shared" si="323"/>
        <v>2021</v>
      </c>
      <c r="AC148" s="243">
        <f t="shared" si="323"/>
        <v>2030</v>
      </c>
      <c r="AD148" s="243">
        <f t="shared" si="323"/>
        <v>2040</v>
      </c>
      <c r="AE148" s="243">
        <f t="shared" si="323"/>
        <v>2050</v>
      </c>
      <c r="AF148" s="243">
        <f t="shared" si="323"/>
        <v>2060</v>
      </c>
      <c r="AG148" s="243">
        <f t="shared" si="323"/>
        <v>2070</v>
      </c>
      <c r="AH148" s="209"/>
      <c r="AR148" s="209"/>
      <c r="AS148" s="209"/>
      <c r="AT148" s="209"/>
      <c r="AU148" s="209"/>
      <c r="AV148" s="209"/>
      <c r="AW148" s="209"/>
      <c r="AX148" s="209"/>
      <c r="AY148" s="209"/>
    </row>
    <row r="149" spans="1:51">
      <c r="A149" t="s">
        <v>16</v>
      </c>
      <c r="B149" t="s">
        <v>116</v>
      </c>
      <c r="C149" t="s">
        <v>90</v>
      </c>
      <c r="D149" t="s">
        <v>75</v>
      </c>
      <c r="E149" s="264">
        <f>SUMIF('BY-DMD'!$H$5:$H$138,B149,'BY-DMD'!$I$5:$I$138)</f>
        <v>81.1386031348502</v>
      </c>
      <c r="F149" s="38">
        <f t="shared" ref="F149:J156" si="324">IF($D$4,Z149,P149)</f>
        <v>84.616485002842012</v>
      </c>
      <c r="G149" s="38">
        <f t="shared" si="324"/>
        <v>78.308349507973659</v>
      </c>
      <c r="H149" s="38">
        <f t="shared" si="324"/>
        <v>83.011371976970224</v>
      </c>
      <c r="I149" s="38">
        <f t="shared" si="324"/>
        <v>86.017079143589797</v>
      </c>
      <c r="J149" s="38">
        <f t="shared" si="324"/>
        <v>100.33305969772233</v>
      </c>
      <c r="K149" s="38">
        <f t="shared" ref="K149:K156" si="325">IF($D$4,AE149,U149)</f>
        <v>127.70702073891803</v>
      </c>
      <c r="L149" s="38">
        <f t="shared" ref="L149:L156" si="326">IF($D$4,AF149,V149)</f>
        <v>142.8009038136552</v>
      </c>
      <c r="M149" s="38">
        <f t="shared" ref="M149:M156" si="327">IF($D$4,AG149,W149)</f>
        <v>141.71981463375749</v>
      </c>
      <c r="N149" s="210" t="str">
        <f t="shared" ref="N149:N156" si="328">C149</f>
        <v>Car Priv.Veh. Vehicle km</v>
      </c>
      <c r="O149" s="198">
        <f t="shared" ref="O149:R149" si="329">O132*O$111</f>
        <v>80.737936364882756</v>
      </c>
      <c r="P149" s="198">
        <f>P132*P$111</f>
        <v>84.616485002842012</v>
      </c>
      <c r="Q149" s="198">
        <f t="shared" si="329"/>
        <v>78.308349507973659</v>
      </c>
      <c r="R149" s="198">
        <f t="shared" si="329"/>
        <v>83.011371976970224</v>
      </c>
      <c r="S149" s="250">
        <f t="shared" ref="S149:W151" si="330">S132*S$111</f>
        <v>99.240263719345407</v>
      </c>
      <c r="T149" s="250">
        <f t="shared" si="330"/>
        <v>128.1316631327866</v>
      </c>
      <c r="U149" s="250">
        <f t="shared" ref="U149:V149" si="331">U132*U$111</f>
        <v>164.82101669067623</v>
      </c>
      <c r="V149" s="250">
        <f t="shared" si="331"/>
        <v>184.3346547330309</v>
      </c>
      <c r="W149" s="250">
        <f t="shared" si="330"/>
        <v>200.54915044124479</v>
      </c>
      <c r="X149" s="198"/>
      <c r="Y149" s="198">
        <f t="shared" ref="Y149:AB156" si="332">O149</f>
        <v>80.737936364882756</v>
      </c>
      <c r="Z149" s="198">
        <f t="shared" si="332"/>
        <v>84.616485002842012</v>
      </c>
      <c r="AA149" s="198">
        <f t="shared" si="332"/>
        <v>78.308349507973659</v>
      </c>
      <c r="AB149" s="198">
        <f t="shared" si="332"/>
        <v>83.011371976970224</v>
      </c>
      <c r="AC149" s="250">
        <f t="shared" ref="AC149:AG149" si="333">AC132*AC$111</f>
        <v>86.017079143589797</v>
      </c>
      <c r="AD149" s="250">
        <f t="shared" si="333"/>
        <v>100.33305969772233</v>
      </c>
      <c r="AE149" s="250">
        <f t="shared" si="333"/>
        <v>127.70702073891803</v>
      </c>
      <c r="AF149" s="250">
        <f t="shared" si="333"/>
        <v>142.8009038136552</v>
      </c>
      <c r="AG149" s="250">
        <f t="shared" si="333"/>
        <v>141.71981463375749</v>
      </c>
      <c r="AH149" s="198"/>
      <c r="AI149" s="198"/>
      <c r="AJ149" s="198"/>
      <c r="AR149" s="198"/>
      <c r="AS149" s="198"/>
      <c r="AT149" s="198"/>
      <c r="AU149" s="198"/>
      <c r="AV149" s="198"/>
      <c r="AW149" s="198"/>
      <c r="AX149" s="198"/>
      <c r="AY149" s="198"/>
    </row>
    <row r="150" spans="1:51">
      <c r="A150" t="s">
        <v>16</v>
      </c>
      <c r="B150" t="s">
        <v>115</v>
      </c>
      <c r="C150" t="s">
        <v>89</v>
      </c>
      <c r="D150" t="s">
        <v>75</v>
      </c>
      <c r="E150" s="264">
        <f>SUMIF('BY-DMD'!$H$5:$H$138,B150,'BY-DMD'!$I$5:$I$138)</f>
        <v>17.754191802068</v>
      </c>
      <c r="F150" s="38">
        <f t="shared" si="324"/>
        <v>17.98100306310393</v>
      </c>
      <c r="G150" s="38">
        <f t="shared" si="324"/>
        <v>16.640524270444406</v>
      </c>
      <c r="H150" s="38">
        <f t="shared" si="324"/>
        <v>17.639916545106175</v>
      </c>
      <c r="I150" s="38">
        <f t="shared" si="324"/>
        <v>18.278629318012836</v>
      </c>
      <c r="J150" s="38">
        <f t="shared" si="324"/>
        <v>21.320775185765999</v>
      </c>
      <c r="K150" s="38">
        <f t="shared" si="325"/>
        <v>27.137741907020086</v>
      </c>
      <c r="L150" s="38">
        <f t="shared" si="326"/>
        <v>30.345192060401736</v>
      </c>
      <c r="M150" s="38">
        <f t="shared" si="327"/>
        <v>30.115460609673473</v>
      </c>
      <c r="N150" s="210" t="str">
        <f t="shared" si="328"/>
        <v>SUV Priv.Veh. Vehicle km</v>
      </c>
      <c r="O150" s="198">
        <f t="shared" ref="O150:R150" si="334">O133*O$111</f>
        <v>17.156811477537588</v>
      </c>
      <c r="P150" s="198">
        <f t="shared" si="334"/>
        <v>17.98100306310393</v>
      </c>
      <c r="Q150" s="198">
        <f t="shared" si="334"/>
        <v>16.640524270444406</v>
      </c>
      <c r="R150" s="198">
        <f t="shared" si="334"/>
        <v>17.639916545106175</v>
      </c>
      <c r="S150" s="250">
        <f t="shared" si="330"/>
        <v>21.088556040360903</v>
      </c>
      <c r="T150" s="250">
        <f t="shared" si="330"/>
        <v>27.227978415717157</v>
      </c>
      <c r="U150" s="250">
        <f t="shared" ref="U150:V150" si="335">U133*U$111</f>
        <v>35.024466046768701</v>
      </c>
      <c r="V150" s="250">
        <f t="shared" si="335"/>
        <v>39.171114130769077</v>
      </c>
      <c r="W150" s="250">
        <f t="shared" si="330"/>
        <v>42.616694468764528</v>
      </c>
      <c r="X150" s="198"/>
      <c r="Y150" s="198">
        <f t="shared" si="332"/>
        <v>17.156811477537588</v>
      </c>
      <c r="Z150" s="198">
        <f t="shared" si="332"/>
        <v>17.98100306310393</v>
      </c>
      <c r="AA150" s="198">
        <f t="shared" si="332"/>
        <v>16.640524270444406</v>
      </c>
      <c r="AB150" s="198">
        <f t="shared" si="332"/>
        <v>17.639916545106175</v>
      </c>
      <c r="AC150" s="250">
        <f t="shared" ref="AC150:AG150" si="336">AC133*AC$111</f>
        <v>18.278629318012836</v>
      </c>
      <c r="AD150" s="250">
        <f t="shared" si="336"/>
        <v>21.320775185765999</v>
      </c>
      <c r="AE150" s="250">
        <f t="shared" si="336"/>
        <v>27.137741907020086</v>
      </c>
      <c r="AF150" s="250">
        <f t="shared" si="336"/>
        <v>30.345192060401736</v>
      </c>
      <c r="AG150" s="250">
        <f t="shared" si="336"/>
        <v>30.115460609673473</v>
      </c>
      <c r="AH150" s="203"/>
      <c r="AR150" s="198"/>
      <c r="AS150" s="198"/>
      <c r="AT150" s="198"/>
      <c r="AU150" s="198"/>
      <c r="AV150" s="198"/>
      <c r="AW150" s="198"/>
      <c r="AX150" s="198"/>
      <c r="AY150" s="198"/>
    </row>
    <row r="151" spans="1:51">
      <c r="A151" t="s">
        <v>16</v>
      </c>
      <c r="B151" t="s">
        <v>171</v>
      </c>
      <c r="C151" t="s">
        <v>175</v>
      </c>
      <c r="D151" t="s">
        <v>75</v>
      </c>
      <c r="E151" s="264">
        <f>SUMIF('BY-DMD'!$H$5:$H$138,B151,'BY-DMD'!$I$5:$I$138)</f>
        <v>5.9227912022632498</v>
      </c>
      <c r="F151" s="38">
        <f t="shared" si="324"/>
        <v>3.1731181876065753</v>
      </c>
      <c r="G151" s="38">
        <f t="shared" si="324"/>
        <v>2.9365631065490123</v>
      </c>
      <c r="H151" s="38">
        <f t="shared" si="324"/>
        <v>3.1129264491363839</v>
      </c>
      <c r="I151" s="38">
        <f t="shared" si="324"/>
        <v>3.2256404678846176</v>
      </c>
      <c r="J151" s="38">
        <f t="shared" si="324"/>
        <v>3.7624897386645877</v>
      </c>
      <c r="K151" s="38">
        <f t="shared" si="325"/>
        <v>4.7890132777094268</v>
      </c>
      <c r="L151" s="38">
        <f t="shared" si="326"/>
        <v>5.3550338930120702</v>
      </c>
      <c r="M151" s="38">
        <f t="shared" si="327"/>
        <v>5.3144930487659066</v>
      </c>
      <c r="N151" s="210" t="str">
        <f t="shared" si="328"/>
        <v>Motorbikes Priv.Veh. Vehicle km</v>
      </c>
      <c r="O151" s="198">
        <f t="shared" ref="O151:R151" si="337">O134*O$111</f>
        <v>3.0276726136831034</v>
      </c>
      <c r="P151" s="198">
        <f t="shared" si="337"/>
        <v>3.1731181876065753</v>
      </c>
      <c r="Q151" s="198">
        <f t="shared" si="337"/>
        <v>2.9365631065490123</v>
      </c>
      <c r="R151" s="198">
        <f t="shared" si="337"/>
        <v>3.1129264491363839</v>
      </c>
      <c r="S151" s="250">
        <f t="shared" si="330"/>
        <v>3.7215098894754526</v>
      </c>
      <c r="T151" s="250">
        <f t="shared" si="330"/>
        <v>4.8049373674794982</v>
      </c>
      <c r="U151" s="250">
        <f t="shared" ref="U151:V151" si="338">U134*U$111</f>
        <v>6.1807881259003592</v>
      </c>
      <c r="V151" s="250">
        <f t="shared" si="338"/>
        <v>6.9125495524886595</v>
      </c>
      <c r="W151" s="250">
        <f t="shared" si="330"/>
        <v>7.52059314154668</v>
      </c>
      <c r="X151" s="198"/>
      <c r="Y151" s="198">
        <f t="shared" si="332"/>
        <v>3.0276726136831034</v>
      </c>
      <c r="Z151" s="198">
        <f t="shared" si="332"/>
        <v>3.1731181876065753</v>
      </c>
      <c r="AA151" s="198">
        <f t="shared" si="332"/>
        <v>2.9365631065490123</v>
      </c>
      <c r="AB151" s="198">
        <f t="shared" si="332"/>
        <v>3.1129264491363839</v>
      </c>
      <c r="AC151" s="250">
        <f t="shared" ref="AC151:AG151" si="339">AC134*AC$111</f>
        <v>3.2256404678846176</v>
      </c>
      <c r="AD151" s="250">
        <f t="shared" si="339"/>
        <v>3.7624897386645877</v>
      </c>
      <c r="AE151" s="250">
        <f t="shared" si="339"/>
        <v>4.7890132777094268</v>
      </c>
      <c r="AF151" s="250">
        <f t="shared" si="339"/>
        <v>5.3550338930120702</v>
      </c>
      <c r="AG151" s="250">
        <f t="shared" si="339"/>
        <v>5.3144930487659066</v>
      </c>
      <c r="AH151" s="198"/>
      <c r="AI151" s="198"/>
      <c r="AJ151" s="198"/>
      <c r="AL151" s="209"/>
      <c r="AM151" s="198"/>
      <c r="AN151" s="198"/>
      <c r="AO151" s="198"/>
      <c r="AP151" s="198"/>
      <c r="AQ151" s="198"/>
      <c r="AR151" s="198"/>
      <c r="AS151" s="198"/>
      <c r="AT151" s="198"/>
      <c r="AU151" s="198"/>
      <c r="AV151" s="198"/>
      <c r="AW151" s="198"/>
      <c r="AX151" s="198"/>
      <c r="AY151" s="198"/>
    </row>
    <row r="152" spans="1:51">
      <c r="A152" t="s">
        <v>16</v>
      </c>
      <c r="B152" t="s">
        <v>117</v>
      </c>
      <c r="C152" t="s">
        <v>76</v>
      </c>
      <c r="D152" t="s">
        <v>75</v>
      </c>
      <c r="E152" s="264">
        <f>SUMIF('BY-DMD'!$H$5:$H$138,B152,'BY-DMD'!$I$5:$I$138)</f>
        <v>0.64296697178877804</v>
      </c>
      <c r="F152" s="38">
        <f t="shared" si="324"/>
        <v>0.65561461783585018</v>
      </c>
      <c r="G152" s="38">
        <f t="shared" si="324"/>
        <v>0.6666265611015576</v>
      </c>
      <c r="H152" s="38">
        <f t="shared" si="324"/>
        <v>0.67369816503155333</v>
      </c>
      <c r="I152" s="38">
        <f t="shared" si="324"/>
        <v>0.73989850534721346</v>
      </c>
      <c r="J152" s="38">
        <f t="shared" si="324"/>
        <v>0.7786726183580428</v>
      </c>
      <c r="K152" s="38">
        <f t="shared" si="325"/>
        <v>0.76875899074509002</v>
      </c>
      <c r="L152" s="38">
        <f t="shared" si="326"/>
        <v>0.7614728390026565</v>
      </c>
      <c r="M152" s="38">
        <f t="shared" si="327"/>
        <v>0.77216368414084546</v>
      </c>
      <c r="N152" s="210" t="str">
        <f t="shared" si="328"/>
        <v>Bus vehicle km</v>
      </c>
      <c r="O152" s="198">
        <f t="shared" ref="O152:R152" si="340">O137*O$129/O142</f>
        <v>0.6407849258947157</v>
      </c>
      <c r="P152" s="198">
        <f t="shared" si="340"/>
        <v>0.65561461783585018</v>
      </c>
      <c r="Q152" s="198">
        <f t="shared" si="340"/>
        <v>0.6666265611015576</v>
      </c>
      <c r="R152" s="198">
        <f t="shared" si="340"/>
        <v>0.67369816503155333</v>
      </c>
      <c r="S152" s="250">
        <f t="shared" ref="S152:W153" si="341">S137*S$129/S142</f>
        <v>0.71283674117553131</v>
      </c>
      <c r="T152" s="250">
        <f t="shared" si="341"/>
        <v>0.72295666448485008</v>
      </c>
      <c r="U152" s="250">
        <f t="shared" ref="U152:V152" si="342">U137*U$129/U142</f>
        <v>0.69966542118267516</v>
      </c>
      <c r="V152" s="250">
        <f t="shared" si="342"/>
        <v>0.68531017316263421</v>
      </c>
      <c r="W152" s="250">
        <f t="shared" si="341"/>
        <v>0.65713751702226919</v>
      </c>
      <c r="X152" s="198"/>
      <c r="Y152" s="198">
        <f t="shared" si="332"/>
        <v>0.6407849258947157</v>
      </c>
      <c r="Z152" s="198">
        <f t="shared" si="332"/>
        <v>0.65561461783585018</v>
      </c>
      <c r="AA152" s="198">
        <f t="shared" si="332"/>
        <v>0.6666265611015576</v>
      </c>
      <c r="AB152" s="198">
        <f t="shared" si="332"/>
        <v>0.67369816503155333</v>
      </c>
      <c r="AC152" s="250">
        <f t="shared" ref="AC152:AG152" si="343">AC137*AC$129/AC142</f>
        <v>0.73989850534721346</v>
      </c>
      <c r="AD152" s="250">
        <f t="shared" si="343"/>
        <v>0.7786726183580428</v>
      </c>
      <c r="AE152" s="250">
        <f t="shared" si="343"/>
        <v>0.76875899074509002</v>
      </c>
      <c r="AF152" s="250">
        <f t="shared" si="343"/>
        <v>0.7614728390026565</v>
      </c>
      <c r="AG152" s="250">
        <f t="shared" si="343"/>
        <v>0.77216368414084546</v>
      </c>
      <c r="AH152" s="198"/>
      <c r="AI152" s="198"/>
      <c r="AJ152" s="198"/>
      <c r="AL152" s="209"/>
      <c r="AM152" s="198"/>
      <c r="AN152" s="198"/>
      <c r="AO152" s="198"/>
      <c r="AP152" s="198"/>
      <c r="AQ152" s="198"/>
      <c r="AR152" s="198"/>
      <c r="AS152" s="198"/>
      <c r="AT152" s="198"/>
      <c r="AU152" s="198"/>
      <c r="AV152" s="198"/>
      <c r="AW152" s="198"/>
      <c r="AX152" s="198"/>
      <c r="AY152" s="198"/>
    </row>
    <row r="153" spans="1:51">
      <c r="A153" t="s">
        <v>16</v>
      </c>
      <c r="B153" t="s">
        <v>118</v>
      </c>
      <c r="C153" t="s">
        <v>77</v>
      </c>
      <c r="D153" t="s">
        <v>75</v>
      </c>
      <c r="E153" s="264">
        <f>SUMIF('BY-DMD'!$H$5:$H$138,B153,'BY-DMD'!$I$5:$I$138)</f>
        <v>7.2130505455454896</v>
      </c>
      <c r="F153" s="264">
        <f t="shared" si="324"/>
        <v>7.3560605036075861</v>
      </c>
      <c r="G153" s="38">
        <f t="shared" si="324"/>
        <v>7.4796155902715018</v>
      </c>
      <c r="H153" s="38">
        <f t="shared" si="324"/>
        <v>7.5589596819854874</v>
      </c>
      <c r="I153" s="38">
        <f t="shared" si="324"/>
        <v>8.0350033304808619</v>
      </c>
      <c r="J153" s="38">
        <f t="shared" si="324"/>
        <v>8.2384711969135651</v>
      </c>
      <c r="K153" s="38">
        <f t="shared" si="325"/>
        <v>8.1335835539931569</v>
      </c>
      <c r="L153" s="38">
        <f t="shared" si="326"/>
        <v>8.0564949934721035</v>
      </c>
      <c r="M153" s="38">
        <f t="shared" si="327"/>
        <v>8.1696057124894956</v>
      </c>
      <c r="N153" s="210" t="str">
        <f t="shared" si="328"/>
        <v>Minibus vehicle km</v>
      </c>
      <c r="O153" s="198">
        <f t="shared" ref="O153:R153" si="344">O138*O$129/O143</f>
        <v>7.1896699012611327</v>
      </c>
      <c r="P153" s="198">
        <f t="shared" si="344"/>
        <v>7.3560605036075861</v>
      </c>
      <c r="Q153" s="198">
        <f t="shared" si="344"/>
        <v>7.4796155902715018</v>
      </c>
      <c r="R153" s="198">
        <f t="shared" si="344"/>
        <v>7.5589596819854874</v>
      </c>
      <c r="S153" s="250">
        <f t="shared" si="341"/>
        <v>7.9980983563038182</v>
      </c>
      <c r="T153" s="250">
        <f t="shared" si="341"/>
        <v>8.1116448913108439</v>
      </c>
      <c r="U153" s="250">
        <f t="shared" ref="U153:V153" si="345">U138*U$129/U143</f>
        <v>7.8503148503477531</v>
      </c>
      <c r="V153" s="250">
        <f t="shared" si="345"/>
        <v>7.6892475554660615</v>
      </c>
      <c r="W153" s="250">
        <f t="shared" si="341"/>
        <v>7.37314758228373</v>
      </c>
      <c r="X153" s="198"/>
      <c r="Y153" s="198">
        <f t="shared" si="332"/>
        <v>7.1896699012611327</v>
      </c>
      <c r="Z153" s="198">
        <f t="shared" si="332"/>
        <v>7.3560605036075861</v>
      </c>
      <c r="AA153" s="198">
        <f t="shared" si="332"/>
        <v>7.4796155902715018</v>
      </c>
      <c r="AB153" s="198">
        <f t="shared" si="332"/>
        <v>7.5589596819854874</v>
      </c>
      <c r="AC153" s="250">
        <f t="shared" ref="AC153:AG153" si="346">AC138*AC$129/AC143</f>
        <v>8.0350033304808619</v>
      </c>
      <c r="AD153" s="250">
        <f t="shared" si="346"/>
        <v>8.2384711969135651</v>
      </c>
      <c r="AE153" s="250">
        <f t="shared" si="346"/>
        <v>8.1335835539931569</v>
      </c>
      <c r="AF153" s="250">
        <f t="shared" si="346"/>
        <v>8.0564949934721035</v>
      </c>
      <c r="AG153" s="250">
        <f t="shared" si="346"/>
        <v>8.1696057124894956</v>
      </c>
      <c r="AH153" s="198"/>
      <c r="AI153" s="198"/>
      <c r="AJ153" s="198"/>
      <c r="AL153" s="198"/>
      <c r="AM153" s="198"/>
      <c r="AN153" s="198"/>
      <c r="AO153" s="198"/>
      <c r="AP153" s="198"/>
      <c r="AQ153" s="198"/>
      <c r="AR153" s="198"/>
      <c r="AS153" s="198"/>
      <c r="AT153" s="198"/>
      <c r="AU153" s="198"/>
      <c r="AV153" s="198"/>
      <c r="AW153" s="198"/>
      <c r="AX153" s="198"/>
      <c r="AY153" s="198"/>
    </row>
    <row r="154" spans="1:51">
      <c r="A154" t="s">
        <v>16</v>
      </c>
      <c r="B154" t="s">
        <v>119</v>
      </c>
      <c r="C154" t="s">
        <v>78</v>
      </c>
      <c r="D154" t="s">
        <v>75</v>
      </c>
      <c r="E154" s="264">
        <f>SUMIF('BY-DMD'!$H$5:$H$138,B154,'BY-DMD'!$I$5:$I$138)</f>
        <v>7.2799982901224303E-2</v>
      </c>
      <c r="F154" s="38">
        <f t="shared" si="324"/>
        <v>0.1113095478662298</v>
      </c>
      <c r="G154" s="38">
        <f t="shared" si="324"/>
        <v>0.11091277099762989</v>
      </c>
      <c r="H154" s="38">
        <f t="shared" si="324"/>
        <v>0.11324882528963676</v>
      </c>
      <c r="I154" s="38">
        <f t="shared" si="324"/>
        <v>0.10843199027412222</v>
      </c>
      <c r="J154" s="38">
        <f t="shared" si="324"/>
        <v>0.11698913490707746</v>
      </c>
      <c r="K154" s="38">
        <f t="shared" si="325"/>
        <v>0.12347783221027619</v>
      </c>
      <c r="L154" s="38">
        <f t="shared" si="326"/>
        <v>0.12714609186757148</v>
      </c>
      <c r="M154" s="38">
        <f t="shared" si="327"/>
        <v>0.12864270203435063</v>
      </c>
      <c r="N154" s="210" t="str">
        <f t="shared" si="328"/>
        <v>BRT vehicle km</v>
      </c>
      <c r="O154" s="295">
        <f t="shared" ref="O154:R154" si="347">O$127/O144</f>
        <v>7.2799982901224289E-2</v>
      </c>
      <c r="P154" s="198">
        <f t="shared" si="347"/>
        <v>0.1113095478662298</v>
      </c>
      <c r="Q154" s="198">
        <f t="shared" si="347"/>
        <v>0.11091277099762989</v>
      </c>
      <c r="R154" s="198">
        <f t="shared" si="347"/>
        <v>0.11324882528963676</v>
      </c>
      <c r="S154" s="250">
        <f>S$127/S144</f>
        <v>0.12334856036474222</v>
      </c>
      <c r="T154" s="250">
        <f>T$127/T144</f>
        <v>0.13308287833344792</v>
      </c>
      <c r="U154" s="250">
        <f>U$127/U144</f>
        <v>0.14046420066248355</v>
      </c>
      <c r="V154" s="250">
        <f>V$127/V144</f>
        <v>0.14463708863242258</v>
      </c>
      <c r="W154" s="250">
        <f>W$127/W144</f>
        <v>0.14633958167928779</v>
      </c>
      <c r="X154" s="198"/>
      <c r="Y154" s="198">
        <f t="shared" si="332"/>
        <v>7.2799982901224289E-2</v>
      </c>
      <c r="Z154" s="198">
        <f t="shared" si="332"/>
        <v>0.1113095478662298</v>
      </c>
      <c r="AA154" s="198">
        <f t="shared" si="332"/>
        <v>0.11091277099762989</v>
      </c>
      <c r="AB154" s="198">
        <f t="shared" si="332"/>
        <v>0.11324882528963676</v>
      </c>
      <c r="AC154" s="250">
        <f>AC$127/AC144</f>
        <v>0.10843199027412222</v>
      </c>
      <c r="AD154" s="250">
        <f>AD$127/AD144</f>
        <v>0.11698913490707746</v>
      </c>
      <c r="AE154" s="250">
        <f>AE$127/AE144</f>
        <v>0.12347783221027619</v>
      </c>
      <c r="AF154" s="250">
        <f>AF$127/AF144</f>
        <v>0.12714609186757148</v>
      </c>
      <c r="AG154" s="250">
        <f>AG$127/AG144</f>
        <v>0.12864270203435063</v>
      </c>
      <c r="AH154" s="198"/>
      <c r="AI154" s="198"/>
      <c r="AJ154" s="198"/>
      <c r="AL154" s="198"/>
      <c r="AM154" s="198"/>
      <c r="AN154" s="198"/>
      <c r="AO154" s="198"/>
      <c r="AP154" s="198"/>
      <c r="AQ154" s="198"/>
      <c r="AR154" s="198"/>
      <c r="AS154" s="198"/>
      <c r="AT154" s="198"/>
      <c r="AU154" s="198"/>
      <c r="AV154" s="198"/>
      <c r="AW154" s="198"/>
      <c r="AX154" s="198"/>
      <c r="AY154" s="198"/>
    </row>
    <row r="155" spans="1:51">
      <c r="A155" t="s">
        <v>16</v>
      </c>
      <c r="B155" t="s">
        <v>120</v>
      </c>
      <c r="C155" t="s">
        <v>79</v>
      </c>
      <c r="D155" t="str">
        <f>D154</f>
        <v>billion</v>
      </c>
      <c r="E155" s="264">
        <f>SUMIF('BY-DMD'!$H$5:$H$138,B155,'BY-DMD'!$I$5:$I$138)</f>
        <v>8.7048317578401608</v>
      </c>
      <c r="F155" s="38">
        <f t="shared" si="324"/>
        <v>8.8749083635056305</v>
      </c>
      <c r="G155" s="38">
        <f t="shared" si="324"/>
        <v>9.0239745751619225</v>
      </c>
      <c r="H155" s="38">
        <f t="shared" si="324"/>
        <v>9.1197012950280598</v>
      </c>
      <c r="I155" s="38">
        <f t="shared" si="324"/>
        <v>13.75007003286097</v>
      </c>
      <c r="J155" s="38">
        <f t="shared" si="324"/>
        <v>17.517087463062389</v>
      </c>
      <c r="K155" s="38">
        <f t="shared" si="325"/>
        <v>17.294069627481488</v>
      </c>
      <c r="L155" s="38">
        <f t="shared" si="326"/>
        <v>17.130159719347713</v>
      </c>
      <c r="M155" s="38">
        <f t="shared" si="327"/>
        <v>17.370661908489286</v>
      </c>
      <c r="N155" s="210" t="str">
        <f t="shared" si="328"/>
        <v>Metro Rail pkm</v>
      </c>
      <c r="O155" s="198">
        <f t="shared" ref="O155:R155" si="348">O139*O$129</f>
        <v>8.6741621423932465</v>
      </c>
      <c r="P155" s="198">
        <f t="shared" si="348"/>
        <v>8.8749083635056305</v>
      </c>
      <c r="Q155" s="198">
        <f t="shared" si="348"/>
        <v>9.0239745751619225</v>
      </c>
      <c r="R155" s="198">
        <f t="shared" si="348"/>
        <v>9.1197012950280598</v>
      </c>
      <c r="S155" s="250">
        <f>S139*S$129</f>
        <v>9.6495114415779959</v>
      </c>
      <c r="T155" s="250">
        <f>T139*T$129</f>
        <v>9.7865025787072693</v>
      </c>
      <c r="U155" s="250">
        <f>U139*U$129</f>
        <v>9.4712142304070923</v>
      </c>
      <c r="V155" s="250">
        <f>V139*V$129</f>
        <v>9.2768904504800904</v>
      </c>
      <c r="W155" s="250">
        <f>W139*W$129</f>
        <v>8.8955235089868872</v>
      </c>
      <c r="X155" s="198"/>
      <c r="Y155" s="198">
        <f t="shared" si="332"/>
        <v>8.6741621423932465</v>
      </c>
      <c r="Z155" s="198">
        <f t="shared" si="332"/>
        <v>8.8749083635056305</v>
      </c>
      <c r="AA155" s="198">
        <f t="shared" si="332"/>
        <v>9.0239745751619225</v>
      </c>
      <c r="AB155" s="198">
        <f t="shared" si="332"/>
        <v>9.1197012950280598</v>
      </c>
      <c r="AC155" s="250">
        <f>AC139*AC$129</f>
        <v>13.75007003286097</v>
      </c>
      <c r="AD155" s="250">
        <f>AD139*AD$129</f>
        <v>17.517087463062389</v>
      </c>
      <c r="AE155" s="250">
        <f>AE139*AE$129</f>
        <v>17.294069627481488</v>
      </c>
      <c r="AF155" s="250">
        <f>AF139*AF$129</f>
        <v>17.130159719347713</v>
      </c>
      <c r="AG155" s="250">
        <f>AG139*AG$129</f>
        <v>17.370661908489286</v>
      </c>
      <c r="AH155" s="198"/>
      <c r="AI155" s="198"/>
      <c r="AJ155" s="198"/>
      <c r="AL155" s="198"/>
      <c r="AM155" s="198"/>
      <c r="AN155" s="198"/>
      <c r="AO155" s="198"/>
      <c r="AP155" s="198"/>
      <c r="AQ155" s="198"/>
      <c r="AR155" s="198"/>
      <c r="AS155" s="198"/>
      <c r="AT155" s="198"/>
      <c r="AU155" s="198"/>
      <c r="AV155" s="198"/>
      <c r="AW155" s="198"/>
      <c r="AX155" s="198"/>
      <c r="AY155" s="198"/>
    </row>
    <row r="156" spans="1:51">
      <c r="A156" t="s">
        <v>16</v>
      </c>
      <c r="B156" t="s">
        <v>121</v>
      </c>
      <c r="C156" t="s">
        <v>80</v>
      </c>
      <c r="D156" t="s">
        <v>75</v>
      </c>
      <c r="E156" s="264">
        <f>SUMIF('BY-DMD'!$H$5:$H$138,B156,'BY-DMD'!$I$5:$I$138)</f>
        <v>0.64854136839212595</v>
      </c>
      <c r="F156" s="38">
        <f t="shared" si="324"/>
        <v>0.6995709084876961</v>
      </c>
      <c r="G156" s="38">
        <f t="shared" si="324"/>
        <v>0.64248252977129328</v>
      </c>
      <c r="H156" s="38">
        <f t="shared" si="324"/>
        <v>0.68522387738371804</v>
      </c>
      <c r="I156" s="38">
        <f t="shared" si="324"/>
        <v>1.4694762168121909</v>
      </c>
      <c r="J156" s="38">
        <f t="shared" si="324"/>
        <v>2.4875212067437662</v>
      </c>
      <c r="K156" s="38">
        <f t="shared" si="325"/>
        <v>4.2575864646612285</v>
      </c>
      <c r="L156" s="38">
        <f t="shared" si="326"/>
        <v>5.5494308972229671</v>
      </c>
      <c r="M156" s="38">
        <f t="shared" si="327"/>
        <v>6.5688265757783757</v>
      </c>
      <c r="N156" s="210" t="str">
        <f t="shared" si="328"/>
        <v>Gautrain pkm</v>
      </c>
      <c r="O156" s="194">
        <f t="shared" ref="O156:R156" si="349">O128</f>
        <v>0.64854136839212595</v>
      </c>
      <c r="P156" s="198">
        <f t="shared" si="349"/>
        <v>0.6995709084876961</v>
      </c>
      <c r="Q156" s="198">
        <f t="shared" si="349"/>
        <v>0.64248252977129328</v>
      </c>
      <c r="R156" s="198">
        <f t="shared" si="349"/>
        <v>0.68522387738371804</v>
      </c>
      <c r="S156" s="250">
        <f>S128</f>
        <v>0.81566069118119378</v>
      </c>
      <c r="T156" s="250">
        <f>T128</f>
        <v>1.0013836629689683</v>
      </c>
      <c r="U156" s="250">
        <f>U128</f>
        <v>1.1699568078493543</v>
      </c>
      <c r="V156" s="250">
        <f>V128</f>
        <v>1.3180866292979314</v>
      </c>
      <c r="W156" s="250">
        <f>W128</f>
        <v>1.447944780185249</v>
      </c>
      <c r="X156" s="198"/>
      <c r="Y156" s="198">
        <f t="shared" si="332"/>
        <v>0.64854136839212595</v>
      </c>
      <c r="Z156" s="198">
        <f t="shared" si="332"/>
        <v>0.6995709084876961</v>
      </c>
      <c r="AA156" s="198">
        <f t="shared" si="332"/>
        <v>0.64248252977129328</v>
      </c>
      <c r="AB156" s="198">
        <f t="shared" si="332"/>
        <v>0.68522387738371804</v>
      </c>
      <c r="AC156" s="250">
        <f>AC128</f>
        <v>1.4694762168121909</v>
      </c>
      <c r="AD156" s="250">
        <f>AD128</f>
        <v>2.4875212067437662</v>
      </c>
      <c r="AE156" s="250">
        <f>AE128</f>
        <v>4.2575864646612285</v>
      </c>
      <c r="AF156" s="250">
        <f>AF128</f>
        <v>5.5494308972229671</v>
      </c>
      <c r="AG156" s="250">
        <f>AG128</f>
        <v>6.5688265757783757</v>
      </c>
      <c r="AH156" s="198"/>
      <c r="AI156" s="198"/>
      <c r="AJ156" s="198"/>
      <c r="AL156" s="198"/>
      <c r="AM156" s="198"/>
      <c r="AN156" s="198"/>
      <c r="AO156" s="198"/>
      <c r="AP156" s="198"/>
      <c r="AQ156" s="198"/>
      <c r="AR156" s="198"/>
      <c r="AS156" s="198"/>
      <c r="AT156" s="198"/>
      <c r="AU156" s="198"/>
      <c r="AV156" s="198"/>
      <c r="AW156" s="198"/>
      <c r="AX156" s="198"/>
      <c r="AY156" s="198"/>
    </row>
    <row r="157" spans="1:51" ht="15.75" thickBot="1">
      <c r="A157" t="s">
        <v>16</v>
      </c>
      <c r="J157"/>
      <c r="N157" s="31"/>
      <c r="AK157" t="s">
        <v>606</v>
      </c>
    </row>
    <row r="158" spans="1:51" ht="15.75" thickTop="1">
      <c r="A158" t="s">
        <v>16</v>
      </c>
      <c r="J158"/>
      <c r="N158" s="318" t="s">
        <v>784</v>
      </c>
      <c r="O158" s="309"/>
      <c r="P158" s="309"/>
      <c r="Q158" s="309"/>
      <c r="R158" s="309"/>
      <c r="S158" s="309"/>
      <c r="T158" s="309"/>
      <c r="U158" s="309"/>
      <c r="V158" s="309"/>
      <c r="W158" s="309"/>
      <c r="X158" s="309"/>
      <c r="Y158" s="309"/>
      <c r="Z158" s="309"/>
      <c r="AA158" s="309"/>
      <c r="AB158" s="309"/>
      <c r="AC158" s="309"/>
      <c r="AD158" s="309"/>
      <c r="AE158" s="309"/>
      <c r="AF158" s="309"/>
      <c r="AG158" s="310"/>
      <c r="AK158" t="s">
        <v>596</v>
      </c>
      <c r="AQ158" t="s">
        <v>601</v>
      </c>
      <c r="AU158" t="s">
        <v>602</v>
      </c>
    </row>
    <row r="159" spans="1:51" ht="15.75" thickBot="1">
      <c r="A159" t="s">
        <v>16</v>
      </c>
      <c r="J159"/>
      <c r="N159" s="311"/>
      <c r="O159" t="s">
        <v>32</v>
      </c>
      <c r="Q159" s="334" t="s">
        <v>786</v>
      </c>
      <c r="S159" s="6"/>
      <c r="Y159" t="s">
        <v>185</v>
      </c>
      <c r="AB159" s="6"/>
      <c r="AG159" s="312"/>
      <c r="AK159" s="13">
        <v>-1</v>
      </c>
      <c r="AL159" s="13">
        <v>-1</v>
      </c>
      <c r="AM159" s="13">
        <v>-1</v>
      </c>
      <c r="AN159" s="13">
        <v>-1</v>
      </c>
      <c r="AO159" s="13">
        <v>-1</v>
      </c>
      <c r="AP159" s="13"/>
      <c r="AQ159" s="13">
        <v>2</v>
      </c>
      <c r="AR159" s="13">
        <v>2</v>
      </c>
      <c r="AS159" s="13">
        <v>2</v>
      </c>
      <c r="AU159" s="13">
        <v>3</v>
      </c>
      <c r="AV159" s="13">
        <v>3</v>
      </c>
      <c r="AW159" s="13">
        <v>3</v>
      </c>
    </row>
    <row r="160" spans="1:51" ht="15.75" thickBot="1">
      <c r="A160" t="s">
        <v>16</v>
      </c>
      <c r="C160" s="13" t="s">
        <v>129</v>
      </c>
      <c r="D160" s="13"/>
      <c r="E160" s="4">
        <f t="shared" ref="E160:M160" si="350">E4</f>
        <v>2017</v>
      </c>
      <c r="F160" s="4">
        <f t="shared" si="350"/>
        <v>2019</v>
      </c>
      <c r="G160" s="4">
        <f t="shared" si="350"/>
        <v>2020</v>
      </c>
      <c r="H160" s="4">
        <f t="shared" si="350"/>
        <v>2021</v>
      </c>
      <c r="I160" s="4">
        <f t="shared" si="350"/>
        <v>2030</v>
      </c>
      <c r="J160" s="4">
        <f t="shared" si="350"/>
        <v>2040</v>
      </c>
      <c r="K160" s="4">
        <f t="shared" ref="K160:L160" si="351">K4</f>
        <v>2050</v>
      </c>
      <c r="L160" s="4">
        <f t="shared" si="351"/>
        <v>2060</v>
      </c>
      <c r="M160" s="4">
        <f t="shared" si="350"/>
        <v>2070</v>
      </c>
      <c r="N160" s="311"/>
      <c r="O160" s="313">
        <f t="shared" ref="O160:W160" si="352">O$12</f>
        <v>2017</v>
      </c>
      <c r="P160" s="313">
        <f t="shared" si="352"/>
        <v>2019</v>
      </c>
      <c r="Q160" s="313">
        <f t="shared" si="352"/>
        <v>2020</v>
      </c>
      <c r="R160" s="313">
        <f t="shared" si="352"/>
        <v>2021</v>
      </c>
      <c r="S160" s="313">
        <f t="shared" si="352"/>
        <v>2030</v>
      </c>
      <c r="T160" s="313">
        <f t="shared" si="352"/>
        <v>2040</v>
      </c>
      <c r="U160" s="313">
        <f t="shared" si="352"/>
        <v>2050</v>
      </c>
      <c r="V160" s="313">
        <f t="shared" si="352"/>
        <v>2060</v>
      </c>
      <c r="W160" s="313">
        <f t="shared" si="352"/>
        <v>2070</v>
      </c>
      <c r="Y160" s="313">
        <f t="shared" ref="Y160:AG160" si="353">Y$12</f>
        <v>2017</v>
      </c>
      <c r="Z160" s="313">
        <f t="shared" si="353"/>
        <v>2019</v>
      </c>
      <c r="AA160" s="313">
        <f t="shared" si="353"/>
        <v>2020</v>
      </c>
      <c r="AB160" s="313">
        <f t="shared" si="353"/>
        <v>2021</v>
      </c>
      <c r="AC160" s="313">
        <f t="shared" si="353"/>
        <v>2030</v>
      </c>
      <c r="AD160" s="313">
        <f t="shared" si="353"/>
        <v>2040</v>
      </c>
      <c r="AE160" s="313">
        <f t="shared" si="353"/>
        <v>2050</v>
      </c>
      <c r="AF160" s="313">
        <f t="shared" si="353"/>
        <v>2060</v>
      </c>
      <c r="AG160" s="314">
        <f t="shared" si="353"/>
        <v>2070</v>
      </c>
      <c r="AK160" s="13">
        <v>2030</v>
      </c>
      <c r="AL160" s="13">
        <v>2040</v>
      </c>
      <c r="AM160" s="13">
        <v>2050</v>
      </c>
      <c r="AN160" s="13">
        <v>2060</v>
      </c>
      <c r="AO160" s="13">
        <v>2070</v>
      </c>
      <c r="AP160" s="13"/>
      <c r="AQ160" s="13">
        <v>2030</v>
      </c>
      <c r="AR160" s="13">
        <v>2040</v>
      </c>
      <c r="AS160" s="13">
        <v>2050</v>
      </c>
      <c r="AU160" s="13">
        <v>2030</v>
      </c>
      <c r="AV160" s="13">
        <v>2040</v>
      </c>
      <c r="AW160" s="13">
        <v>2050</v>
      </c>
    </row>
    <row r="161" spans="1:50">
      <c r="A161" t="s">
        <v>16</v>
      </c>
      <c r="B161" t="s">
        <v>116</v>
      </c>
      <c r="C161" t="s">
        <v>88</v>
      </c>
      <c r="D161" t="s">
        <v>75</v>
      </c>
      <c r="E161" s="38">
        <f t="shared" ref="E161:J168" si="354">IF($D$4,Y161,O161)</f>
        <v>113.03311091083582</v>
      </c>
      <c r="F161" s="38">
        <f t="shared" si="354"/>
        <v>118.46307900397879</v>
      </c>
      <c r="G161" s="38">
        <f t="shared" si="354"/>
        <v>109.6316893111631</v>
      </c>
      <c r="H161" s="38">
        <f t="shared" si="354"/>
        <v>116.21592076775832</v>
      </c>
      <c r="I161" s="38">
        <f t="shared" si="354"/>
        <v>120.4239108010257</v>
      </c>
      <c r="J161" s="38">
        <f t="shared" si="354"/>
        <v>140.46628357681126</v>
      </c>
      <c r="K161" s="38">
        <f t="shared" ref="K161:K168" si="355">IF($D$4,AD161,T161)</f>
        <v>140.46628357681126</v>
      </c>
      <c r="L161" s="38">
        <f t="shared" ref="L161:L168" si="356">IF($D$4,AD161,T161)</f>
        <v>140.46628357681126</v>
      </c>
      <c r="M161" s="307">
        <f t="shared" ref="M161:M168" si="357">IF($D$4,AG161,W161)</f>
        <v>198.40774048726047</v>
      </c>
      <c r="N161" s="311" t="str">
        <f t="shared" ref="N161:N168" si="358">C161</f>
        <v>Car</v>
      </c>
      <c r="O161" s="6">
        <f t="shared" ref="O161:R161" si="359">SUMPRODUCT(O$35:O$38,O$41:O$44,O$54:O$57)*O132</f>
        <v>113.03311091083582</v>
      </c>
      <c r="P161" s="6">
        <f t="shared" si="359"/>
        <v>118.46307900397879</v>
      </c>
      <c r="Q161" s="6">
        <f t="shared" si="359"/>
        <v>109.6316893111631</v>
      </c>
      <c r="R161" s="6">
        <f t="shared" si="359"/>
        <v>116.21592076775832</v>
      </c>
      <c r="S161" s="340">
        <f t="shared" ref="S161:W163" si="360">SUMPRODUCT(S$35:S$38,S$41:S$44,S$54:S$57)*S132</f>
        <v>138.93636920708354</v>
      </c>
      <c r="T161" s="341">
        <f t="shared" si="360"/>
        <v>179.38432838590123</v>
      </c>
      <c r="U161" s="341">
        <f t="shared" ref="U161:V161" si="361">SUMPRODUCT(U$35:U$38,U$41:U$44,U$54:U$57)*U132</f>
        <v>230.7494233669467</v>
      </c>
      <c r="V161" s="341">
        <f t="shared" si="361"/>
        <v>258.06851662624325</v>
      </c>
      <c r="W161" s="342">
        <f t="shared" si="360"/>
        <v>280.76881061774264</v>
      </c>
      <c r="X161" s="348" t="s">
        <v>787</v>
      </c>
      <c r="Y161" s="6">
        <f t="shared" ref="Y161:AB168" si="362">O161</f>
        <v>113.03311091083582</v>
      </c>
      <c r="Z161" s="6">
        <f t="shared" si="362"/>
        <v>118.46307900397879</v>
      </c>
      <c r="AA161" s="6">
        <f t="shared" si="362"/>
        <v>109.6316893111631</v>
      </c>
      <c r="AB161" s="6">
        <f t="shared" si="362"/>
        <v>116.21592076775832</v>
      </c>
      <c r="AC161" s="340">
        <f t="shared" ref="AC161:AG161" si="363">SUMPRODUCT(AC$35:AC$38,AC$41:AC$44,AC$54:AC$57)*AC132</f>
        <v>120.4239108010257</v>
      </c>
      <c r="AD161" s="341">
        <f t="shared" si="363"/>
        <v>140.46628357681126</v>
      </c>
      <c r="AE161" s="341">
        <f t="shared" si="363"/>
        <v>178.78982903448522</v>
      </c>
      <c r="AF161" s="341">
        <f t="shared" si="363"/>
        <v>199.9212653391173</v>
      </c>
      <c r="AG161" s="342">
        <f t="shared" si="363"/>
        <v>198.40774048726047</v>
      </c>
      <c r="AK161" s="198">
        <v>0.8</v>
      </c>
      <c r="AL161" s="198">
        <f>AVERAGE(AK161,AN161)</f>
        <v>0.8</v>
      </c>
      <c r="AM161" s="198">
        <v>0.8</v>
      </c>
      <c r="AN161" s="198">
        <v>0.8</v>
      </c>
      <c r="AO161" s="198">
        <v>0.8</v>
      </c>
      <c r="AP161" s="209"/>
      <c r="AQ161" s="198">
        <f>AVERAGE(1,1,AS161)</f>
        <v>0.93333333333333324</v>
      </c>
      <c r="AR161" s="198">
        <f>AVERAGE(AQ161,AS161)</f>
        <v>0.8666666666666667</v>
      </c>
      <c r="AS161" s="198">
        <v>0.8</v>
      </c>
      <c r="AU161" s="198">
        <v>0.8</v>
      </c>
      <c r="AV161" s="198">
        <f>AVERAGE(AW161,AU161)</f>
        <v>0.75</v>
      </c>
      <c r="AW161" s="198">
        <v>0.7</v>
      </c>
    </row>
    <row r="162" spans="1:50">
      <c r="A162" t="s">
        <v>16</v>
      </c>
      <c r="B162" t="s">
        <v>115</v>
      </c>
      <c r="C162" t="s">
        <v>87</v>
      </c>
      <c r="D162" t="s">
        <v>75</v>
      </c>
      <c r="E162" s="38">
        <f t="shared" si="354"/>
        <v>24.019536068552615</v>
      </c>
      <c r="F162" s="38">
        <f t="shared" si="354"/>
        <v>25.173404288345498</v>
      </c>
      <c r="G162" s="38">
        <f t="shared" si="354"/>
        <v>23.296733978622161</v>
      </c>
      <c r="H162" s="38">
        <f t="shared" si="354"/>
        <v>24.695883163148647</v>
      </c>
      <c r="I162" s="38">
        <f t="shared" si="354"/>
        <v>25.590081045217964</v>
      </c>
      <c r="J162" s="38">
        <f t="shared" si="354"/>
        <v>29.849085260072396</v>
      </c>
      <c r="K162" s="38">
        <f t="shared" si="355"/>
        <v>29.849085260072396</v>
      </c>
      <c r="L162" s="38">
        <f t="shared" si="356"/>
        <v>29.849085260072396</v>
      </c>
      <c r="M162" s="307">
        <f t="shared" si="357"/>
        <v>42.161644853542853</v>
      </c>
      <c r="N162" s="311" t="str">
        <f t="shared" si="358"/>
        <v>SUV</v>
      </c>
      <c r="O162" s="6">
        <f t="shared" ref="O162:R162" si="364">SUMPRODUCT(O$35:O$38,O$41:O$44,O$54:O$57)*O133</f>
        <v>24.019536068552615</v>
      </c>
      <c r="P162" s="6">
        <f t="shared" si="364"/>
        <v>25.173404288345498</v>
      </c>
      <c r="Q162" s="6">
        <f t="shared" si="364"/>
        <v>23.296733978622161</v>
      </c>
      <c r="R162" s="6">
        <f t="shared" si="364"/>
        <v>24.695883163148647</v>
      </c>
      <c r="S162" s="343">
        <f t="shared" si="360"/>
        <v>29.523978456505255</v>
      </c>
      <c r="T162" s="315">
        <f t="shared" si="360"/>
        <v>38.119169782004015</v>
      </c>
      <c r="U162" s="315">
        <f>SUMPRODUCT(U$35:U$38,U$41:U$44,U$54:U$57)*U133</f>
        <v>49.034252465476179</v>
      </c>
      <c r="V162" s="315">
        <f>SUMPRODUCT(V$35:V$38,V$41:V$44,V$54:V$57)*V133</f>
        <v>54.839559783076695</v>
      </c>
      <c r="W162" s="344">
        <f>SUMPRODUCT(W$35:W$38,W$41:W$44,W$54:W$57)*W133</f>
        <v>59.663372256270321</v>
      </c>
      <c r="Y162" s="6">
        <f t="shared" si="362"/>
        <v>24.019536068552615</v>
      </c>
      <c r="Z162" s="6">
        <f t="shared" si="362"/>
        <v>25.173404288345498</v>
      </c>
      <c r="AA162" s="6">
        <f t="shared" si="362"/>
        <v>23.296733978622161</v>
      </c>
      <c r="AB162" s="6">
        <f t="shared" si="362"/>
        <v>24.695883163148647</v>
      </c>
      <c r="AC162" s="343">
        <f t="shared" ref="AC162:AD162" si="365">SUMPRODUCT(AC$35:AC$38,AC$41:AC$44,AC$54:AC$57)*AC133</f>
        <v>25.590081045217964</v>
      </c>
      <c r="AD162" s="315">
        <f t="shared" si="365"/>
        <v>29.849085260072396</v>
      </c>
      <c r="AE162" s="315">
        <f>SUMPRODUCT(AE$35:AE$38,AE$41:AE$44,AE$54:AE$57)*AE133</f>
        <v>37.992838669828117</v>
      </c>
      <c r="AF162" s="315">
        <f>SUMPRODUCT(AF$35:AF$38,AF$41:AF$44,AF$54:AF$57)*AF133</f>
        <v>42.483268884562428</v>
      </c>
      <c r="AG162" s="344">
        <f>SUMPRODUCT(AG$35:AG$38,AG$41:AG$44,AG$54:AG$57)*AG133</f>
        <v>42.161644853542853</v>
      </c>
      <c r="AK162" s="198">
        <f>AK161</f>
        <v>0.8</v>
      </c>
      <c r="AL162" s="198">
        <f t="shared" ref="AL162:AN162" si="366">AL161</f>
        <v>0.8</v>
      </c>
      <c r="AM162" s="198">
        <f t="shared" ref="AM162" si="367">AM161</f>
        <v>0.8</v>
      </c>
      <c r="AN162" s="198">
        <f t="shared" si="366"/>
        <v>0.8</v>
      </c>
      <c r="AO162" s="198">
        <f t="shared" ref="AO162" si="368">AO161</f>
        <v>0.8</v>
      </c>
      <c r="AP162" s="209"/>
      <c r="AQ162" s="198">
        <f>AQ161</f>
        <v>0.93333333333333324</v>
      </c>
      <c r="AR162" s="198">
        <f t="shared" ref="AR162:AS162" si="369">AR161</f>
        <v>0.8666666666666667</v>
      </c>
      <c r="AS162" s="198">
        <f t="shared" si="369"/>
        <v>0.8</v>
      </c>
      <c r="AU162" s="198">
        <f>AU161</f>
        <v>0.8</v>
      </c>
      <c r="AV162" s="198">
        <f t="shared" ref="AV162:AW162" si="370">AV161</f>
        <v>0.75</v>
      </c>
      <c r="AW162" s="198">
        <f t="shared" si="370"/>
        <v>0.7</v>
      </c>
    </row>
    <row r="163" spans="1:50" ht="15.75" thickBot="1">
      <c r="A163" t="s">
        <v>16</v>
      </c>
      <c r="B163" t="s">
        <v>171</v>
      </c>
      <c r="C163" t="s">
        <v>198</v>
      </c>
      <c r="D163" t="s">
        <v>75</v>
      </c>
      <c r="E163" s="38">
        <f t="shared" si="354"/>
        <v>4.2387416591563438</v>
      </c>
      <c r="F163" s="38">
        <f t="shared" si="354"/>
        <v>4.4423654626492048</v>
      </c>
      <c r="G163" s="38">
        <f t="shared" si="354"/>
        <v>4.1111883491686161</v>
      </c>
      <c r="H163" s="38">
        <f t="shared" si="354"/>
        <v>4.3580970287909366</v>
      </c>
      <c r="I163" s="38">
        <f t="shared" si="354"/>
        <v>4.515896655038464</v>
      </c>
      <c r="J163" s="38">
        <f t="shared" si="354"/>
        <v>5.2674856341304226</v>
      </c>
      <c r="K163" s="38">
        <f t="shared" si="355"/>
        <v>5.2674856341304226</v>
      </c>
      <c r="L163" s="38">
        <f t="shared" si="356"/>
        <v>5.2674856341304226</v>
      </c>
      <c r="M163" s="307">
        <f t="shared" si="357"/>
        <v>7.4402902682722676</v>
      </c>
      <c r="N163" s="311" t="str">
        <f t="shared" si="358"/>
        <v>Motorbike</v>
      </c>
      <c r="O163" s="6">
        <f t="shared" ref="O163:R163" si="371">SUMPRODUCT(O$35:O$38,O$41:O$44,O$54:O$57)*O134</f>
        <v>4.2387416591563438</v>
      </c>
      <c r="P163" s="6">
        <f t="shared" si="371"/>
        <v>4.4423654626492048</v>
      </c>
      <c r="Q163" s="6">
        <f t="shared" si="371"/>
        <v>4.1111883491686161</v>
      </c>
      <c r="R163" s="6">
        <f t="shared" si="371"/>
        <v>4.3580970287909366</v>
      </c>
      <c r="S163" s="345">
        <f t="shared" si="360"/>
        <v>5.2101138452656324</v>
      </c>
      <c r="T163" s="346">
        <f t="shared" si="360"/>
        <v>6.7269123144712966</v>
      </c>
      <c r="U163" s="346">
        <f t="shared" ref="U163:V163" si="372">SUMPRODUCT(U$35:U$38,U$41:U$44,U$54:U$57)*U134</f>
        <v>8.6531033762605016</v>
      </c>
      <c r="V163" s="346">
        <f t="shared" si="372"/>
        <v>9.6775693734841219</v>
      </c>
      <c r="W163" s="347">
        <f t="shared" si="360"/>
        <v>10.528830398165349</v>
      </c>
      <c r="Y163" s="6">
        <f t="shared" si="362"/>
        <v>4.2387416591563438</v>
      </c>
      <c r="Z163" s="6">
        <f t="shared" si="362"/>
        <v>4.4423654626492048</v>
      </c>
      <c r="AA163" s="6">
        <f t="shared" si="362"/>
        <v>4.1111883491686161</v>
      </c>
      <c r="AB163" s="6">
        <f t="shared" si="362"/>
        <v>4.3580970287909366</v>
      </c>
      <c r="AC163" s="345">
        <f t="shared" ref="AC163:AG163" si="373">SUMPRODUCT(AC$35:AC$38,AC$41:AC$44,AC$54:AC$57)*AC134</f>
        <v>4.515896655038464</v>
      </c>
      <c r="AD163" s="346">
        <f t="shared" si="373"/>
        <v>5.2674856341304226</v>
      </c>
      <c r="AE163" s="346">
        <f t="shared" si="373"/>
        <v>6.7046185887931955</v>
      </c>
      <c r="AF163" s="346">
        <f t="shared" si="373"/>
        <v>7.4970474502168987</v>
      </c>
      <c r="AG163" s="347">
        <f t="shared" si="373"/>
        <v>7.4402902682722676</v>
      </c>
      <c r="AK163" s="209">
        <v>1</v>
      </c>
      <c r="AL163" s="209">
        <v>1</v>
      </c>
      <c r="AM163" s="209">
        <v>1</v>
      </c>
      <c r="AN163" s="209">
        <v>1</v>
      </c>
      <c r="AO163" s="209">
        <v>1</v>
      </c>
      <c r="AP163" s="209"/>
      <c r="AQ163" s="209">
        <v>1</v>
      </c>
      <c r="AR163" s="209">
        <v>1</v>
      </c>
      <c r="AS163" s="209">
        <v>1</v>
      </c>
      <c r="AT163" s="209"/>
      <c r="AU163" s="209">
        <v>1</v>
      </c>
      <c r="AV163" s="209">
        <v>1</v>
      </c>
      <c r="AW163" s="209">
        <v>1</v>
      </c>
    </row>
    <row r="164" spans="1:50">
      <c r="A164" t="s">
        <v>16</v>
      </c>
      <c r="B164" t="s">
        <v>117</v>
      </c>
      <c r="C164" t="s">
        <v>53</v>
      </c>
      <c r="D164" t="s">
        <v>75</v>
      </c>
      <c r="E164" s="38">
        <f t="shared" si="354"/>
        <v>16.019623147367891</v>
      </c>
      <c r="F164" s="38">
        <f t="shared" si="354"/>
        <v>16.390365445896254</v>
      </c>
      <c r="G164" s="38">
        <f t="shared" si="354"/>
        <v>16.665664027538941</v>
      </c>
      <c r="H164" s="38">
        <f t="shared" si="354"/>
        <v>16.842454125788834</v>
      </c>
      <c r="I164" s="38">
        <f t="shared" si="354"/>
        <v>18.497462633680335</v>
      </c>
      <c r="J164" s="38">
        <f t="shared" si="354"/>
        <v>19.466815458951071</v>
      </c>
      <c r="K164" s="38">
        <f t="shared" si="355"/>
        <v>19.466815458951071</v>
      </c>
      <c r="L164" s="38">
        <f t="shared" si="356"/>
        <v>19.466815458951071</v>
      </c>
      <c r="M164" s="307">
        <f t="shared" si="357"/>
        <v>19.304092103521135</v>
      </c>
      <c r="N164" s="311" t="str">
        <f t="shared" si="358"/>
        <v>Bus</v>
      </c>
      <c r="O164" s="6">
        <f t="shared" ref="O164:R164" si="374">O152*O142</f>
        <v>16.019623147367891</v>
      </c>
      <c r="P164" s="6">
        <f t="shared" si="374"/>
        <v>16.390365445896254</v>
      </c>
      <c r="Q164" s="6">
        <f t="shared" si="374"/>
        <v>16.665664027538941</v>
      </c>
      <c r="R164" s="6">
        <f t="shared" si="374"/>
        <v>16.842454125788834</v>
      </c>
      <c r="S164" s="254">
        <f>S152*S142</f>
        <v>17.820918529388283</v>
      </c>
      <c r="T164" s="254">
        <f t="shared" ref="S164:W166" si="375">T152*T142</f>
        <v>18.073916612121252</v>
      </c>
      <c r="U164" s="254">
        <f t="shared" ref="U164:V164" si="376">U152*U142</f>
        <v>17.491635529566878</v>
      </c>
      <c r="V164" s="254">
        <f t="shared" si="376"/>
        <v>17.132754329065854</v>
      </c>
      <c r="W164" s="254">
        <f t="shared" si="375"/>
        <v>16.428437925556729</v>
      </c>
      <c r="X164" s="253" t="s">
        <v>788</v>
      </c>
      <c r="Y164" s="6">
        <f t="shared" si="362"/>
        <v>16.019623147367891</v>
      </c>
      <c r="Z164" s="6">
        <f t="shared" si="362"/>
        <v>16.390365445896254</v>
      </c>
      <c r="AA164" s="6">
        <f t="shared" si="362"/>
        <v>16.665664027538941</v>
      </c>
      <c r="AB164" s="6">
        <f t="shared" si="362"/>
        <v>16.842454125788834</v>
      </c>
      <c r="AC164" s="254">
        <f>AC152*AC142</f>
        <v>18.497462633680335</v>
      </c>
      <c r="AD164" s="254">
        <f t="shared" ref="AD164:AG164" si="377">AD152*AD142</f>
        <v>19.466815458951071</v>
      </c>
      <c r="AE164" s="254">
        <f t="shared" si="377"/>
        <v>19.218974768627252</v>
      </c>
      <c r="AF164" s="254">
        <f t="shared" si="377"/>
        <v>19.036820975066412</v>
      </c>
      <c r="AG164" s="254">
        <f t="shared" si="377"/>
        <v>19.304092103521135</v>
      </c>
      <c r="AK164" s="6">
        <f t="shared" ref="AK164:AL168" si="378">SUM(S$161:S$162)*(1-AK$161) *AK175</f>
        <v>4.188714240034269</v>
      </c>
      <c r="AL164" s="6">
        <f t="shared" si="378"/>
        <v>5.4081569501004276</v>
      </c>
      <c r="AM164" s="6">
        <f t="shared" ref="AM164:AO168" si="379">SUM(V$161:V$162)*(1-AM$161) *AM175</f>
        <v>7.7803621662639006</v>
      </c>
      <c r="AN164" s="6">
        <f t="shared" si="379"/>
        <v>8.4647405276520136</v>
      </c>
      <c r="AO164" s="6">
        <f t="shared" si="379"/>
        <v>0</v>
      </c>
      <c r="AP164" s="6"/>
      <c r="AQ164" s="6">
        <f t="shared" ref="AQ164:AR168" si="380">SUM(S$161:S$162)*(1-AQ$161) *AQ175</f>
        <v>1.3962380800114254</v>
      </c>
      <c r="AR164" s="6">
        <f t="shared" si="380"/>
        <v>3.6054379667336187</v>
      </c>
      <c r="AS164" s="6">
        <f>SUM(W$161:W$162)*(1-AS$161) *AS175</f>
        <v>8.4647405276520136</v>
      </c>
      <c r="AT164" s="6"/>
      <c r="AU164" s="6">
        <f t="shared" ref="AU164:AV168" si="381">SUM(S$161:S$162)*(1-AU$161) *AU175</f>
        <v>4.188714240034269</v>
      </c>
      <c r="AV164" s="6">
        <f t="shared" si="381"/>
        <v>6.7601961876255361</v>
      </c>
      <c r="AW164" s="6">
        <f>SUM(W$161:W$162)*(1-AW$161) *AW175</f>
        <v>12.697110791478025</v>
      </c>
    </row>
    <row r="165" spans="1:50">
      <c r="A165" t="s">
        <v>16</v>
      </c>
      <c r="B165" t="s">
        <v>118</v>
      </c>
      <c r="C165" t="s">
        <v>52</v>
      </c>
      <c r="D165" t="s">
        <v>75</v>
      </c>
      <c r="E165" s="38">
        <f t="shared" si="354"/>
        <v>100.65537861765586</v>
      </c>
      <c r="F165" s="38">
        <f t="shared" si="354"/>
        <v>102.9848470505062</v>
      </c>
      <c r="G165" s="38">
        <f t="shared" si="354"/>
        <v>104.71461826380103</v>
      </c>
      <c r="H165" s="38">
        <f t="shared" si="354"/>
        <v>105.82543554779683</v>
      </c>
      <c r="I165" s="38">
        <f t="shared" si="354"/>
        <v>112.49004662673207</v>
      </c>
      <c r="J165" s="38">
        <f t="shared" si="354"/>
        <v>115.33859675678991</v>
      </c>
      <c r="K165" s="38">
        <f t="shared" si="355"/>
        <v>115.33859675678991</v>
      </c>
      <c r="L165" s="38">
        <f t="shared" si="356"/>
        <v>115.33859675678991</v>
      </c>
      <c r="M165" s="307">
        <f t="shared" si="357"/>
        <v>114.37447997485293</v>
      </c>
      <c r="N165" s="311" t="str">
        <f t="shared" si="358"/>
        <v>Minibus</v>
      </c>
      <c r="O165" s="6">
        <f t="shared" ref="O165:R165" si="382">O153*O143</f>
        <v>100.65537861765586</v>
      </c>
      <c r="P165" s="6">
        <f t="shared" si="382"/>
        <v>102.9848470505062</v>
      </c>
      <c r="Q165" s="6">
        <f t="shared" si="382"/>
        <v>104.71461826380103</v>
      </c>
      <c r="R165" s="6">
        <f t="shared" si="382"/>
        <v>105.82543554779683</v>
      </c>
      <c r="S165" s="254">
        <f t="shared" si="375"/>
        <v>111.97337698825345</v>
      </c>
      <c r="T165" s="254">
        <f t="shared" si="375"/>
        <v>113.56302847835181</v>
      </c>
      <c r="U165" s="254">
        <f t="shared" ref="U165:V165" si="383">U153*U143</f>
        <v>109.90440790486855</v>
      </c>
      <c r="V165" s="254">
        <f t="shared" si="383"/>
        <v>107.64946577652486</v>
      </c>
      <c r="W165" s="254">
        <f t="shared" si="375"/>
        <v>103.22406615197222</v>
      </c>
      <c r="X165" s="334" t="s">
        <v>790</v>
      </c>
      <c r="Y165" s="6">
        <f t="shared" si="362"/>
        <v>100.65537861765586</v>
      </c>
      <c r="Z165" s="6">
        <f t="shared" si="362"/>
        <v>102.9848470505062</v>
      </c>
      <c r="AA165" s="6">
        <f t="shared" si="362"/>
        <v>104.71461826380103</v>
      </c>
      <c r="AB165" s="6">
        <f t="shared" si="362"/>
        <v>105.82543554779683</v>
      </c>
      <c r="AC165" s="254">
        <f t="shared" ref="AC165:AG165" si="384">AC153*AC143</f>
        <v>112.49004662673207</v>
      </c>
      <c r="AD165" s="254">
        <f t="shared" si="384"/>
        <v>115.33859675678991</v>
      </c>
      <c r="AE165" s="254">
        <f t="shared" si="384"/>
        <v>113.8701697559042</v>
      </c>
      <c r="AF165" s="254">
        <f t="shared" si="384"/>
        <v>112.79092990860946</v>
      </c>
      <c r="AG165" s="254">
        <f t="shared" si="384"/>
        <v>114.37447997485293</v>
      </c>
      <c r="AK165" s="6">
        <f t="shared" si="378"/>
        <v>26.318760052797476</v>
      </c>
      <c r="AL165" s="6">
        <f t="shared" si="378"/>
        <v>33.980829662994076</v>
      </c>
      <c r="AM165" s="6">
        <f t="shared" si="379"/>
        <v>48.886000152659712</v>
      </c>
      <c r="AN165" s="6">
        <f t="shared" si="379"/>
        <v>53.186123972649192</v>
      </c>
      <c r="AO165" s="6">
        <f t="shared" si="379"/>
        <v>0</v>
      </c>
      <c r="AP165" s="6"/>
      <c r="AQ165" s="6">
        <f t="shared" si="380"/>
        <v>8.7729200175991746</v>
      </c>
      <c r="AR165" s="6">
        <f t="shared" si="380"/>
        <v>22.65388644199605</v>
      </c>
      <c r="AS165" s="6">
        <f>SUM(W$161:W$162)*(1-AS$161) *AS176</f>
        <v>53.186123972649192</v>
      </c>
      <c r="AT165" s="6"/>
      <c r="AU165" s="6">
        <f t="shared" si="381"/>
        <v>26.318760052797476</v>
      </c>
      <c r="AV165" s="6">
        <f t="shared" si="381"/>
        <v>42.476037078742607</v>
      </c>
      <c r="AW165" s="6">
        <f>SUM(W$161:W$162)*(1-AW$161) *AW176</f>
        <v>79.779185958973812</v>
      </c>
    </row>
    <row r="166" spans="1:50">
      <c r="A166" t="s">
        <v>16</v>
      </c>
      <c r="B166" t="s">
        <v>119</v>
      </c>
      <c r="C166" t="s">
        <v>54</v>
      </c>
      <c r="D166" t="s">
        <v>75</v>
      </c>
      <c r="E166" s="38">
        <f t="shared" si="354"/>
        <v>1.8199995725306073</v>
      </c>
      <c r="F166" s="38">
        <f t="shared" si="354"/>
        <v>2.7827386966557452</v>
      </c>
      <c r="G166" s="38">
        <f t="shared" si="354"/>
        <v>2.7728192749407472</v>
      </c>
      <c r="H166" s="38">
        <f t="shared" si="354"/>
        <v>2.8312206322409188</v>
      </c>
      <c r="I166" s="38">
        <f t="shared" si="354"/>
        <v>2.7107997568530555</v>
      </c>
      <c r="J166" s="38">
        <f t="shared" si="354"/>
        <v>2.9247283726769364</v>
      </c>
      <c r="K166" s="38">
        <f t="shared" si="355"/>
        <v>2.9247283726769364</v>
      </c>
      <c r="L166" s="38">
        <f t="shared" si="356"/>
        <v>2.9247283726769364</v>
      </c>
      <c r="M166" s="307">
        <f t="shared" si="357"/>
        <v>3.2160675508587659</v>
      </c>
      <c r="N166" s="311" t="str">
        <f t="shared" si="358"/>
        <v>BRT</v>
      </c>
      <c r="O166" s="6">
        <f t="shared" ref="O166:R166" si="385">O154*O144</f>
        <v>1.8199995725306073</v>
      </c>
      <c r="P166" s="6">
        <f t="shared" si="385"/>
        <v>2.7827386966557452</v>
      </c>
      <c r="Q166" s="6">
        <f t="shared" si="385"/>
        <v>2.7728192749407472</v>
      </c>
      <c r="R166" s="6">
        <f t="shared" si="385"/>
        <v>2.8312206322409188</v>
      </c>
      <c r="S166" s="254">
        <f t="shared" si="375"/>
        <v>3.0837140091185553</v>
      </c>
      <c r="T166" s="254">
        <f t="shared" si="375"/>
        <v>3.3270719583361981</v>
      </c>
      <c r="U166" s="254">
        <f t="shared" ref="U166:V166" si="386">U154*U144</f>
        <v>3.5116050165620889</v>
      </c>
      <c r="V166" s="254">
        <f t="shared" si="386"/>
        <v>3.6159272158105646</v>
      </c>
      <c r="W166" s="254">
        <f t="shared" si="375"/>
        <v>3.6584895419821946</v>
      </c>
      <c r="Y166" s="6">
        <f t="shared" si="362"/>
        <v>1.8199995725306073</v>
      </c>
      <c r="Z166" s="6">
        <f t="shared" si="362"/>
        <v>2.7827386966557452</v>
      </c>
      <c r="AA166" s="6">
        <f t="shared" si="362"/>
        <v>2.7728192749407472</v>
      </c>
      <c r="AB166" s="6">
        <f t="shared" si="362"/>
        <v>2.8312206322409188</v>
      </c>
      <c r="AC166" s="254">
        <f t="shared" ref="AC166:AG166" si="387">AC154*AC144</f>
        <v>2.7107997568530555</v>
      </c>
      <c r="AD166" s="254">
        <f t="shared" si="387"/>
        <v>2.9247283726769364</v>
      </c>
      <c r="AE166" s="254">
        <f t="shared" si="387"/>
        <v>3.0869458052569048</v>
      </c>
      <c r="AF166" s="254">
        <f t="shared" si="387"/>
        <v>3.1786522966892869</v>
      </c>
      <c r="AG166" s="254">
        <f t="shared" si="387"/>
        <v>3.2160675508587659</v>
      </c>
      <c r="AK166" s="6">
        <f t="shared" si="378"/>
        <v>0.72481094399747747</v>
      </c>
      <c r="AL166" s="6">
        <f t="shared" si="378"/>
        <v>0.9358220971065192</v>
      </c>
      <c r="AM166" s="6">
        <f t="shared" si="379"/>
        <v>1.3463061271818484</v>
      </c>
      <c r="AN166" s="6">
        <f t="shared" si="379"/>
        <v>1.4647302778264881</v>
      </c>
      <c r="AO166" s="6">
        <f t="shared" si="379"/>
        <v>0</v>
      </c>
      <c r="AP166" s="6"/>
      <c r="AQ166" s="6">
        <f t="shared" si="380"/>
        <v>0.24160364799915957</v>
      </c>
      <c r="AR166" s="6">
        <f t="shared" si="380"/>
        <v>0.62388139807101284</v>
      </c>
      <c r="AS166" s="6">
        <f>SUM(W$161:W$162)*(1-AS$161) *AS177</f>
        <v>1.4647302778264881</v>
      </c>
      <c r="AT166" s="6"/>
      <c r="AU166" s="6">
        <f t="shared" si="381"/>
        <v>0.72481094399747747</v>
      </c>
      <c r="AV166" s="6">
        <f t="shared" si="381"/>
        <v>1.1697776213831494</v>
      </c>
      <c r="AW166" s="6">
        <f>SUM(W$161:W$162)*(1-AW$161) *AW177</f>
        <v>2.197095416739733</v>
      </c>
    </row>
    <row r="167" spans="1:50">
      <c r="A167" t="s">
        <v>16</v>
      </c>
      <c r="B167" t="s">
        <v>120</v>
      </c>
      <c r="C167" t="s">
        <v>74</v>
      </c>
      <c r="D167" t="str">
        <f>D166</f>
        <v>billion</v>
      </c>
      <c r="E167" s="38">
        <f t="shared" si="354"/>
        <v>8.6741621423932465</v>
      </c>
      <c r="F167" s="38">
        <f t="shared" si="354"/>
        <v>8.8749083635056305</v>
      </c>
      <c r="G167" s="38">
        <f t="shared" si="354"/>
        <v>9.0239745751619225</v>
      </c>
      <c r="H167" s="38">
        <f t="shared" si="354"/>
        <v>9.1197012950280598</v>
      </c>
      <c r="I167" s="38">
        <f t="shared" si="354"/>
        <v>13.75007003286097</v>
      </c>
      <c r="J167" s="38">
        <f t="shared" si="354"/>
        <v>17.517087463062389</v>
      </c>
      <c r="K167" s="38">
        <f t="shared" si="355"/>
        <v>17.517087463062389</v>
      </c>
      <c r="L167" s="38">
        <f t="shared" si="356"/>
        <v>17.517087463062389</v>
      </c>
      <c r="M167" s="307">
        <f t="shared" si="357"/>
        <v>17.370661908489286</v>
      </c>
      <c r="N167" s="311" t="str">
        <f t="shared" si="358"/>
        <v>Metro Rail</v>
      </c>
      <c r="O167" s="6">
        <f t="shared" ref="O167:R167" si="388">O155</f>
        <v>8.6741621423932465</v>
      </c>
      <c r="P167" s="6">
        <f t="shared" si="388"/>
        <v>8.8749083635056305</v>
      </c>
      <c r="Q167" s="6">
        <f t="shared" si="388"/>
        <v>9.0239745751619225</v>
      </c>
      <c r="R167" s="6">
        <f t="shared" si="388"/>
        <v>9.1197012950280598</v>
      </c>
      <c r="S167" s="338">
        <f t="shared" ref="S167:W168" si="389">S155</f>
        <v>9.6495114415779959</v>
      </c>
      <c r="T167" s="338">
        <f t="shared" si="389"/>
        <v>9.7865025787072693</v>
      </c>
      <c r="U167" s="338">
        <f t="shared" ref="U167:V167" si="390">U155</f>
        <v>9.4712142304070923</v>
      </c>
      <c r="V167" s="338">
        <f t="shared" si="390"/>
        <v>9.2768904504800904</v>
      </c>
      <c r="W167" s="338">
        <f t="shared" si="389"/>
        <v>8.8955235089868872</v>
      </c>
      <c r="X167" s="281" t="s">
        <v>789</v>
      </c>
      <c r="Y167" s="6">
        <f t="shared" si="362"/>
        <v>8.6741621423932465</v>
      </c>
      <c r="Z167" s="6">
        <f t="shared" si="362"/>
        <v>8.8749083635056305</v>
      </c>
      <c r="AA167" s="6">
        <f t="shared" si="362"/>
        <v>9.0239745751619225</v>
      </c>
      <c r="AB167" s="6">
        <f t="shared" si="362"/>
        <v>9.1197012950280598</v>
      </c>
      <c r="AC167" s="338">
        <f t="shared" ref="AC167:AG167" si="391">AC155</f>
        <v>13.75007003286097</v>
      </c>
      <c r="AD167" s="338">
        <f t="shared" si="391"/>
        <v>17.517087463062389</v>
      </c>
      <c r="AE167" s="338">
        <f t="shared" si="391"/>
        <v>17.294069627481488</v>
      </c>
      <c r="AF167" s="338">
        <f t="shared" si="391"/>
        <v>17.130159719347713</v>
      </c>
      <c r="AG167" s="338">
        <f t="shared" si="391"/>
        <v>17.370661908489286</v>
      </c>
      <c r="AK167" s="6">
        <f t="shared" si="378"/>
        <v>2.268067491473952</v>
      </c>
      <c r="AL167" s="6">
        <f t="shared" si="378"/>
        <v>2.9283604142953772</v>
      </c>
      <c r="AM167" s="6">
        <f t="shared" si="379"/>
        <v>4.2128408599801359</v>
      </c>
      <c r="AN167" s="6">
        <f t="shared" si="379"/>
        <v>4.5834119289007731</v>
      </c>
      <c r="AO167" s="6">
        <f t="shared" si="379"/>
        <v>0</v>
      </c>
      <c r="AP167" s="6"/>
      <c r="AQ167" s="6">
        <f t="shared" si="380"/>
        <v>0.75602249715798542</v>
      </c>
      <c r="AR167" s="6">
        <f t="shared" si="380"/>
        <v>1.9522402761969182</v>
      </c>
      <c r="AS167" s="6">
        <f>SUM(W$161:W$162)*(1-AS$161) *AS178</f>
        <v>4.5834119289007731</v>
      </c>
      <c r="AT167" s="6"/>
      <c r="AU167" s="6">
        <f t="shared" si="381"/>
        <v>2.268067491473952</v>
      </c>
      <c r="AV167" s="6">
        <f t="shared" si="381"/>
        <v>3.6604505178692222</v>
      </c>
      <c r="AW167" s="6">
        <f>SUM(W$161:W$162)*(1-AW$161) *AW178</f>
        <v>6.8751178933511605</v>
      </c>
    </row>
    <row r="168" spans="1:50" ht="15.75" thickBot="1">
      <c r="A168" t="s">
        <v>16</v>
      </c>
      <c r="B168" t="s">
        <v>121</v>
      </c>
      <c r="C168" t="s">
        <v>71</v>
      </c>
      <c r="D168" t="s">
        <v>75</v>
      </c>
      <c r="E168" s="38">
        <f t="shared" si="354"/>
        <v>0.64854136839212595</v>
      </c>
      <c r="F168" s="38">
        <f t="shared" si="354"/>
        <v>0.6995709084876961</v>
      </c>
      <c r="G168" s="38">
        <f t="shared" si="354"/>
        <v>0.64248252977129328</v>
      </c>
      <c r="H168" s="38">
        <f t="shared" si="354"/>
        <v>0.68522387738371804</v>
      </c>
      <c r="I168" s="38">
        <f t="shared" si="354"/>
        <v>1.4694762168121909</v>
      </c>
      <c r="J168" s="38">
        <f t="shared" si="354"/>
        <v>2.4875212067437662</v>
      </c>
      <c r="K168" s="38">
        <f t="shared" si="355"/>
        <v>2.4875212067437662</v>
      </c>
      <c r="L168" s="38">
        <f t="shared" si="356"/>
        <v>2.4875212067437662</v>
      </c>
      <c r="M168" s="307">
        <f t="shared" si="357"/>
        <v>6.5688265757783757</v>
      </c>
      <c r="N168" s="316" t="str">
        <f t="shared" si="358"/>
        <v>Gautrain</v>
      </c>
      <c r="O168" s="317">
        <f t="shared" ref="O168:R168" si="392">O156</f>
        <v>0.64854136839212595</v>
      </c>
      <c r="P168" s="317">
        <f t="shared" si="392"/>
        <v>0.6995709084876961</v>
      </c>
      <c r="Q168" s="317">
        <f t="shared" si="392"/>
        <v>0.64248252977129328</v>
      </c>
      <c r="R168" s="317">
        <f t="shared" si="392"/>
        <v>0.68522387738371804</v>
      </c>
      <c r="S168" s="339">
        <f t="shared" si="389"/>
        <v>0.81566069118119378</v>
      </c>
      <c r="T168" s="339">
        <f t="shared" si="389"/>
        <v>1.0013836629689683</v>
      </c>
      <c r="U168" s="339">
        <f t="shared" ref="U168:V168" si="393">U156</f>
        <v>1.1699568078493543</v>
      </c>
      <c r="V168" s="339">
        <f t="shared" si="393"/>
        <v>1.3180866292979314</v>
      </c>
      <c r="W168" s="339">
        <f t="shared" si="389"/>
        <v>1.447944780185249</v>
      </c>
      <c r="X168" s="349" t="s">
        <v>791</v>
      </c>
      <c r="Y168" s="317">
        <f t="shared" si="362"/>
        <v>0.64854136839212595</v>
      </c>
      <c r="Z168" s="317">
        <f t="shared" si="362"/>
        <v>0.6995709084876961</v>
      </c>
      <c r="AA168" s="317">
        <f t="shared" si="362"/>
        <v>0.64248252977129328</v>
      </c>
      <c r="AB168" s="317">
        <f t="shared" si="362"/>
        <v>0.68522387738371804</v>
      </c>
      <c r="AC168" s="339">
        <f t="shared" ref="AC168:AG168" si="394">AC156</f>
        <v>1.4694762168121909</v>
      </c>
      <c r="AD168" s="339">
        <f t="shared" si="394"/>
        <v>2.4875212067437662</v>
      </c>
      <c r="AE168" s="339">
        <f t="shared" si="394"/>
        <v>4.2575864646612285</v>
      </c>
      <c r="AF168" s="339">
        <f t="shared" si="394"/>
        <v>5.5494308972229671</v>
      </c>
      <c r="AG168" s="339">
        <f t="shared" si="394"/>
        <v>6.5688265757783757</v>
      </c>
      <c r="AK168" s="6">
        <f t="shared" si="378"/>
        <v>0.19171680441457792</v>
      </c>
      <c r="AL168" s="6">
        <f t="shared" si="378"/>
        <v>0.24753050908463531</v>
      </c>
      <c r="AM168" s="6">
        <f t="shared" si="379"/>
        <v>0.35610597577837977</v>
      </c>
      <c r="AN168" s="6">
        <f t="shared" si="379"/>
        <v>0.38742986777411087</v>
      </c>
      <c r="AO168" s="6">
        <f t="shared" si="379"/>
        <v>0</v>
      </c>
      <c r="AP168" s="6"/>
      <c r="AQ168" s="6">
        <f t="shared" si="380"/>
        <v>6.3905601471526075E-2</v>
      </c>
      <c r="AR168" s="6">
        <f t="shared" si="380"/>
        <v>0.16502033938975688</v>
      </c>
      <c r="AS168" s="6">
        <f>SUM(W$161:W$162)*(1-AS$161) *AS179</f>
        <v>0.38742986777411087</v>
      </c>
      <c r="AT168" s="6"/>
      <c r="AU168" s="6">
        <f t="shared" si="381"/>
        <v>0.19171680441457792</v>
      </c>
      <c r="AV168" s="6">
        <f t="shared" si="381"/>
        <v>0.3094131363557942</v>
      </c>
      <c r="AW168" s="6">
        <f>SUM(W$161:W$162)*(1-AW$161) *AW179</f>
        <v>0.58114480166116655</v>
      </c>
    </row>
    <row r="169" spans="1:50" ht="15.75" thickTop="1">
      <c r="A169" t="s">
        <v>16</v>
      </c>
      <c r="C169" s="2" t="s">
        <v>5</v>
      </c>
      <c r="E169" s="6">
        <f t="shared" ref="E169:M169" si="395">SUM(E161:E168)</f>
        <v>269.10909348688449</v>
      </c>
      <c r="F169" s="6">
        <f t="shared" si="395"/>
        <v>279.81127922002509</v>
      </c>
      <c r="G169" s="6">
        <f t="shared" si="395"/>
        <v>270.85917031016783</v>
      </c>
      <c r="H169" s="6">
        <f t="shared" si="395"/>
        <v>280.5739364379362</v>
      </c>
      <c r="I169" s="6">
        <f t="shared" si="395"/>
        <v>299.44774376822073</v>
      </c>
      <c r="J169" s="6">
        <f t="shared" si="395"/>
        <v>333.31760372923821</v>
      </c>
      <c r="K169" s="6">
        <f t="shared" ref="K169:L169" si="396">SUM(K161:K168)</f>
        <v>333.31760372923821</v>
      </c>
      <c r="L169" s="6">
        <f t="shared" si="396"/>
        <v>333.31760372923821</v>
      </c>
      <c r="M169" s="6">
        <f t="shared" si="395"/>
        <v>408.84380372257607</v>
      </c>
      <c r="N169" s="30"/>
      <c r="O169" s="6">
        <f t="shared" ref="O169:R169" si="397">SUM(O161:O168)</f>
        <v>269.10909348688449</v>
      </c>
      <c r="P169" s="6">
        <f t="shared" si="397"/>
        <v>279.81127922002509</v>
      </c>
      <c r="Q169" s="6">
        <f t="shared" si="397"/>
        <v>270.85917031016783</v>
      </c>
      <c r="R169" s="6">
        <f t="shared" si="397"/>
        <v>280.5739364379362</v>
      </c>
      <c r="S169" s="6">
        <f>SUM(S161:S168)</f>
        <v>317.01364316837396</v>
      </c>
      <c r="T169" s="6">
        <f>SUM(T161:T168)</f>
        <v>369.98231377286203</v>
      </c>
      <c r="U169" s="6">
        <f>SUM(U161:U168)</f>
        <v>429.98559869793735</v>
      </c>
      <c r="V169" s="6">
        <f>SUM(V161:V168)</f>
        <v>461.57877018398341</v>
      </c>
      <c r="W169" s="6">
        <f>SUM(W161:W168)</f>
        <v>484.61547518086161</v>
      </c>
      <c r="Y169" s="6">
        <f t="shared" ref="Y169:AB169" si="398">SUM(Y161:Y168)</f>
        <v>269.10909348688449</v>
      </c>
      <c r="Z169" s="6">
        <f t="shared" si="398"/>
        <v>279.81127922002509</v>
      </c>
      <c r="AA169" s="6">
        <f t="shared" si="398"/>
        <v>270.85917031016783</v>
      </c>
      <c r="AB169" s="6">
        <f t="shared" si="398"/>
        <v>280.5739364379362</v>
      </c>
      <c r="AC169" s="6">
        <f>SUM(AC161:AC168)</f>
        <v>299.44774376822073</v>
      </c>
      <c r="AD169" s="6">
        <f>SUM(AD161:AD168)</f>
        <v>333.31760372923821</v>
      </c>
      <c r="AE169" s="6">
        <f>SUM(AE161:AE168)</f>
        <v>381.21503271503758</v>
      </c>
      <c r="AF169" s="6">
        <f>SUM(AF161:AF168)</f>
        <v>407.58757547083252</v>
      </c>
      <c r="AG169" s="6">
        <f>SUM(AG161:AG168)</f>
        <v>408.84380372257607</v>
      </c>
      <c r="AU169" t="s">
        <v>602</v>
      </c>
    </row>
    <row r="170" spans="1:50" ht="15.75" thickBot="1">
      <c r="A170" t="s">
        <v>16</v>
      </c>
      <c r="C170" t="s">
        <v>783</v>
      </c>
      <c r="J170"/>
      <c r="N170" s="31"/>
      <c r="O170" s="107">
        <f t="shared" ref="O170" si="399">SUM(O161:O163)/O169</f>
        <v>0.52503386937918872</v>
      </c>
      <c r="P170" s="107">
        <f t="shared" ref="P170" si="400">SUM(P161:P163)/P169</f>
        <v>0.52920972009328504</v>
      </c>
      <c r="Q170" s="107">
        <f t="shared" ref="Q170" si="401">SUM(Q161:Q163)/Q169</f>
        <v>0.50594414611115546</v>
      </c>
      <c r="R170" s="107">
        <f t="shared" ref="R170" si="402">SUM(R161:R163)/R169</f>
        <v>0.51775978483244489</v>
      </c>
      <c r="S170" s="107">
        <f t="shared" ref="S170" si="403">SUM(S161:S163)/S169</f>
        <v>0.54783276761566269</v>
      </c>
      <c r="T170" s="107">
        <f t="shared" ref="T170" si="404">SUM(T161:T163)/T169</f>
        <v>0.60605710634058874</v>
      </c>
      <c r="U170" s="107">
        <f>SUM(U161:U163)/U169</f>
        <v>0.67080567368329169</v>
      </c>
      <c r="V170" s="107">
        <f t="shared" ref="V170" si="405">SUM(V161:V163)/V169</f>
        <v>0.69887452937712613</v>
      </c>
      <c r="W170" s="107">
        <f t="shared" ref="W170" si="406">SUM(W161:W163)/W169</f>
        <v>0.72420513014199017</v>
      </c>
      <c r="Y170" s="107">
        <f t="shared" ref="Y170:AD170" si="407">SUM(Y161:Y163)/Y169</f>
        <v>0.52503386937918872</v>
      </c>
      <c r="Z170" s="107">
        <f t="shared" si="407"/>
        <v>0.52920972009328504</v>
      </c>
      <c r="AA170" s="107">
        <f t="shared" si="407"/>
        <v>0.50594414611115546</v>
      </c>
      <c r="AB170" s="107">
        <f t="shared" si="407"/>
        <v>0.51775978483244489</v>
      </c>
      <c r="AC170" s="107">
        <f t="shared" si="407"/>
        <v>0.50269167704197382</v>
      </c>
      <c r="AD170" s="107">
        <f t="shared" si="407"/>
        <v>0.52677342122513338</v>
      </c>
      <c r="AE170" s="107">
        <f>SUM(AE161:AE163)/AE169</f>
        <v>0.5862499301284525</v>
      </c>
      <c r="AF170" s="107">
        <f t="shared" ref="AF170" si="408">SUM(AF161:AF163)/AF169</f>
        <v>0.61312364928007945</v>
      </c>
      <c r="AG170" s="107">
        <f t="shared" ref="AG170" si="409">SUM(AG161:AG163)/AG169</f>
        <v>0.6066122889742126</v>
      </c>
      <c r="AK170" s="13">
        <v>1</v>
      </c>
      <c r="AL170" s="13">
        <v>1</v>
      </c>
      <c r="AM170" s="13">
        <v>1</v>
      </c>
      <c r="AN170" s="13">
        <v>1</v>
      </c>
      <c r="AO170" s="13">
        <v>1</v>
      </c>
      <c r="AP170" s="13"/>
      <c r="AQ170" s="13">
        <v>2</v>
      </c>
      <c r="AR170" s="13">
        <v>2</v>
      </c>
      <c r="AS170" s="13">
        <v>2</v>
      </c>
      <c r="AU170" s="13">
        <v>2</v>
      </c>
      <c r="AV170" s="13">
        <v>2</v>
      </c>
      <c r="AW170" s="13">
        <v>2</v>
      </c>
    </row>
    <row r="171" spans="1:50" ht="15.75" thickBot="1">
      <c r="A171" t="s">
        <v>16</v>
      </c>
      <c r="C171" s="13" t="s">
        <v>131</v>
      </c>
      <c r="D171" s="13"/>
      <c r="E171" s="13">
        <f>E4</f>
        <v>2017</v>
      </c>
      <c r="F171" s="13">
        <f t="shared" ref="F171:H171" si="410">F4</f>
        <v>2019</v>
      </c>
      <c r="G171" s="13">
        <f t="shared" si="410"/>
        <v>2020</v>
      </c>
      <c r="H171" s="13">
        <f t="shared" si="410"/>
        <v>2021</v>
      </c>
      <c r="I171" s="13">
        <v>2030</v>
      </c>
      <c r="J171" s="13">
        <v>2040</v>
      </c>
      <c r="K171" s="13">
        <v>2050</v>
      </c>
      <c r="L171" s="13">
        <v>2050</v>
      </c>
      <c r="M171" s="13">
        <v>2050</v>
      </c>
      <c r="N171" s="13"/>
      <c r="O171" s="244">
        <f t="shared" ref="O171:W171" si="411">O160</f>
        <v>2017</v>
      </c>
      <c r="P171" s="244">
        <f t="shared" si="411"/>
        <v>2019</v>
      </c>
      <c r="Q171" s="244">
        <f t="shared" si="411"/>
        <v>2020</v>
      </c>
      <c r="R171" s="244">
        <f t="shared" si="411"/>
        <v>2021</v>
      </c>
      <c r="S171" s="244">
        <f t="shared" si="411"/>
        <v>2030</v>
      </c>
      <c r="T171" s="244">
        <f t="shared" si="411"/>
        <v>2040</v>
      </c>
      <c r="U171" s="244">
        <f t="shared" ref="U171:V171" si="412">U160</f>
        <v>2050</v>
      </c>
      <c r="V171" s="244">
        <f t="shared" si="412"/>
        <v>2060</v>
      </c>
      <c r="W171" s="244">
        <f t="shared" si="411"/>
        <v>2070</v>
      </c>
      <c r="Y171" s="244">
        <f t="shared" ref="Y171:AG171" si="413">Y160</f>
        <v>2017</v>
      </c>
      <c r="Z171" s="244">
        <f t="shared" si="413"/>
        <v>2019</v>
      </c>
      <c r="AA171" s="244">
        <f t="shared" si="413"/>
        <v>2020</v>
      </c>
      <c r="AB171" s="244">
        <f t="shared" si="413"/>
        <v>2021</v>
      </c>
      <c r="AC171" s="244">
        <f t="shared" si="413"/>
        <v>2030</v>
      </c>
      <c r="AD171" s="244">
        <f t="shared" si="413"/>
        <v>2040</v>
      </c>
      <c r="AE171" s="244">
        <f t="shared" ref="AE171:AF171" si="414">AE160</f>
        <v>2050</v>
      </c>
      <c r="AF171" s="244">
        <f t="shared" si="414"/>
        <v>2060</v>
      </c>
      <c r="AG171" s="244">
        <f t="shared" si="413"/>
        <v>2070</v>
      </c>
      <c r="AH171" s="13"/>
      <c r="AK171" s="13">
        <v>2030</v>
      </c>
      <c r="AL171" s="13">
        <v>2040</v>
      </c>
      <c r="AM171" s="13">
        <v>2050</v>
      </c>
      <c r="AN171" s="13">
        <v>2050</v>
      </c>
      <c r="AO171" s="13">
        <v>2050</v>
      </c>
      <c r="AP171" s="13"/>
      <c r="AQ171" s="13">
        <v>2030</v>
      </c>
      <c r="AR171" s="13">
        <v>2040</v>
      </c>
      <c r="AS171" s="13">
        <v>2050</v>
      </c>
      <c r="AT171" s="13"/>
      <c r="AU171" s="13">
        <v>2030</v>
      </c>
      <c r="AV171" s="13">
        <v>2040</v>
      </c>
      <c r="AW171" s="13">
        <v>2050</v>
      </c>
      <c r="AX171" s="13"/>
    </row>
    <row r="172" spans="1:50">
      <c r="A172" t="s">
        <v>16</v>
      </c>
      <c r="B172" t="str">
        <f t="shared" ref="B172:C179" si="415">B161</f>
        <v>TPPRCAR</v>
      </c>
      <c r="C172" t="str">
        <f t="shared" si="415"/>
        <v>Car</v>
      </c>
      <c r="E172" s="203">
        <f t="shared" ref="E172:E179" si="416">E161/E$169</f>
        <v>0.42002709550335088</v>
      </c>
      <c r="F172" s="203">
        <f>F161/F$169</f>
        <v>0.423367776074628</v>
      </c>
      <c r="G172" s="203">
        <f t="shared" ref="G172:H172" si="417">G161/G$169</f>
        <v>0.4047553168889243</v>
      </c>
      <c r="H172" s="203">
        <f t="shared" si="417"/>
        <v>0.41420782786595589</v>
      </c>
      <c r="I172" s="203">
        <f t="shared" ref="I172:M179" si="418">I161/I$169</f>
        <v>0.40215334163357902</v>
      </c>
      <c r="J172" s="203">
        <f t="shared" si="418"/>
        <v>0.42141873698010668</v>
      </c>
      <c r="K172" s="203">
        <f t="shared" ref="K172:L172" si="419">K161/K$169</f>
        <v>0.42141873698010668</v>
      </c>
      <c r="L172" s="203">
        <f t="shared" si="419"/>
        <v>0.42141873698010668</v>
      </c>
      <c r="M172" s="203">
        <f t="shared" si="418"/>
        <v>0.48528983117937013</v>
      </c>
      <c r="N172" s="31" t="str">
        <f>C172</f>
        <v>Car</v>
      </c>
      <c r="O172" s="203">
        <f t="shared" ref="O172:R172" si="420">O161/O$169</f>
        <v>0.42002709550335088</v>
      </c>
      <c r="P172" s="203">
        <f t="shared" si="420"/>
        <v>0.423367776074628</v>
      </c>
      <c r="Q172" s="203">
        <f t="shared" si="420"/>
        <v>0.4047553168889243</v>
      </c>
      <c r="R172" s="203">
        <f t="shared" si="420"/>
        <v>0.41420782786595589</v>
      </c>
      <c r="S172" s="251">
        <f t="shared" ref="S172:W179" si="421">S161/S$169</f>
        <v>0.43826621409253014</v>
      </c>
      <c r="T172" s="251">
        <f t="shared" si="421"/>
        <v>0.48484568507247106</v>
      </c>
      <c r="U172" s="251">
        <f t="shared" ref="U172:V172" si="422">U161/U$169</f>
        <v>0.53664453894663333</v>
      </c>
      <c r="V172" s="251">
        <f t="shared" si="422"/>
        <v>0.55909962350170095</v>
      </c>
      <c r="W172" s="251">
        <f t="shared" si="421"/>
        <v>0.57936410411359218</v>
      </c>
      <c r="Y172" s="203">
        <f t="shared" ref="Y172:AB179" si="423">O172</f>
        <v>0.42002709550335088</v>
      </c>
      <c r="Z172" s="203">
        <f t="shared" si="423"/>
        <v>0.423367776074628</v>
      </c>
      <c r="AA172" s="203">
        <f t="shared" si="423"/>
        <v>0.4047553168889243</v>
      </c>
      <c r="AB172" s="203">
        <f t="shared" si="423"/>
        <v>0.41420782786595589</v>
      </c>
      <c r="AC172" s="203">
        <f t="shared" ref="AC172:AG179" si="424">AC161/AC$169</f>
        <v>0.40215334163357902</v>
      </c>
      <c r="AD172" s="203">
        <f t="shared" si="424"/>
        <v>0.42141873698010668</v>
      </c>
      <c r="AE172" s="203">
        <f t="shared" ref="AE172:AF172" si="425">AE161/AE$169</f>
        <v>0.46899994410276202</v>
      </c>
      <c r="AF172" s="203">
        <f t="shared" si="425"/>
        <v>0.49049891942406354</v>
      </c>
      <c r="AG172" s="203">
        <f t="shared" si="424"/>
        <v>0.48528983117937013</v>
      </c>
      <c r="AK172" s="164"/>
      <c r="AL172" s="164"/>
      <c r="AM172" s="164"/>
      <c r="AN172" s="164"/>
      <c r="AO172" s="164"/>
      <c r="AQ172" s="164"/>
      <c r="AR172" s="164"/>
      <c r="AS172" s="164"/>
      <c r="AU172" s="198"/>
      <c r="AV172" s="198"/>
      <c r="AW172" s="198"/>
    </row>
    <row r="173" spans="1:50">
      <c r="A173" t="s">
        <v>16</v>
      </c>
      <c r="B173" t="str">
        <f t="shared" si="415"/>
        <v>TPPRSUV</v>
      </c>
      <c r="C173" t="str">
        <f t="shared" si="415"/>
        <v>SUV</v>
      </c>
      <c r="E173" s="203">
        <f t="shared" si="416"/>
        <v>8.9255757794462084E-2</v>
      </c>
      <c r="F173" s="203">
        <f t="shared" ref="F173:H173" si="426">F162/F$169</f>
        <v>8.9965652415858466E-2</v>
      </c>
      <c r="G173" s="203">
        <f t="shared" si="426"/>
        <v>8.6010504838896426E-2</v>
      </c>
      <c r="H173" s="203">
        <f t="shared" si="426"/>
        <v>8.8019163421515639E-2</v>
      </c>
      <c r="I173" s="203">
        <f t="shared" si="418"/>
        <v>8.5457585097135552E-2</v>
      </c>
      <c r="J173" s="203">
        <f t="shared" si="418"/>
        <v>8.9551481608272671E-2</v>
      </c>
      <c r="K173" s="203">
        <f t="shared" ref="K173:L173" si="427">K162/K$169</f>
        <v>8.9551481608272671E-2</v>
      </c>
      <c r="L173" s="203">
        <f t="shared" si="427"/>
        <v>8.9551481608272671E-2</v>
      </c>
      <c r="M173" s="203">
        <f t="shared" si="418"/>
        <v>0.10312408912561616</v>
      </c>
      <c r="N173" s="31"/>
      <c r="O173" s="203">
        <f t="shared" ref="O173:R173" si="428">O162/O$169</f>
        <v>8.9255757794462084E-2</v>
      </c>
      <c r="P173" s="203">
        <f t="shared" si="428"/>
        <v>8.9965652415858466E-2</v>
      </c>
      <c r="Q173" s="203">
        <f t="shared" si="428"/>
        <v>8.6010504838896426E-2</v>
      </c>
      <c r="R173" s="203">
        <f t="shared" si="428"/>
        <v>8.8019163421515639E-2</v>
      </c>
      <c r="S173" s="251">
        <f t="shared" si="421"/>
        <v>9.3131570494662669E-2</v>
      </c>
      <c r="T173" s="251">
        <f t="shared" si="421"/>
        <v>0.1030297080779001</v>
      </c>
      <c r="U173" s="251">
        <f t="shared" ref="U173:V173" si="429">U162/U$169</f>
        <v>0.11403696452615961</v>
      </c>
      <c r="V173" s="251">
        <f t="shared" si="429"/>
        <v>0.11880866999411145</v>
      </c>
      <c r="W173" s="251">
        <f t="shared" si="421"/>
        <v>0.12311487212413835</v>
      </c>
      <c r="Y173" s="203">
        <f t="shared" si="423"/>
        <v>8.9255757794462084E-2</v>
      </c>
      <c r="Z173" s="203">
        <f t="shared" si="423"/>
        <v>8.9965652415858466E-2</v>
      </c>
      <c r="AA173" s="203">
        <f t="shared" si="423"/>
        <v>8.6010504838896426E-2</v>
      </c>
      <c r="AB173" s="203">
        <f t="shared" si="423"/>
        <v>8.8019163421515639E-2</v>
      </c>
      <c r="AC173" s="251">
        <f t="shared" si="424"/>
        <v>8.5457585097135552E-2</v>
      </c>
      <c r="AD173" s="251">
        <f t="shared" si="424"/>
        <v>8.9551481608272671E-2</v>
      </c>
      <c r="AE173" s="251">
        <f t="shared" ref="AE173:AF173" si="430">AE162/AE$169</f>
        <v>9.9662488121836951E-2</v>
      </c>
      <c r="AF173" s="251">
        <f t="shared" si="430"/>
        <v>0.1042310203776135</v>
      </c>
      <c r="AG173" s="251">
        <f t="shared" si="424"/>
        <v>0.10312408912561616</v>
      </c>
      <c r="AK173" s="164"/>
      <c r="AL173" s="164"/>
      <c r="AM173" s="164"/>
      <c r="AN173" s="164"/>
      <c r="AO173" s="164"/>
      <c r="AQ173" s="164"/>
      <c r="AR173" s="164"/>
      <c r="AS173" s="164"/>
      <c r="AU173" s="198"/>
      <c r="AV173" s="198"/>
      <c r="AW173" s="198"/>
    </row>
    <row r="174" spans="1:50">
      <c r="A174" t="s">
        <v>16</v>
      </c>
      <c r="B174" t="str">
        <f t="shared" si="415"/>
        <v>TPPRMOT</v>
      </c>
      <c r="C174" t="str">
        <f t="shared" si="415"/>
        <v>Motorbike</v>
      </c>
      <c r="E174" s="203">
        <f t="shared" si="416"/>
        <v>1.5751016081375663E-2</v>
      </c>
      <c r="F174" s="203">
        <f t="shared" ref="F174:H174" si="431">F163/F$169</f>
        <v>1.5876291602798551E-2</v>
      </c>
      <c r="G174" s="203">
        <f t="shared" si="431"/>
        <v>1.5178324383334661E-2</v>
      </c>
      <c r="H174" s="203">
        <f t="shared" si="431"/>
        <v>1.5532793544973344E-2</v>
      </c>
      <c r="I174" s="203">
        <f t="shared" si="418"/>
        <v>1.5080750311259213E-2</v>
      </c>
      <c r="J174" s="203">
        <f t="shared" si="418"/>
        <v>1.5803202636754003E-2</v>
      </c>
      <c r="K174" s="203">
        <f t="shared" ref="K174:L174" si="432">K163/K$169</f>
        <v>1.5803202636754003E-2</v>
      </c>
      <c r="L174" s="203">
        <f t="shared" si="432"/>
        <v>1.5803202636754003E-2</v>
      </c>
      <c r="M174" s="203">
        <f t="shared" si="418"/>
        <v>1.8198368669226379E-2</v>
      </c>
      <c r="N174" s="31"/>
      <c r="O174" s="203">
        <f t="shared" ref="O174:R174" si="433">O163/O$169</f>
        <v>1.5751016081375663E-2</v>
      </c>
      <c r="P174" s="203">
        <f t="shared" si="433"/>
        <v>1.5876291602798551E-2</v>
      </c>
      <c r="Q174" s="203">
        <f t="shared" si="433"/>
        <v>1.5178324383334661E-2</v>
      </c>
      <c r="R174" s="203">
        <f t="shared" si="433"/>
        <v>1.5532793544973344E-2</v>
      </c>
      <c r="S174" s="251">
        <f t="shared" si="421"/>
        <v>1.6434983028469879E-2</v>
      </c>
      <c r="T174" s="251">
        <f t="shared" si="421"/>
        <v>1.8181713190217667E-2</v>
      </c>
      <c r="U174" s="251">
        <f t="shared" ref="U174:V174" si="434">U163/U$169</f>
        <v>2.0124170210498751E-2</v>
      </c>
      <c r="V174" s="251">
        <f t="shared" si="434"/>
        <v>2.0966235881313786E-2</v>
      </c>
      <c r="W174" s="251">
        <f t="shared" si="421"/>
        <v>2.1726153904259707E-2</v>
      </c>
      <c r="Y174" s="203">
        <f t="shared" si="423"/>
        <v>1.5751016081375663E-2</v>
      </c>
      <c r="Z174" s="203">
        <f t="shared" si="423"/>
        <v>1.5876291602798551E-2</v>
      </c>
      <c r="AA174" s="203">
        <f t="shared" si="423"/>
        <v>1.5178324383334661E-2</v>
      </c>
      <c r="AB174" s="203">
        <f t="shared" si="423"/>
        <v>1.5532793544973344E-2</v>
      </c>
      <c r="AC174" s="251">
        <f t="shared" si="424"/>
        <v>1.5080750311259213E-2</v>
      </c>
      <c r="AD174" s="251">
        <f t="shared" si="424"/>
        <v>1.5803202636754003E-2</v>
      </c>
      <c r="AE174" s="251">
        <f t="shared" ref="AE174:AF174" si="435">AE163/AE$169</f>
        <v>1.7587497903853576E-2</v>
      </c>
      <c r="AF174" s="251">
        <f t="shared" si="435"/>
        <v>1.8393709478402381E-2</v>
      </c>
      <c r="AG174" s="251">
        <f t="shared" si="424"/>
        <v>1.8198368669226379E-2</v>
      </c>
      <c r="AK174" s="164"/>
      <c r="AL174" s="164"/>
      <c r="AM174" s="164"/>
      <c r="AN174" s="164"/>
      <c r="AO174" s="164"/>
      <c r="AQ174" s="164"/>
      <c r="AR174" s="164"/>
      <c r="AS174" s="164"/>
    </row>
    <row r="175" spans="1:50">
      <c r="A175" t="s">
        <v>16</v>
      </c>
      <c r="B175" t="str">
        <f t="shared" si="415"/>
        <v>TPPUBUS</v>
      </c>
      <c r="C175" t="str">
        <f t="shared" si="415"/>
        <v>Bus</v>
      </c>
      <c r="E175" s="203">
        <f t="shared" si="416"/>
        <v>5.9528360561136653E-2</v>
      </c>
      <c r="F175" s="203">
        <f t="shared" ref="F175:H175" si="436">F164/F$169</f>
        <v>5.8576500173918848E-2</v>
      </c>
      <c r="G175" s="203">
        <f t="shared" si="436"/>
        <v>6.1528889749070191E-2</v>
      </c>
      <c r="H175" s="203">
        <f t="shared" si="436"/>
        <v>6.0028576922056459E-2</v>
      </c>
      <c r="I175" s="203">
        <f t="shared" si="418"/>
        <v>6.1771921874949197E-2</v>
      </c>
      <c r="J175" s="203">
        <f t="shared" si="418"/>
        <v>5.8403202354605992E-2</v>
      </c>
      <c r="K175" s="203">
        <f t="shared" ref="K175:L175" si="437">K164/K$169</f>
        <v>5.8403202354605992E-2</v>
      </c>
      <c r="L175" s="203">
        <f t="shared" si="437"/>
        <v>5.8403202354605992E-2</v>
      </c>
      <c r="M175" s="203">
        <f t="shared" si="418"/>
        <v>4.7216301012158832E-2</v>
      </c>
      <c r="N175" s="31"/>
      <c r="O175" s="203">
        <f t="shared" ref="O175:R175" si="438">O164/O$169</f>
        <v>5.9528360561136653E-2</v>
      </c>
      <c r="P175" s="203">
        <f t="shared" si="438"/>
        <v>5.8576500173918848E-2</v>
      </c>
      <c r="Q175" s="203">
        <f t="shared" si="438"/>
        <v>6.1528889749070191E-2</v>
      </c>
      <c r="R175" s="203">
        <f t="shared" si="438"/>
        <v>6.0028576922056459E-2</v>
      </c>
      <c r="S175" s="251">
        <f t="shared" si="421"/>
        <v>5.6214989207651049E-2</v>
      </c>
      <c r="T175" s="251">
        <f t="shared" si="421"/>
        <v>4.8850758372242391E-2</v>
      </c>
      <c r="U175" s="251">
        <f t="shared" ref="U175:V175" si="439">U164/U$169</f>
        <v>4.0679584578028304E-2</v>
      </c>
      <c r="V175" s="251">
        <f t="shared" si="439"/>
        <v>3.711772602157766E-2</v>
      </c>
      <c r="W175" s="251">
        <f t="shared" si="421"/>
        <v>3.3899944939697869E-2</v>
      </c>
      <c r="Y175" s="203">
        <f t="shared" si="423"/>
        <v>5.9528360561136653E-2</v>
      </c>
      <c r="Z175" s="203">
        <f t="shared" si="423"/>
        <v>5.8576500173918848E-2</v>
      </c>
      <c r="AA175" s="203">
        <f t="shared" si="423"/>
        <v>6.1528889749070191E-2</v>
      </c>
      <c r="AB175" s="203">
        <f t="shared" si="423"/>
        <v>6.0028576922056459E-2</v>
      </c>
      <c r="AC175" s="251">
        <f t="shared" si="424"/>
        <v>6.1771921874949197E-2</v>
      </c>
      <c r="AD175" s="251">
        <f t="shared" si="424"/>
        <v>5.8403202354605992E-2</v>
      </c>
      <c r="AE175" s="251">
        <f t="shared" ref="AE175:AF175" si="440">AE164/AE$169</f>
        <v>5.0415049563361909E-2</v>
      </c>
      <c r="AF175" s="251">
        <f t="shared" si="440"/>
        <v>4.6706087527510293E-2</v>
      </c>
      <c r="AG175" s="251">
        <f t="shared" si="424"/>
        <v>4.7216301012158832E-2</v>
      </c>
      <c r="AI175" s="216">
        <f>S175</f>
        <v>5.6214989207651049E-2</v>
      </c>
      <c r="AK175" s="252">
        <f>AI175/$AI$180</f>
        <v>0.12432344756877238</v>
      </c>
      <c r="AL175" s="252">
        <f>AK175</f>
        <v>0.12432344756877238</v>
      </c>
      <c r="AM175" s="252">
        <f>AK175</f>
        <v>0.12432344756877238</v>
      </c>
      <c r="AN175" s="252">
        <f>AL175</f>
        <v>0.12432344756877238</v>
      </c>
      <c r="AO175" s="252">
        <f>AN175</f>
        <v>0.12432344756877238</v>
      </c>
      <c r="AP175" s="253"/>
      <c r="AQ175" s="252">
        <f>AK175</f>
        <v>0.12432344756877238</v>
      </c>
      <c r="AR175" s="252">
        <f>AL175</f>
        <v>0.12432344756877238</v>
      </c>
      <c r="AS175" s="252">
        <f>AN175</f>
        <v>0.12432344756877238</v>
      </c>
      <c r="AT175" s="253"/>
      <c r="AU175" s="252">
        <f>AQ175</f>
        <v>0.12432344756877238</v>
      </c>
      <c r="AV175" s="252">
        <f t="shared" ref="AV175:AW179" si="441">AR175</f>
        <v>0.12432344756877238</v>
      </c>
      <c r="AW175" s="252">
        <f t="shared" si="441"/>
        <v>0.12432344756877238</v>
      </c>
    </row>
    <row r="176" spans="1:50">
      <c r="A176" t="s">
        <v>16</v>
      </c>
      <c r="B176" t="str">
        <f t="shared" si="415"/>
        <v>TPPUMBT</v>
      </c>
      <c r="C176" t="str">
        <f t="shared" si="415"/>
        <v>Minibus</v>
      </c>
      <c r="E176" s="203">
        <f t="shared" si="416"/>
        <v>0.37403187426128903</v>
      </c>
      <c r="F176" s="203">
        <f t="shared" ref="F176:H176" si="442">F165/F$169</f>
        <v>0.36805109264207225</v>
      </c>
      <c r="G176" s="203">
        <f t="shared" si="442"/>
        <v>0.38660170945620786</v>
      </c>
      <c r="H176" s="203">
        <f t="shared" si="442"/>
        <v>0.37717486125517485</v>
      </c>
      <c r="I176" s="203">
        <f t="shared" si="418"/>
        <v>0.37565835431307137</v>
      </c>
      <c r="J176" s="203">
        <f t="shared" si="418"/>
        <v>0.34603211911508336</v>
      </c>
      <c r="K176" s="203">
        <f t="shared" ref="K176:L176" si="443">K165/K$169</f>
        <v>0.34603211911508336</v>
      </c>
      <c r="L176" s="203">
        <f t="shared" si="443"/>
        <v>0.34603211911508336</v>
      </c>
      <c r="M176" s="203">
        <f t="shared" si="418"/>
        <v>0.27975104167767345</v>
      </c>
      <c r="N176" s="31"/>
      <c r="O176" s="203">
        <f t="shared" ref="O176:R176" si="444">O165/O$169</f>
        <v>0.37403187426128903</v>
      </c>
      <c r="P176" s="203">
        <f t="shared" si="444"/>
        <v>0.36805109264207225</v>
      </c>
      <c r="Q176" s="203">
        <f t="shared" si="444"/>
        <v>0.38660170945620786</v>
      </c>
      <c r="R176" s="203">
        <f t="shared" si="444"/>
        <v>0.37717486125517485</v>
      </c>
      <c r="S176" s="251">
        <f t="shared" si="421"/>
        <v>0.35321311685245532</v>
      </c>
      <c r="T176" s="251">
        <f t="shared" si="421"/>
        <v>0.30694177600086564</v>
      </c>
      <c r="U176" s="251">
        <f t="shared" ref="U176:V176" si="445">U165/U$169</f>
        <v>0.25560020669919187</v>
      </c>
      <c r="V176" s="251">
        <f t="shared" si="445"/>
        <v>0.23322014080850431</v>
      </c>
      <c r="W176" s="251">
        <f t="shared" si="421"/>
        <v>0.21300200145991693</v>
      </c>
      <c r="Y176" s="203">
        <f t="shared" si="423"/>
        <v>0.37403187426128903</v>
      </c>
      <c r="Z176" s="203">
        <f t="shared" si="423"/>
        <v>0.36805109264207225</v>
      </c>
      <c r="AA176" s="203">
        <f t="shared" si="423"/>
        <v>0.38660170945620786</v>
      </c>
      <c r="AB176" s="203">
        <f t="shared" si="423"/>
        <v>0.37717486125517485</v>
      </c>
      <c r="AC176" s="251">
        <f t="shared" si="424"/>
        <v>0.37565835431307137</v>
      </c>
      <c r="AD176" s="251">
        <f t="shared" si="424"/>
        <v>0.34603211911508336</v>
      </c>
      <c r="AE176" s="251">
        <f t="shared" ref="AE176:AF176" si="446">AE165/AE$169</f>
        <v>0.29870325140358095</v>
      </c>
      <c r="AF176" s="251">
        <f t="shared" si="446"/>
        <v>0.27672808666534271</v>
      </c>
      <c r="AG176" s="251">
        <f t="shared" si="424"/>
        <v>0.27975104167767345</v>
      </c>
      <c r="AI176" s="216">
        <f>S176</f>
        <v>0.35321311685245532</v>
      </c>
      <c r="AK176" s="252">
        <f>1-SUM(AK177:AK179,AK175)</f>
        <v>0.78115593425449303</v>
      </c>
      <c r="AL176" s="252">
        <f t="shared" ref="AL176:AN176" si="447">1-SUM(AL177:AL179,AL175)</f>
        <v>0.78115593425449303</v>
      </c>
      <c r="AM176" s="252">
        <f t="shared" ref="AM176" si="448">1-SUM(AM177:AM179,AM175)</f>
        <v>0.78115593425449303</v>
      </c>
      <c r="AN176" s="252">
        <f t="shared" si="447"/>
        <v>0.78115593425449303</v>
      </c>
      <c r="AO176" s="252">
        <f t="shared" ref="AO176" si="449">1-SUM(AO177:AO179,AO175)</f>
        <v>0.78115593425449303</v>
      </c>
      <c r="AP176" s="253"/>
      <c r="AQ176" s="252">
        <f t="shared" ref="AQ176:AQ179" si="450">AK176</f>
        <v>0.78115593425449303</v>
      </c>
      <c r="AR176" s="252">
        <f>AL176</f>
        <v>0.78115593425449303</v>
      </c>
      <c r="AS176" s="252">
        <f>AN176</f>
        <v>0.78115593425449303</v>
      </c>
      <c r="AT176" s="253"/>
      <c r="AU176" s="252">
        <f t="shared" ref="AU176:AU178" si="451">AQ176</f>
        <v>0.78115593425449303</v>
      </c>
      <c r="AV176" s="252">
        <f t="shared" si="441"/>
        <v>0.78115593425449303</v>
      </c>
      <c r="AW176" s="252">
        <f t="shared" si="441"/>
        <v>0.78115593425449303</v>
      </c>
    </row>
    <row r="177" spans="1:51">
      <c r="A177" t="s">
        <v>16</v>
      </c>
      <c r="B177" t="str">
        <f t="shared" si="415"/>
        <v>TPPUBRT</v>
      </c>
      <c r="C177" t="str">
        <f t="shared" si="415"/>
        <v>BRT</v>
      </c>
      <c r="E177" s="203">
        <f t="shared" si="416"/>
        <v>6.7630548969884888E-3</v>
      </c>
      <c r="F177" s="203">
        <f t="shared" ref="F177:H177" si="452">F166/F$169</f>
        <v>9.945055483155071E-3</v>
      </c>
      <c r="G177" s="203">
        <f t="shared" si="452"/>
        <v>1.0237125336260613E-2</v>
      </c>
      <c r="H177" s="203">
        <f t="shared" si="452"/>
        <v>1.0090818371032812E-2</v>
      </c>
      <c r="I177" s="203">
        <f t="shared" si="418"/>
        <v>9.0526638228781431E-3</v>
      </c>
      <c r="J177" s="203">
        <f t="shared" si="418"/>
        <v>8.7745991809444375E-3</v>
      </c>
      <c r="K177" s="203">
        <f t="shared" ref="K177:L177" si="453">K166/K$169</f>
        <v>8.7745991809444375E-3</v>
      </c>
      <c r="L177" s="203">
        <f t="shared" si="453"/>
        <v>8.7745991809444375E-3</v>
      </c>
      <c r="M177" s="203">
        <f t="shared" si="418"/>
        <v>7.8662499506560995E-3</v>
      </c>
      <c r="N177" s="31"/>
      <c r="O177" s="203">
        <f t="shared" ref="O177:R177" si="454">O166/O$169</f>
        <v>6.7630548969884888E-3</v>
      </c>
      <c r="P177" s="203">
        <f t="shared" si="454"/>
        <v>9.945055483155071E-3</v>
      </c>
      <c r="Q177" s="203">
        <f t="shared" si="454"/>
        <v>1.0237125336260613E-2</v>
      </c>
      <c r="R177" s="203">
        <f t="shared" si="454"/>
        <v>1.0090818371032812E-2</v>
      </c>
      <c r="S177" s="251">
        <f t="shared" si="421"/>
        <v>9.7273857941839962E-3</v>
      </c>
      <c r="T177" s="251">
        <f t="shared" si="421"/>
        <v>8.9925162216773959E-3</v>
      </c>
      <c r="U177" s="251">
        <f t="shared" ref="U177:V177" si="455">U166/U$169</f>
        <v>8.1667968117903715E-3</v>
      </c>
      <c r="V177" s="251">
        <f t="shared" si="455"/>
        <v>7.8338247973780747E-3</v>
      </c>
      <c r="W177" s="251">
        <f t="shared" si="421"/>
        <v>7.5492627234341261E-3</v>
      </c>
      <c r="Y177" s="203">
        <f t="shared" si="423"/>
        <v>6.7630548969884888E-3</v>
      </c>
      <c r="Z177" s="203">
        <f t="shared" si="423"/>
        <v>9.945055483155071E-3</v>
      </c>
      <c r="AA177" s="203">
        <f t="shared" si="423"/>
        <v>1.0237125336260613E-2</v>
      </c>
      <c r="AB177" s="203">
        <f t="shared" si="423"/>
        <v>1.0090818371032812E-2</v>
      </c>
      <c r="AC177" s="251">
        <f t="shared" si="424"/>
        <v>9.0526638228781431E-3</v>
      </c>
      <c r="AD177" s="251">
        <f t="shared" si="424"/>
        <v>8.7745991809444375E-3</v>
      </c>
      <c r="AE177" s="251">
        <f t="shared" ref="AE177:AF177" si="456">AE166/AE$169</f>
        <v>8.0976497261177807E-3</v>
      </c>
      <c r="AF177" s="251">
        <f t="shared" si="456"/>
        <v>7.7986977228572448E-3</v>
      </c>
      <c r="AG177" s="251">
        <f t="shared" si="424"/>
        <v>7.8662499506560995E-3</v>
      </c>
      <c r="AI177" s="216">
        <f>S177</f>
        <v>9.7273857941839962E-3</v>
      </c>
      <c r="AK177" s="252">
        <f>AI177/$AI$180</f>
        <v>2.1512805655753107E-2</v>
      </c>
      <c r="AL177" s="252">
        <f t="shared" ref="AL177:AO177" si="457">AK177</f>
        <v>2.1512805655753107E-2</v>
      </c>
      <c r="AM177" s="252">
        <f>AK177</f>
        <v>2.1512805655753107E-2</v>
      </c>
      <c r="AN177" s="252">
        <f>AL177</f>
        <v>2.1512805655753107E-2</v>
      </c>
      <c r="AO177" s="252">
        <f t="shared" si="457"/>
        <v>2.1512805655753107E-2</v>
      </c>
      <c r="AP177" s="253"/>
      <c r="AQ177" s="252">
        <f t="shared" si="450"/>
        <v>2.1512805655753107E-2</v>
      </c>
      <c r="AR177" s="252">
        <f>AL177</f>
        <v>2.1512805655753107E-2</v>
      </c>
      <c r="AS177" s="252">
        <f>AN177</f>
        <v>2.1512805655753107E-2</v>
      </c>
      <c r="AT177" s="253"/>
      <c r="AU177" s="252">
        <f t="shared" si="451"/>
        <v>2.1512805655753107E-2</v>
      </c>
      <c r="AV177" s="252">
        <f t="shared" si="441"/>
        <v>2.1512805655753107E-2</v>
      </c>
      <c r="AW177" s="252">
        <f t="shared" si="441"/>
        <v>2.1512805655753107E-2</v>
      </c>
    </row>
    <row r="178" spans="1:51">
      <c r="A178" t="s">
        <v>16</v>
      </c>
      <c r="B178" t="str">
        <f t="shared" si="415"/>
        <v>TPPUMER</v>
      </c>
      <c r="C178" t="str">
        <f t="shared" si="415"/>
        <v>Metro Rail</v>
      </c>
      <c r="D178" s="215">
        <f>INDEX($Y$5:$Y$8,MATCH($D$3,$P$5:$P$8,0))</f>
        <v>0</v>
      </c>
      <c r="E178" s="203">
        <f t="shared" si="416"/>
        <v>3.2232883809316527E-2</v>
      </c>
      <c r="F178" s="203">
        <f t="shared" ref="F178:H178" si="458">F167/F$169</f>
        <v>3.1717478967411422E-2</v>
      </c>
      <c r="G178" s="203">
        <f t="shared" si="458"/>
        <v>3.3316112446288362E-2</v>
      </c>
      <c r="H178" s="203">
        <f t="shared" si="458"/>
        <v>3.250373648674728E-2</v>
      </c>
      <c r="I178" s="203">
        <f t="shared" si="418"/>
        <v>4.5918095290455194E-2</v>
      </c>
      <c r="J178" s="203">
        <f t="shared" si="418"/>
        <v>5.255374233786924E-2</v>
      </c>
      <c r="K178" s="203">
        <f t="shared" ref="K178:L178" si="459">K167/K$169</f>
        <v>5.255374233786924E-2</v>
      </c>
      <c r="L178" s="203">
        <f t="shared" si="459"/>
        <v>5.255374233786924E-2</v>
      </c>
      <c r="M178" s="203">
        <f t="shared" si="418"/>
        <v>4.2487281818452786E-2</v>
      </c>
      <c r="N178" s="31"/>
      <c r="O178" s="203">
        <f t="shared" ref="O178:R178" si="460">O167/O$169</f>
        <v>3.2232883809316527E-2</v>
      </c>
      <c r="P178" s="203">
        <f t="shared" si="460"/>
        <v>3.1717478967411422E-2</v>
      </c>
      <c r="Q178" s="203">
        <f t="shared" si="460"/>
        <v>3.3316112446288362E-2</v>
      </c>
      <c r="R178" s="203">
        <f t="shared" si="460"/>
        <v>3.250373648674728E-2</v>
      </c>
      <c r="S178" s="251">
        <f t="shared" si="421"/>
        <v>3.0438789148430741E-2</v>
      </c>
      <c r="T178" s="251">
        <f t="shared" si="421"/>
        <v>2.6451271356488022E-2</v>
      </c>
      <c r="U178" s="251">
        <f t="shared" ref="U178:V178" si="461">U167/U$169</f>
        <v>2.2026817314550508E-2</v>
      </c>
      <c r="V178" s="251">
        <f t="shared" si="461"/>
        <v>2.0098174027333101E-2</v>
      </c>
      <c r="W178" s="251">
        <f t="shared" si="421"/>
        <v>1.835583873104139E-2</v>
      </c>
      <c r="Y178" s="203">
        <f t="shared" si="423"/>
        <v>3.2232883809316527E-2</v>
      </c>
      <c r="Z178" s="203">
        <f t="shared" si="423"/>
        <v>3.1717478967411422E-2</v>
      </c>
      <c r="AA178" s="203">
        <f t="shared" si="423"/>
        <v>3.3316112446288362E-2</v>
      </c>
      <c r="AB178" s="203">
        <f t="shared" si="423"/>
        <v>3.250373648674728E-2</v>
      </c>
      <c r="AC178" s="251">
        <f t="shared" si="424"/>
        <v>4.5918095290455194E-2</v>
      </c>
      <c r="AD178" s="251">
        <f t="shared" si="424"/>
        <v>5.255374233786924E-2</v>
      </c>
      <c r="AE178" s="251">
        <f t="shared" ref="AE178:AF178" si="462">AE167/AE$169</f>
        <v>4.5365654927907825E-2</v>
      </c>
      <c r="AF178" s="251">
        <f t="shared" si="462"/>
        <v>4.2028169527884858E-2</v>
      </c>
      <c r="AG178" s="251">
        <f t="shared" si="424"/>
        <v>4.2487281818452786E-2</v>
      </c>
      <c r="AI178" s="216">
        <f>S178</f>
        <v>3.0438789148430741E-2</v>
      </c>
      <c r="AK178" s="252">
        <f>AI178/$AI$180</f>
        <v>6.7317547509851638E-2</v>
      </c>
      <c r="AL178" s="252">
        <f>AK178*(1+$D$178)</f>
        <v>6.7317547509851638E-2</v>
      </c>
      <c r="AM178" s="252">
        <f>AK178*(1+$D$178)</f>
        <v>6.7317547509851638E-2</v>
      </c>
      <c r="AN178" s="252">
        <f>AL178*(1+$D$178)</f>
        <v>6.7317547509851638E-2</v>
      </c>
      <c r="AO178" s="252">
        <f>AN178*(1+$D$178)</f>
        <v>6.7317547509851638E-2</v>
      </c>
      <c r="AP178" s="253"/>
      <c r="AQ178" s="252">
        <f>AK178</f>
        <v>6.7317547509851638E-2</v>
      </c>
      <c r="AR178" s="252">
        <f>AL178</f>
        <v>6.7317547509851638E-2</v>
      </c>
      <c r="AS178" s="252">
        <f>AN178</f>
        <v>6.7317547509851638E-2</v>
      </c>
      <c r="AT178" s="253"/>
      <c r="AU178" s="252">
        <f t="shared" si="451"/>
        <v>6.7317547509851638E-2</v>
      </c>
      <c r="AV178" s="252">
        <f t="shared" si="441"/>
        <v>6.7317547509851638E-2</v>
      </c>
      <c r="AW178" s="252">
        <f>AS178</f>
        <v>6.7317547509851638E-2</v>
      </c>
    </row>
    <row r="179" spans="1:51">
      <c r="A179" t="s">
        <v>16</v>
      </c>
      <c r="B179" t="str">
        <f t="shared" si="415"/>
        <v>TPPUGAT</v>
      </c>
      <c r="C179" t="str">
        <f t="shared" si="415"/>
        <v>Gautrain</v>
      </c>
      <c r="E179" s="203">
        <f t="shared" si="416"/>
        <v>2.4099570920807019E-3</v>
      </c>
      <c r="F179" s="203">
        <f t="shared" ref="F179:H179" si="463">F168/F$169</f>
        <v>2.5001526401571533E-3</v>
      </c>
      <c r="G179" s="203">
        <f t="shared" si="463"/>
        <v>2.3720169010174917E-3</v>
      </c>
      <c r="H179" s="203">
        <f t="shared" si="463"/>
        <v>2.4422221325439888E-3</v>
      </c>
      <c r="I179" s="203">
        <f t="shared" si="418"/>
        <v>4.9072876566724054E-3</v>
      </c>
      <c r="J179" s="203">
        <f t="shared" si="418"/>
        <v>7.4629157863634428E-3</v>
      </c>
      <c r="K179" s="203">
        <f t="shared" ref="K179:L179" si="464">K168/K$169</f>
        <v>7.4629157863634428E-3</v>
      </c>
      <c r="L179" s="203">
        <f t="shared" si="464"/>
        <v>7.4629157863634428E-3</v>
      </c>
      <c r="M179" s="203">
        <f t="shared" si="418"/>
        <v>1.6066836566846199E-2</v>
      </c>
      <c r="N179" s="31"/>
      <c r="O179" s="203">
        <f t="shared" ref="O179:R179" si="465">O168/O$169</f>
        <v>2.4099570920807019E-3</v>
      </c>
      <c r="P179" s="203">
        <f t="shared" si="465"/>
        <v>2.5001526401571533E-3</v>
      </c>
      <c r="Q179" s="203">
        <f t="shared" si="465"/>
        <v>2.3720169010174917E-3</v>
      </c>
      <c r="R179" s="203">
        <f t="shared" si="465"/>
        <v>2.4422221325439888E-3</v>
      </c>
      <c r="S179" s="251">
        <f t="shared" si="421"/>
        <v>2.5729513816160139E-3</v>
      </c>
      <c r="T179" s="251">
        <f t="shared" si="421"/>
        <v>2.7065717081377395E-3</v>
      </c>
      <c r="U179" s="251">
        <f t="shared" ref="U179:V179" si="466">U168/U$169</f>
        <v>2.7209209131472396E-3</v>
      </c>
      <c r="V179" s="251">
        <f t="shared" si="466"/>
        <v>2.855604968080632E-3</v>
      </c>
      <c r="W179" s="251">
        <f t="shared" si="421"/>
        <v>2.9878220039194305E-3</v>
      </c>
      <c r="Y179" s="203">
        <f t="shared" si="423"/>
        <v>2.4099570920807019E-3</v>
      </c>
      <c r="Z179" s="203">
        <f t="shared" si="423"/>
        <v>2.5001526401571533E-3</v>
      </c>
      <c r="AA179" s="203">
        <f t="shared" si="423"/>
        <v>2.3720169010174917E-3</v>
      </c>
      <c r="AB179" s="203">
        <f t="shared" si="423"/>
        <v>2.4422221325439888E-3</v>
      </c>
      <c r="AC179" s="251">
        <f t="shared" si="424"/>
        <v>4.9072876566724054E-3</v>
      </c>
      <c r="AD179" s="251">
        <f t="shared" si="424"/>
        <v>7.4629157863634428E-3</v>
      </c>
      <c r="AE179" s="251">
        <f t="shared" ref="AE179:AF179" si="467">AE168/AE$169</f>
        <v>1.1168464250579071E-2</v>
      </c>
      <c r="AF179" s="251">
        <f t="shared" si="467"/>
        <v>1.3615309276325307E-2</v>
      </c>
      <c r="AG179" s="251">
        <f t="shared" si="424"/>
        <v>1.6066836566846199E-2</v>
      </c>
      <c r="AI179" s="216">
        <f>S179</f>
        <v>2.5729513816160139E-3</v>
      </c>
      <c r="AK179" s="252">
        <f>AI179/$AI$180</f>
        <v>5.6902650111298513E-3</v>
      </c>
      <c r="AL179" s="252">
        <f t="shared" ref="AL179:AO179" si="468">AK179</f>
        <v>5.6902650111298513E-3</v>
      </c>
      <c r="AM179" s="252">
        <f>AK179</f>
        <v>5.6902650111298513E-3</v>
      </c>
      <c r="AN179" s="252">
        <f>AL179</f>
        <v>5.6902650111298513E-3</v>
      </c>
      <c r="AO179" s="252">
        <f t="shared" si="468"/>
        <v>5.6902650111298513E-3</v>
      </c>
      <c r="AP179" s="253"/>
      <c r="AQ179" s="252">
        <f t="shared" si="450"/>
        <v>5.6902650111298513E-3</v>
      </c>
      <c r="AR179" s="252">
        <f>AL179</f>
        <v>5.6902650111298513E-3</v>
      </c>
      <c r="AS179" s="252">
        <f>AN179</f>
        <v>5.6902650111298513E-3</v>
      </c>
      <c r="AT179" s="253"/>
      <c r="AU179" s="252">
        <f>AQ179</f>
        <v>5.6902650111298513E-3</v>
      </c>
      <c r="AV179" s="252">
        <f t="shared" si="441"/>
        <v>5.6902650111298513E-3</v>
      </c>
      <c r="AW179" s="252">
        <f t="shared" si="441"/>
        <v>5.6902650111298513E-3</v>
      </c>
    </row>
    <row r="180" spans="1:51">
      <c r="A180" t="s">
        <v>16</v>
      </c>
      <c r="J180"/>
      <c r="N180" s="31"/>
      <c r="AI180" s="216">
        <f>SUM(AI175:AI179)</f>
        <v>0.45216723238433709</v>
      </c>
      <c r="AK180" s="24"/>
      <c r="AL180" s="24"/>
      <c r="AM180" s="24"/>
      <c r="AN180" s="24"/>
      <c r="AO180" s="24"/>
    </row>
    <row r="181" spans="1:51">
      <c r="A181" t="s">
        <v>16</v>
      </c>
      <c r="C181" t="s">
        <v>133</v>
      </c>
      <c r="E181" s="24">
        <f t="shared" ref="E181" si="469">SUM(E172:E174)</f>
        <v>0.52503386937918861</v>
      </c>
      <c r="F181" s="24">
        <f t="shared" ref="F181:H181" si="470">SUM(F172:F174)</f>
        <v>0.52920972009328504</v>
      </c>
      <c r="G181" s="24">
        <f t="shared" si="470"/>
        <v>0.50594414611115535</v>
      </c>
      <c r="H181" s="24">
        <f t="shared" si="470"/>
        <v>0.51775978483244489</v>
      </c>
      <c r="I181" s="24">
        <f>SUM(I172:I174)</f>
        <v>0.50269167704197382</v>
      </c>
      <c r="J181" s="24">
        <f>SUM(J172:J174)</f>
        <v>0.52677342122513338</v>
      </c>
      <c r="K181" s="24">
        <f>SUM(K172:K174)</f>
        <v>0.52677342122513338</v>
      </c>
      <c r="L181" s="24">
        <f>SUM(L172:L174)</f>
        <v>0.52677342122513338</v>
      </c>
      <c r="M181" s="24">
        <f>SUM(M172:M174)</f>
        <v>0.60661228897421271</v>
      </c>
      <c r="N181" s="31"/>
      <c r="O181" s="24">
        <f t="shared" ref="O181:R181" si="471">SUM(O172:O174)</f>
        <v>0.52503386937918861</v>
      </c>
      <c r="P181" s="24">
        <f t="shared" si="471"/>
        <v>0.52920972009328504</v>
      </c>
      <c r="Q181" s="24">
        <f t="shared" si="471"/>
        <v>0.50594414611115535</v>
      </c>
      <c r="R181" s="24">
        <f t="shared" si="471"/>
        <v>0.51775978483244489</v>
      </c>
      <c r="S181" s="24">
        <f>SUM(S172:S174)</f>
        <v>0.54783276761566269</v>
      </c>
      <c r="T181" s="24">
        <f>SUM(T172:T174)</f>
        <v>0.60605710634058885</v>
      </c>
      <c r="U181" s="24">
        <f>SUM(U172:U174)</f>
        <v>0.67080567368329169</v>
      </c>
      <c r="V181" s="24">
        <f>SUM(V172:V174)</f>
        <v>0.69887452937712613</v>
      </c>
      <c r="W181" s="24">
        <f>SUM(W172:W174)</f>
        <v>0.72420513014199028</v>
      </c>
      <c r="Y181" s="203">
        <f t="shared" ref="Y181:AB182" si="472">O181</f>
        <v>0.52503386937918861</v>
      </c>
      <c r="Z181" s="203">
        <f t="shared" si="472"/>
        <v>0.52920972009328504</v>
      </c>
      <c r="AA181" s="203">
        <f t="shared" si="472"/>
        <v>0.50594414611115535</v>
      </c>
      <c r="AB181" s="203">
        <f t="shared" si="472"/>
        <v>0.51775978483244489</v>
      </c>
      <c r="AC181" s="251">
        <f>SUM(AC172:AC174)</f>
        <v>0.50269167704197382</v>
      </c>
      <c r="AD181" s="251">
        <f>SUM(AD172:AD174)</f>
        <v>0.52677342122513338</v>
      </c>
      <c r="AE181" s="251">
        <f>SUM(AE172:AE174)</f>
        <v>0.58624993012845261</v>
      </c>
      <c r="AF181" s="251">
        <f>SUM(AF172:AF174)</f>
        <v>0.61312364928007934</v>
      </c>
      <c r="AG181" s="251">
        <f>SUM(AG172:AG174)</f>
        <v>0.60661228897421271</v>
      </c>
    </row>
    <row r="182" spans="1:51">
      <c r="A182" t="s">
        <v>16</v>
      </c>
      <c r="C182" t="s">
        <v>134</v>
      </c>
      <c r="E182" s="24">
        <f t="shared" ref="E182" si="473">1-E181</f>
        <v>0.47496613062081139</v>
      </c>
      <c r="F182" s="24">
        <f t="shared" ref="F182:H182" si="474">1-F181</f>
        <v>0.47079027990671496</v>
      </c>
      <c r="G182" s="24">
        <f t="shared" si="474"/>
        <v>0.49405585388884465</v>
      </c>
      <c r="H182" s="24">
        <f t="shared" si="474"/>
        <v>0.48224021516755511</v>
      </c>
      <c r="I182" s="24">
        <f>1-I181</f>
        <v>0.49730832295802618</v>
      </c>
      <c r="J182" s="24">
        <f>1-J181</f>
        <v>0.47322657877486662</v>
      </c>
      <c r="K182" s="24">
        <f>1-K181</f>
        <v>0.47322657877486662</v>
      </c>
      <c r="L182" s="24">
        <f>1-L181</f>
        <v>0.47322657877486662</v>
      </c>
      <c r="M182" s="24">
        <f>1-M181</f>
        <v>0.39338771102578729</v>
      </c>
      <c r="N182" s="31"/>
      <c r="O182" s="24">
        <f t="shared" ref="O182:R182" si="475">1-O181</f>
        <v>0.47496613062081139</v>
      </c>
      <c r="P182" s="24">
        <f t="shared" si="475"/>
        <v>0.47079027990671496</v>
      </c>
      <c r="Q182" s="24">
        <f t="shared" si="475"/>
        <v>0.49405585388884465</v>
      </c>
      <c r="R182" s="24">
        <f t="shared" si="475"/>
        <v>0.48224021516755511</v>
      </c>
      <c r="S182" s="24">
        <f>1-S181</f>
        <v>0.45216723238433731</v>
      </c>
      <c r="T182" s="24">
        <f>1-T181</f>
        <v>0.39394289365941115</v>
      </c>
      <c r="U182" s="24">
        <f>1-U181</f>
        <v>0.32919432631670831</v>
      </c>
      <c r="V182" s="24">
        <f>1-V181</f>
        <v>0.30112547062287387</v>
      </c>
      <c r="W182" s="24">
        <f>1-W181</f>
        <v>0.27579486985800972</v>
      </c>
      <c r="Y182" s="203">
        <f t="shared" si="472"/>
        <v>0.47496613062081139</v>
      </c>
      <c r="Z182" s="203">
        <f t="shared" si="472"/>
        <v>0.47079027990671496</v>
      </c>
      <c r="AA182" s="203">
        <f t="shared" si="472"/>
        <v>0.49405585388884465</v>
      </c>
      <c r="AB182" s="203">
        <f t="shared" si="472"/>
        <v>0.48224021516755511</v>
      </c>
      <c r="AC182" s="251">
        <f>1-AC181</f>
        <v>0.49730832295802618</v>
      </c>
      <c r="AD182" s="251">
        <f>1-AD181</f>
        <v>0.47322657877486662</v>
      </c>
      <c r="AE182" s="251">
        <f>1-AE181</f>
        <v>0.41375006987154739</v>
      </c>
      <c r="AF182" s="251">
        <f>1-AF181</f>
        <v>0.38687635071992066</v>
      </c>
      <c r="AG182" s="251">
        <f>1-AG181</f>
        <v>0.39338771102578729</v>
      </c>
    </row>
    <row r="183" spans="1:51">
      <c r="A183" t="s">
        <v>16</v>
      </c>
      <c r="J183"/>
      <c r="N183" s="31"/>
      <c r="Y183" s="17">
        <f t="shared" ref="Y183:AD183" si="476">SUM(Y161:Y162)/SUM(O161:O162)</f>
        <v>1</v>
      </c>
      <c r="Z183" s="17">
        <f t="shared" si="476"/>
        <v>1</v>
      </c>
      <c r="AA183" s="17">
        <f t="shared" si="476"/>
        <v>1</v>
      </c>
      <c r="AB183" s="17">
        <f t="shared" si="476"/>
        <v>1</v>
      </c>
      <c r="AC183" s="17">
        <f t="shared" si="476"/>
        <v>0.86675585009375644</v>
      </c>
      <c r="AD183" s="17">
        <f t="shared" si="476"/>
        <v>0.78304657291261603</v>
      </c>
      <c r="AE183" s="17">
        <f>SUM(AE161:AE162)/SUM(V161:V162)</f>
        <v>0.69279984777617731</v>
      </c>
      <c r="AF183" s="17">
        <f>SUM(AF161:AF162)/SUM(V161:V162)</f>
        <v>0.77468289411164493</v>
      </c>
      <c r="AG183" s="17">
        <f>SUM(AG161:AG162)/SUM(W161:W162)</f>
        <v>0.70665876331038058</v>
      </c>
    </row>
    <row r="184" spans="1:51">
      <c r="A184" t="s">
        <v>16</v>
      </c>
      <c r="J184"/>
      <c r="N184" s="31"/>
    </row>
    <row r="185" spans="1:51" ht="15.75" thickBot="1">
      <c r="A185" t="s">
        <v>16</v>
      </c>
      <c r="C185" s="13" t="s">
        <v>190</v>
      </c>
      <c r="E185" s="4">
        <f>E4</f>
        <v>2017</v>
      </c>
      <c r="F185" s="4">
        <f t="shared" ref="F185:H185" si="477">F4</f>
        <v>2019</v>
      </c>
      <c r="G185" s="4">
        <f t="shared" si="477"/>
        <v>2020</v>
      </c>
      <c r="H185" s="4">
        <f t="shared" si="477"/>
        <v>2021</v>
      </c>
      <c r="I185" s="4">
        <v>2030</v>
      </c>
      <c r="J185" s="4">
        <v>2040</v>
      </c>
      <c r="K185" s="4">
        <v>2050</v>
      </c>
      <c r="L185" s="4">
        <v>2060</v>
      </c>
      <c r="M185" s="4">
        <v>2070</v>
      </c>
      <c r="N185" s="31"/>
    </row>
    <row r="186" spans="1:51">
      <c r="A186" t="s">
        <v>16</v>
      </c>
      <c r="B186" t="str">
        <f>B149</f>
        <v>TPPRCAR</v>
      </c>
      <c r="C186" t="str">
        <f>C149</f>
        <v>Car Priv.Veh. Vehicle km</v>
      </c>
      <c r="E186" s="3">
        <f>E149</f>
        <v>81.1386031348502</v>
      </c>
      <c r="F186" s="3">
        <f>F149</f>
        <v>84.616485002842012</v>
      </c>
      <c r="G186" s="3">
        <f t="shared" ref="G186:H186" si="478">G149</f>
        <v>78.308349507973659</v>
      </c>
      <c r="H186" s="3">
        <f t="shared" si="478"/>
        <v>83.011371976970224</v>
      </c>
      <c r="I186" s="6">
        <f t="shared" ref="I186:M193" si="479">I149</f>
        <v>86.017079143589797</v>
      </c>
      <c r="J186" s="6">
        <f t="shared" si="479"/>
        <v>100.33305969772233</v>
      </c>
      <c r="K186" s="6">
        <f t="shared" ref="K186:L186" si="480">K149</f>
        <v>127.70702073891803</v>
      </c>
      <c r="L186" s="6">
        <f t="shared" si="480"/>
        <v>142.8009038136552</v>
      </c>
      <c r="M186" s="6">
        <f t="shared" si="479"/>
        <v>141.71981463375749</v>
      </c>
      <c r="N186" s="31"/>
      <c r="AH186" s="198"/>
      <c r="AI186" s="198"/>
      <c r="AJ186" s="198"/>
      <c r="AK186" s="198"/>
      <c r="AL186" s="198"/>
      <c r="AM186" s="198"/>
      <c r="AN186" s="198"/>
      <c r="AO186" s="198"/>
      <c r="AP186" s="198"/>
      <c r="AQ186" s="198"/>
      <c r="AR186" s="198"/>
      <c r="AS186" s="198"/>
      <c r="AT186" s="198"/>
      <c r="AU186" s="198"/>
      <c r="AV186" s="198"/>
      <c r="AW186" s="198"/>
      <c r="AX186" s="198"/>
      <c r="AY186" s="198"/>
    </row>
    <row r="187" spans="1:51">
      <c r="A187" t="s">
        <v>16</v>
      </c>
      <c r="B187" t="str">
        <f t="shared" ref="B187:C193" si="481">B150</f>
        <v>TPPRSUV</v>
      </c>
      <c r="C187" t="str">
        <f t="shared" si="481"/>
        <v>SUV Priv.Veh. Vehicle km</v>
      </c>
      <c r="E187" s="6">
        <f t="shared" ref="E187:E193" si="482">E150</f>
        <v>17.754191802068</v>
      </c>
      <c r="F187" s="6">
        <f t="shared" ref="F187:H187" si="483">F150</f>
        <v>17.98100306310393</v>
      </c>
      <c r="G187" s="6">
        <f t="shared" si="483"/>
        <v>16.640524270444406</v>
      </c>
      <c r="H187" s="6">
        <f t="shared" si="483"/>
        <v>17.639916545106175</v>
      </c>
      <c r="I187" s="6">
        <f t="shared" si="479"/>
        <v>18.278629318012836</v>
      </c>
      <c r="J187" s="6">
        <f t="shared" si="479"/>
        <v>21.320775185765999</v>
      </c>
      <c r="K187" s="6">
        <f t="shared" ref="K187:L187" si="484">K150</f>
        <v>27.137741907020086</v>
      </c>
      <c r="L187" s="6">
        <f t="shared" si="484"/>
        <v>30.345192060401736</v>
      </c>
      <c r="M187" s="6">
        <f t="shared" si="479"/>
        <v>30.115460609673473</v>
      </c>
      <c r="N187" s="31"/>
      <c r="AH187" s="198"/>
      <c r="AI187" s="198"/>
      <c r="AJ187" s="198"/>
      <c r="AK187" s="198"/>
      <c r="AL187" s="198"/>
      <c r="AM187" s="198"/>
      <c r="AN187" s="198"/>
      <c r="AO187" s="198"/>
      <c r="AP187" s="198"/>
      <c r="AQ187" s="198"/>
      <c r="AR187" s="198"/>
      <c r="AS187" s="198"/>
      <c r="AT187" s="198"/>
      <c r="AU187" s="198"/>
      <c r="AV187" s="198"/>
      <c r="AW187" s="198"/>
      <c r="AX187" s="198"/>
      <c r="AY187" s="198"/>
    </row>
    <row r="188" spans="1:51">
      <c r="A188" t="s">
        <v>16</v>
      </c>
      <c r="B188" t="str">
        <f t="shared" si="481"/>
        <v>TPPRMOT</v>
      </c>
      <c r="C188" t="str">
        <f t="shared" si="481"/>
        <v>Motorbikes Priv.Veh. Vehicle km</v>
      </c>
      <c r="E188" s="6">
        <f t="shared" si="482"/>
        <v>5.9227912022632498</v>
      </c>
      <c r="F188" s="6">
        <f t="shared" ref="F188:H188" si="485">F151</f>
        <v>3.1731181876065753</v>
      </c>
      <c r="G188" s="6">
        <f t="shared" si="485"/>
        <v>2.9365631065490123</v>
      </c>
      <c r="H188" s="6">
        <f t="shared" si="485"/>
        <v>3.1129264491363839</v>
      </c>
      <c r="I188" s="6">
        <f t="shared" si="479"/>
        <v>3.2256404678846176</v>
      </c>
      <c r="J188" s="6">
        <f t="shared" si="479"/>
        <v>3.7624897386645877</v>
      </c>
      <c r="K188" s="6">
        <f t="shared" ref="K188:L188" si="486">K151</f>
        <v>4.7890132777094268</v>
      </c>
      <c r="L188" s="6">
        <f t="shared" si="486"/>
        <v>5.3550338930120702</v>
      </c>
      <c r="M188" s="6">
        <f t="shared" si="479"/>
        <v>5.3144930487659066</v>
      </c>
      <c r="N188" s="31"/>
      <c r="AH188" s="198"/>
      <c r="AI188" s="198"/>
      <c r="AJ188" s="198"/>
      <c r="AK188" s="198"/>
      <c r="AL188" s="198"/>
      <c r="AM188" s="198"/>
      <c r="AN188" s="198"/>
      <c r="AO188" s="198"/>
      <c r="AP188" s="198"/>
      <c r="AQ188" s="198"/>
      <c r="AR188" s="198"/>
      <c r="AS188" s="198"/>
      <c r="AT188" s="198"/>
      <c r="AU188" s="198"/>
      <c r="AV188" s="198"/>
      <c r="AW188" s="198"/>
      <c r="AX188" s="198"/>
      <c r="AY188" s="198"/>
    </row>
    <row r="189" spans="1:51">
      <c r="A189" t="s">
        <v>16</v>
      </c>
      <c r="B189" t="str">
        <f t="shared" si="481"/>
        <v>TPPUBUS</v>
      </c>
      <c r="C189" t="str">
        <f t="shared" si="481"/>
        <v>Bus vehicle km</v>
      </c>
      <c r="E189" s="6">
        <f t="shared" si="482"/>
        <v>0.64296697178877804</v>
      </c>
      <c r="F189" s="6">
        <f t="shared" ref="F189:H189" si="487">F152</f>
        <v>0.65561461783585018</v>
      </c>
      <c r="G189" s="6">
        <f t="shared" si="487"/>
        <v>0.6666265611015576</v>
      </c>
      <c r="H189" s="6">
        <f t="shared" si="487"/>
        <v>0.67369816503155333</v>
      </c>
      <c r="I189" s="6">
        <f t="shared" si="479"/>
        <v>0.73989850534721346</v>
      </c>
      <c r="J189" s="6">
        <f t="shared" si="479"/>
        <v>0.7786726183580428</v>
      </c>
      <c r="K189" s="6">
        <f t="shared" ref="K189:L189" si="488">K152</f>
        <v>0.76875899074509002</v>
      </c>
      <c r="L189" s="6">
        <f t="shared" si="488"/>
        <v>0.7614728390026565</v>
      </c>
      <c r="M189" s="6">
        <f t="shared" si="479"/>
        <v>0.77216368414084546</v>
      </c>
      <c r="N189" s="31"/>
      <c r="AH189" s="198"/>
      <c r="AI189" s="198"/>
      <c r="AJ189" s="198"/>
      <c r="AK189" s="198"/>
      <c r="AL189" s="198"/>
      <c r="AM189" s="198"/>
      <c r="AN189" s="198"/>
      <c r="AO189" s="198"/>
      <c r="AP189" s="198"/>
      <c r="AQ189" s="198"/>
      <c r="AR189" s="198"/>
      <c r="AS189" s="198"/>
      <c r="AT189" s="198"/>
      <c r="AU189" s="198"/>
      <c r="AV189" s="198"/>
      <c r="AW189" s="198"/>
      <c r="AX189" s="198"/>
      <c r="AY189" s="198"/>
    </row>
    <row r="190" spans="1:51">
      <c r="A190" t="s">
        <v>16</v>
      </c>
      <c r="B190" t="str">
        <f t="shared" si="481"/>
        <v>TPPUMBT</v>
      </c>
      <c r="C190" t="str">
        <f t="shared" si="481"/>
        <v>Minibus vehicle km</v>
      </c>
      <c r="E190" s="6">
        <f t="shared" si="482"/>
        <v>7.2130505455454896</v>
      </c>
      <c r="F190" s="6">
        <f t="shared" ref="F190:H190" si="489">F153</f>
        <v>7.3560605036075861</v>
      </c>
      <c r="G190" s="6">
        <f t="shared" si="489"/>
        <v>7.4796155902715018</v>
      </c>
      <c r="H190" s="6">
        <f t="shared" si="489"/>
        <v>7.5589596819854874</v>
      </c>
      <c r="I190" s="6">
        <f t="shared" si="479"/>
        <v>8.0350033304808619</v>
      </c>
      <c r="J190" s="6">
        <f t="shared" si="479"/>
        <v>8.2384711969135651</v>
      </c>
      <c r="K190" s="6">
        <f t="shared" ref="K190:L190" si="490">K153</f>
        <v>8.1335835539931569</v>
      </c>
      <c r="L190" s="6">
        <f t="shared" si="490"/>
        <v>8.0564949934721035</v>
      </c>
      <c r="M190" s="6">
        <f t="shared" si="479"/>
        <v>8.1696057124894956</v>
      </c>
      <c r="N190" s="31"/>
      <c r="AH190" s="198"/>
      <c r="AI190" s="198"/>
      <c r="AJ190" s="198"/>
      <c r="AK190" s="198"/>
      <c r="AL190" s="198"/>
      <c r="AM190" s="198"/>
      <c r="AN190" s="198"/>
      <c r="AO190" s="198"/>
      <c r="AP190" s="198"/>
      <c r="AQ190" s="198"/>
      <c r="AR190" s="198"/>
      <c r="AS190" s="198"/>
      <c r="AT190" s="198"/>
      <c r="AU190" s="198"/>
      <c r="AV190" s="198"/>
      <c r="AW190" s="198"/>
      <c r="AX190" s="198"/>
      <c r="AY190" s="198"/>
    </row>
    <row r="191" spans="1:51">
      <c r="A191" t="s">
        <v>16</v>
      </c>
      <c r="B191" t="str">
        <f t="shared" si="481"/>
        <v>TPPUBRT</v>
      </c>
      <c r="C191" t="str">
        <f t="shared" si="481"/>
        <v>BRT vehicle km</v>
      </c>
      <c r="E191" s="6">
        <f t="shared" si="482"/>
        <v>7.2799982901224303E-2</v>
      </c>
      <c r="F191" s="6">
        <f t="shared" ref="F191:H191" si="491">F154</f>
        <v>0.1113095478662298</v>
      </c>
      <c r="G191" s="6">
        <f t="shared" si="491"/>
        <v>0.11091277099762989</v>
      </c>
      <c r="H191" s="6">
        <f t="shared" si="491"/>
        <v>0.11324882528963676</v>
      </c>
      <c r="I191" s="6">
        <f t="shared" si="479"/>
        <v>0.10843199027412222</v>
      </c>
      <c r="J191" s="6">
        <f t="shared" si="479"/>
        <v>0.11698913490707746</v>
      </c>
      <c r="K191" s="6">
        <f t="shared" ref="K191:L191" si="492">K154</f>
        <v>0.12347783221027619</v>
      </c>
      <c r="L191" s="6">
        <f t="shared" si="492"/>
        <v>0.12714609186757148</v>
      </c>
      <c r="M191" s="6">
        <f t="shared" si="479"/>
        <v>0.12864270203435063</v>
      </c>
      <c r="N191" s="31"/>
      <c r="AH191" s="198"/>
      <c r="AI191" s="198"/>
      <c r="AJ191" s="198"/>
      <c r="AK191" s="198"/>
      <c r="AL191" s="198"/>
      <c r="AM191" s="198"/>
      <c r="AN191" s="198"/>
      <c r="AO191" s="198"/>
      <c r="AP191" s="198"/>
      <c r="AQ191" s="198"/>
      <c r="AR191" s="198"/>
      <c r="AS191" s="198"/>
      <c r="AT191" s="198"/>
      <c r="AU191" s="198"/>
      <c r="AV191" s="198"/>
      <c r="AW191" s="198"/>
      <c r="AX191" s="198"/>
      <c r="AY191" s="198"/>
    </row>
    <row r="192" spans="1:51">
      <c r="A192" t="s">
        <v>16</v>
      </c>
      <c r="B192" t="str">
        <f t="shared" si="481"/>
        <v>TPPUMER</v>
      </c>
      <c r="C192" t="str">
        <f t="shared" si="481"/>
        <v>Metro Rail pkm</v>
      </c>
      <c r="E192" s="6">
        <f t="shared" si="482"/>
        <v>8.7048317578401608</v>
      </c>
      <c r="F192" s="6">
        <f t="shared" ref="F192:H192" si="493">F155</f>
        <v>8.8749083635056305</v>
      </c>
      <c r="G192" s="6">
        <f t="shared" si="493"/>
        <v>9.0239745751619225</v>
      </c>
      <c r="H192" s="6">
        <f t="shared" si="493"/>
        <v>9.1197012950280598</v>
      </c>
      <c r="I192" s="6">
        <f t="shared" si="479"/>
        <v>13.75007003286097</v>
      </c>
      <c r="J192" s="6">
        <f t="shared" si="479"/>
        <v>17.517087463062389</v>
      </c>
      <c r="K192" s="6">
        <f t="shared" ref="K192:L192" si="494">K155</f>
        <v>17.294069627481488</v>
      </c>
      <c r="L192" s="6">
        <f t="shared" si="494"/>
        <v>17.130159719347713</v>
      </c>
      <c r="M192" s="6">
        <f t="shared" si="479"/>
        <v>17.370661908489286</v>
      </c>
      <c r="N192" s="31"/>
      <c r="AH192" s="198"/>
      <c r="AI192" s="198"/>
      <c r="AJ192" s="198"/>
      <c r="AK192" s="198"/>
      <c r="AL192" s="198"/>
      <c r="AM192" s="198"/>
      <c r="AN192" s="198"/>
      <c r="AO192" s="198"/>
      <c r="AP192" s="198"/>
      <c r="AQ192" s="198"/>
      <c r="AR192" s="198"/>
      <c r="AS192" s="198"/>
      <c r="AT192" s="198"/>
      <c r="AU192" s="198"/>
      <c r="AV192" s="198"/>
      <c r="AW192" s="198"/>
      <c r="AX192" s="198"/>
      <c r="AY192" s="198"/>
    </row>
    <row r="193" spans="1:66">
      <c r="A193" t="s">
        <v>16</v>
      </c>
      <c r="B193" t="str">
        <f t="shared" si="481"/>
        <v>TPPUGAT</v>
      </c>
      <c r="C193" t="str">
        <f t="shared" si="481"/>
        <v>Gautrain pkm</v>
      </c>
      <c r="E193" s="6">
        <f t="shared" si="482"/>
        <v>0.64854136839212595</v>
      </c>
      <c r="F193" s="6">
        <f t="shared" ref="F193:H193" si="495">F156</f>
        <v>0.6995709084876961</v>
      </c>
      <c r="G193" s="6">
        <f t="shared" si="495"/>
        <v>0.64248252977129328</v>
      </c>
      <c r="H193" s="6">
        <f t="shared" si="495"/>
        <v>0.68522387738371804</v>
      </c>
      <c r="I193" s="6">
        <f t="shared" si="479"/>
        <v>1.4694762168121909</v>
      </c>
      <c r="J193" s="6">
        <f t="shared" si="479"/>
        <v>2.4875212067437662</v>
      </c>
      <c r="K193" s="6">
        <f t="shared" ref="K193:L193" si="496">K156</f>
        <v>4.2575864646612285</v>
      </c>
      <c r="L193" s="6">
        <f t="shared" si="496"/>
        <v>5.5494308972229671</v>
      </c>
      <c r="M193" s="6">
        <f t="shared" si="479"/>
        <v>6.5688265757783757</v>
      </c>
      <c r="N193" s="31"/>
      <c r="AH193" s="198"/>
      <c r="AI193" s="198"/>
      <c r="AJ193" s="198"/>
      <c r="AK193" s="198"/>
      <c r="AL193" s="198"/>
      <c r="AM193" s="198"/>
      <c r="AN193" s="198"/>
      <c r="AO193" s="198"/>
      <c r="AP193" s="198"/>
      <c r="AQ193" s="198"/>
      <c r="AR193" s="198"/>
      <c r="AS193" s="198"/>
      <c r="AT193" s="198"/>
      <c r="AU193" s="198"/>
      <c r="AV193" s="198"/>
      <c r="AW193" s="198"/>
      <c r="AX193" s="198"/>
      <c r="AY193" s="198"/>
    </row>
    <row r="194" spans="1:66">
      <c r="E194" s="6"/>
      <c r="G194" s="6"/>
      <c r="I194" s="6"/>
      <c r="J194" s="6"/>
      <c r="K194" s="6"/>
      <c r="L194" s="6"/>
      <c r="M194" s="6"/>
      <c r="N194" s="31"/>
      <c r="Q194" s="198"/>
      <c r="S194" s="198"/>
      <c r="T194" s="198"/>
      <c r="U194" s="198"/>
      <c r="V194" s="198"/>
      <c r="W194" s="198"/>
      <c r="X194" s="198"/>
      <c r="AA194" s="198"/>
      <c r="AB194" s="198"/>
      <c r="AD194" s="198"/>
      <c r="AE194" s="198"/>
      <c r="AF194" s="198"/>
      <c r="AG194" s="198"/>
      <c r="AH194" s="198"/>
      <c r="AI194" s="198"/>
      <c r="AJ194" s="198"/>
      <c r="AK194" s="198"/>
      <c r="AL194" s="198"/>
      <c r="AM194" s="198"/>
      <c r="AN194" s="198"/>
      <c r="AO194" s="198"/>
      <c r="AP194" s="198"/>
      <c r="AQ194" s="198"/>
      <c r="AR194" s="198"/>
      <c r="AS194" s="198"/>
      <c r="AT194" s="198"/>
      <c r="AU194" s="198"/>
      <c r="AV194" s="198"/>
      <c r="AW194" s="198"/>
      <c r="AX194" s="198"/>
      <c r="AY194" s="198"/>
    </row>
    <row r="195" spans="1:66" ht="23.25">
      <c r="E195" t="s">
        <v>16</v>
      </c>
      <c r="F195" s="10" t="s">
        <v>18</v>
      </c>
      <c r="G195" s="10" t="s">
        <v>19</v>
      </c>
      <c r="H195" s="10" t="s">
        <v>20</v>
      </c>
      <c r="I195" s="10" t="s">
        <v>21</v>
      </c>
      <c r="J195" s="10" t="s">
        <v>22</v>
      </c>
      <c r="K195" s="10" t="s">
        <v>23</v>
      </c>
      <c r="L195" s="10" t="s">
        <v>24</v>
      </c>
      <c r="M195" s="10" t="s">
        <v>594</v>
      </c>
      <c r="N195" s="10" t="s">
        <v>623</v>
      </c>
      <c r="O195" s="10" t="s">
        <v>766</v>
      </c>
      <c r="P195" s="11" t="s">
        <v>25</v>
      </c>
      <c r="Q195" s="12">
        <v>2017</v>
      </c>
      <c r="R195" s="12">
        <f t="shared" ref="R195:AT195" si="497">1+Q195</f>
        <v>2018</v>
      </c>
      <c r="S195" s="12">
        <f t="shared" si="497"/>
        <v>2019</v>
      </c>
      <c r="T195" s="12">
        <f t="shared" si="497"/>
        <v>2020</v>
      </c>
      <c r="U195" s="12">
        <f>1+S195</f>
        <v>2020</v>
      </c>
      <c r="V195" s="12">
        <f>1+S195</f>
        <v>2020</v>
      </c>
      <c r="W195" s="12">
        <f>1+T195</f>
        <v>2021</v>
      </c>
      <c r="X195" s="12">
        <f t="shared" si="497"/>
        <v>2022</v>
      </c>
      <c r="Y195" s="12">
        <f t="shared" si="497"/>
        <v>2023</v>
      </c>
      <c r="Z195" s="12">
        <f t="shared" si="497"/>
        <v>2024</v>
      </c>
      <c r="AA195" s="12">
        <f t="shared" si="497"/>
        <v>2025</v>
      </c>
      <c r="AB195" s="12">
        <f t="shared" si="497"/>
        <v>2026</v>
      </c>
      <c r="AC195" s="12">
        <f t="shared" si="497"/>
        <v>2027</v>
      </c>
      <c r="AD195" s="12">
        <f t="shared" si="497"/>
        <v>2028</v>
      </c>
      <c r="AE195" s="12">
        <f t="shared" si="497"/>
        <v>2029</v>
      </c>
      <c r="AF195" s="12">
        <f>1+AD195</f>
        <v>2029</v>
      </c>
      <c r="AG195" s="12">
        <f>1+AD195</f>
        <v>2029</v>
      </c>
      <c r="AH195" s="12">
        <f>1+AE195</f>
        <v>2030</v>
      </c>
      <c r="AI195" s="12">
        <f t="shared" si="497"/>
        <v>2031</v>
      </c>
      <c r="AJ195" s="12">
        <f t="shared" si="497"/>
        <v>2032</v>
      </c>
      <c r="AK195" s="12">
        <f t="shared" si="497"/>
        <v>2033</v>
      </c>
      <c r="AL195" s="12">
        <f t="shared" si="497"/>
        <v>2034</v>
      </c>
      <c r="AM195" s="12">
        <f t="shared" si="497"/>
        <v>2035</v>
      </c>
      <c r="AN195" s="12">
        <f>1+AL195</f>
        <v>2035</v>
      </c>
      <c r="AO195" s="12">
        <f>1+AM195</f>
        <v>2036</v>
      </c>
      <c r="AP195" s="12">
        <f t="shared" si="497"/>
        <v>2037</v>
      </c>
      <c r="AQ195" s="12">
        <f>1+AO195</f>
        <v>2037</v>
      </c>
      <c r="AR195" s="12">
        <f t="shared" si="497"/>
        <v>2038</v>
      </c>
      <c r="AS195" s="12">
        <f t="shared" si="497"/>
        <v>2039</v>
      </c>
      <c r="AT195" s="12">
        <f t="shared" si="497"/>
        <v>2040</v>
      </c>
      <c r="AU195" s="12">
        <v>2045</v>
      </c>
      <c r="AV195" s="12">
        <v>2050</v>
      </c>
      <c r="AW195" s="12">
        <v>2060</v>
      </c>
      <c r="AX195" s="12">
        <v>2070</v>
      </c>
      <c r="AY195" s="12"/>
      <c r="BB195" s="12"/>
      <c r="BC195" s="12"/>
      <c r="BM195" s="12"/>
      <c r="BN195" s="12"/>
    </row>
    <row r="196" spans="1:66" s="98" customFormat="1">
      <c r="E196" s="97" t="s">
        <v>16</v>
      </c>
      <c r="F196" s="98" t="s">
        <v>376</v>
      </c>
      <c r="G196" s="98">
        <v>1</v>
      </c>
      <c r="H196" s="98">
        <v>2017</v>
      </c>
      <c r="I196" s="98">
        <v>2019</v>
      </c>
      <c r="J196" s="98">
        <v>2020</v>
      </c>
      <c r="K196" s="98">
        <v>2021</v>
      </c>
      <c r="L196" s="98">
        <v>2030</v>
      </c>
      <c r="M196" s="98">
        <v>2040</v>
      </c>
      <c r="N196" s="103">
        <v>2050</v>
      </c>
      <c r="O196" s="98">
        <v>2060</v>
      </c>
      <c r="P196" s="103">
        <v>2070</v>
      </c>
      <c r="Q196" s="97">
        <f t="shared" ref="Q196:T197" si="498">MATCH(N$214,$E$185:$M$185,$G196)</f>
        <v>1</v>
      </c>
      <c r="R196" s="97">
        <f t="shared" si="498"/>
        <v>1</v>
      </c>
      <c r="S196" s="97">
        <f t="shared" si="498"/>
        <v>2</v>
      </c>
      <c r="T196" s="97">
        <f t="shared" si="498"/>
        <v>3</v>
      </c>
      <c r="U196" s="97">
        <f>MATCH(Q$214,$E$185:$M$185,$G196)</f>
        <v>3</v>
      </c>
      <c r="V196" s="97">
        <f t="shared" ref="V196:Y197" si="499">MATCH(Q$214,$E$185:$M$185,$G196)</f>
        <v>3</v>
      </c>
      <c r="W196" s="97">
        <f t="shared" si="499"/>
        <v>4</v>
      </c>
      <c r="X196" s="97">
        <f t="shared" si="499"/>
        <v>4</v>
      </c>
      <c r="Y196" s="97">
        <f t="shared" si="499"/>
        <v>4</v>
      </c>
      <c r="Z196" s="97">
        <f t="shared" ref="Z196:AE197" si="500">MATCH(W$214,$E$185:$M$185,$G196)</f>
        <v>4</v>
      </c>
      <c r="AA196" s="97">
        <f t="shared" si="500"/>
        <v>4</v>
      </c>
      <c r="AB196" s="97">
        <f t="shared" si="500"/>
        <v>4</v>
      </c>
      <c r="AC196" s="97">
        <f t="shared" si="500"/>
        <v>4</v>
      </c>
      <c r="AD196" s="97">
        <f t="shared" si="500"/>
        <v>4</v>
      </c>
      <c r="AE196" s="97">
        <f t="shared" si="500"/>
        <v>4</v>
      </c>
      <c r="AF196" s="97">
        <f>MATCH(AB$214,$E$185:$M$185,$G196)</f>
        <v>4</v>
      </c>
      <c r="AG196" s="97">
        <f t="shared" ref="AG196:AJ197" si="501">MATCH(AB$214,$E$185:$M$185,$G196)</f>
        <v>4</v>
      </c>
      <c r="AH196" s="97">
        <f t="shared" si="501"/>
        <v>5</v>
      </c>
      <c r="AI196" s="97">
        <f t="shared" si="501"/>
        <v>5</v>
      </c>
      <c r="AJ196" s="97">
        <f t="shared" si="501"/>
        <v>5</v>
      </c>
      <c r="AK196" s="97">
        <f t="shared" ref="AK196:AM197" si="502">MATCH(AH$214,$E$185:$M$185,$G196)</f>
        <v>5</v>
      </c>
      <c r="AL196" s="97">
        <f t="shared" si="502"/>
        <v>5</v>
      </c>
      <c r="AM196" s="97">
        <f t="shared" si="502"/>
        <v>5</v>
      </c>
      <c r="AN196" s="97">
        <f t="shared" ref="AN196:AP197" si="503">MATCH(AJ$214,$E$185:$M$185,$G196)</f>
        <v>5</v>
      </c>
      <c r="AO196" s="97">
        <f t="shared" si="503"/>
        <v>5</v>
      </c>
      <c r="AP196" s="97">
        <f t="shared" si="503"/>
        <v>5</v>
      </c>
      <c r="AQ196" s="97">
        <f>MATCH(AL$214,$E$185:$M$185,$G196)</f>
        <v>5</v>
      </c>
      <c r="AR196" s="97">
        <f>MATCH(AM$214,$E$185:$M$185,$G196)</f>
        <v>5</v>
      </c>
      <c r="AS196" s="97">
        <f>MATCH(AO$214,$E$185:$M$185,$G196)</f>
        <v>5</v>
      </c>
      <c r="AT196" s="97">
        <f t="shared" ref="AT196:AV197" si="504">MATCH(AQ$214,$E$185:$M$185,$G196)</f>
        <v>6</v>
      </c>
      <c r="AU196" s="97">
        <f t="shared" si="504"/>
        <v>6</v>
      </c>
      <c r="AV196" s="97">
        <f t="shared" si="504"/>
        <v>7</v>
      </c>
      <c r="AW196" s="98">
        <f>MATCH(AT$214,$G$210:$O$210,$G196)</f>
        <v>8</v>
      </c>
      <c r="AX196" s="98">
        <f>MATCH(AU$214,$G$210:$O$210,$G196)</f>
        <v>9</v>
      </c>
      <c r="BM196" s="97"/>
    </row>
    <row r="197" spans="1:66">
      <c r="E197" s="31" t="s">
        <v>16</v>
      </c>
      <c r="F197" t="s">
        <v>377</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1">
        <f t="shared" si="498"/>
        <v>1</v>
      </c>
      <c r="R197" s="31" t="e">
        <f t="shared" si="498"/>
        <v>#N/A</v>
      </c>
      <c r="S197" s="31">
        <f t="shared" si="498"/>
        <v>2</v>
      </c>
      <c r="T197" s="31">
        <f t="shared" si="498"/>
        <v>3</v>
      </c>
      <c r="U197" s="31">
        <f>MATCH(Q$214,$E$185:$M$185,$G197)</f>
        <v>3</v>
      </c>
      <c r="V197" s="31">
        <f t="shared" si="499"/>
        <v>3</v>
      </c>
      <c r="W197" s="31">
        <f t="shared" si="499"/>
        <v>4</v>
      </c>
      <c r="X197" s="31" t="e">
        <f t="shared" si="499"/>
        <v>#N/A</v>
      </c>
      <c r="Y197" s="31" t="e">
        <f t="shared" si="499"/>
        <v>#N/A</v>
      </c>
      <c r="Z197" s="31" t="e">
        <f t="shared" si="500"/>
        <v>#N/A</v>
      </c>
      <c r="AA197" s="31" t="e">
        <f t="shared" si="500"/>
        <v>#N/A</v>
      </c>
      <c r="AB197" s="31" t="e">
        <f t="shared" si="500"/>
        <v>#N/A</v>
      </c>
      <c r="AC197" s="31" t="e">
        <f t="shared" si="500"/>
        <v>#N/A</v>
      </c>
      <c r="AD197" s="31" t="e">
        <f t="shared" si="500"/>
        <v>#N/A</v>
      </c>
      <c r="AE197" s="31" t="e">
        <f t="shared" si="500"/>
        <v>#N/A</v>
      </c>
      <c r="AF197" s="31" t="e">
        <f>MATCH(AB$214,$E$185:$M$185,$G197)</f>
        <v>#N/A</v>
      </c>
      <c r="AG197" s="31" t="e">
        <f t="shared" si="501"/>
        <v>#N/A</v>
      </c>
      <c r="AH197" s="31">
        <f t="shared" si="501"/>
        <v>5</v>
      </c>
      <c r="AI197" s="31" t="e">
        <f t="shared" si="501"/>
        <v>#N/A</v>
      </c>
      <c r="AJ197" s="31" t="e">
        <f t="shared" si="501"/>
        <v>#N/A</v>
      </c>
      <c r="AK197" s="31" t="e">
        <f t="shared" si="502"/>
        <v>#N/A</v>
      </c>
      <c r="AL197" s="31" t="e">
        <f t="shared" si="502"/>
        <v>#N/A</v>
      </c>
      <c r="AM197" s="31" t="e">
        <f t="shared" si="502"/>
        <v>#N/A</v>
      </c>
      <c r="AN197" s="31" t="e">
        <f t="shared" si="503"/>
        <v>#N/A</v>
      </c>
      <c r="AO197" s="31" t="e">
        <f t="shared" si="503"/>
        <v>#N/A</v>
      </c>
      <c r="AP197" s="31" t="e">
        <f t="shared" si="503"/>
        <v>#N/A</v>
      </c>
      <c r="AQ197" s="31" t="e">
        <f>MATCH(AL$214,$E$185:$M$185,$G197)</f>
        <v>#N/A</v>
      </c>
      <c r="AR197" s="31" t="e">
        <f>MATCH(AM$214,$E$185:$M$185,$G197)</f>
        <v>#N/A</v>
      </c>
      <c r="AS197" s="31" t="e">
        <f>MATCH(AO$214,$E$185:$M$185,$G197)</f>
        <v>#N/A</v>
      </c>
      <c r="AT197" s="31">
        <f t="shared" si="504"/>
        <v>6</v>
      </c>
      <c r="AU197" s="31" t="e">
        <f t="shared" si="504"/>
        <v>#N/A</v>
      </c>
      <c r="AV197" s="31">
        <f t="shared" si="504"/>
        <v>7</v>
      </c>
      <c r="AW197">
        <f>MATCH(AT$214,$G$210:$O$210,$G197)</f>
        <v>8</v>
      </c>
      <c r="AX197">
        <f>MATCH(AU$214,$G$210:$O$210,$G197)</f>
        <v>9</v>
      </c>
      <c r="BM197" s="31"/>
    </row>
    <row r="198" spans="1:66">
      <c r="E198" s="31" t="s">
        <v>16</v>
      </c>
      <c r="F198" t="s">
        <v>375</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505">MATCH(W$214,$G$211:$M$211,$G198)</f>
        <v>5</v>
      </c>
      <c r="AA198">
        <f t="shared" si="505"/>
        <v>5</v>
      </c>
      <c r="AB198">
        <f t="shared" si="505"/>
        <v>5</v>
      </c>
      <c r="AC198">
        <f t="shared" si="505"/>
        <v>5</v>
      </c>
      <c r="AD198">
        <f t="shared" si="505"/>
        <v>5</v>
      </c>
      <c r="AE198">
        <f t="shared" si="505"/>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378</v>
      </c>
      <c r="N199" s="105"/>
      <c r="Q199" s="66">
        <f t="shared" ref="Q199" si="506">IF(ISNA(Q196),-1,IF(ISNA(Q198),99,IF(ISNA(Q197),Q196,0)))</f>
        <v>0</v>
      </c>
      <c r="R199" s="66">
        <f t="shared" ref="R199:AX199" si="507">IF(ISNA(R196),-1,IF(ISNA(R198),99,IF(ISNA(R197),R196,0)))</f>
        <v>1</v>
      </c>
      <c r="S199" s="66">
        <f t="shared" si="507"/>
        <v>0</v>
      </c>
      <c r="T199" s="66">
        <f t="shared" si="507"/>
        <v>0</v>
      </c>
      <c r="U199" s="66">
        <f t="shared" ref="U199:V199" si="508">IF(ISNA(U196),-1,IF(ISNA(U198),99,IF(ISNA(U197),U196,0)))</f>
        <v>0</v>
      </c>
      <c r="V199" s="66">
        <f t="shared" si="508"/>
        <v>0</v>
      </c>
      <c r="W199" s="66">
        <f t="shared" si="507"/>
        <v>0</v>
      </c>
      <c r="X199" s="66">
        <f t="shared" si="507"/>
        <v>4</v>
      </c>
      <c r="Y199" s="66">
        <f t="shared" si="507"/>
        <v>4</v>
      </c>
      <c r="Z199" s="66">
        <f t="shared" si="507"/>
        <v>4</v>
      </c>
      <c r="AA199" s="66">
        <f t="shared" si="507"/>
        <v>4</v>
      </c>
      <c r="AB199" s="66">
        <f t="shared" si="507"/>
        <v>4</v>
      </c>
      <c r="AC199" s="66">
        <f t="shared" si="507"/>
        <v>4</v>
      </c>
      <c r="AD199" s="66">
        <f t="shared" si="507"/>
        <v>4</v>
      </c>
      <c r="AE199" s="66">
        <f t="shared" si="507"/>
        <v>4</v>
      </c>
      <c r="AF199" s="66">
        <f t="shared" ref="AF199:AG199" si="509">IF(ISNA(AF196),-1,IF(ISNA(AF198),99,IF(ISNA(AF197),AF196,0)))</f>
        <v>4</v>
      </c>
      <c r="AG199" s="66">
        <f t="shared" si="509"/>
        <v>4</v>
      </c>
      <c r="AH199" s="66">
        <f t="shared" si="507"/>
        <v>0</v>
      </c>
      <c r="AI199" s="66">
        <f t="shared" si="507"/>
        <v>5</v>
      </c>
      <c r="AJ199" s="66">
        <f t="shared" si="507"/>
        <v>5</v>
      </c>
      <c r="AK199" s="66">
        <f t="shared" si="507"/>
        <v>5</v>
      </c>
      <c r="AL199" s="66">
        <f t="shared" si="507"/>
        <v>5</v>
      </c>
      <c r="AM199" s="66">
        <f t="shared" si="507"/>
        <v>5</v>
      </c>
      <c r="AN199" s="66">
        <f t="shared" ref="AN199" si="510">IF(ISNA(AN196),-1,IF(ISNA(AN198),99,IF(ISNA(AN197),AN196,0)))</f>
        <v>5</v>
      </c>
      <c r="AO199" s="66">
        <f t="shared" si="507"/>
        <v>5</v>
      </c>
      <c r="AP199" s="66">
        <f t="shared" ref="AP199" si="511">IF(ISNA(AP196),-1,IF(ISNA(AP198),99,IF(ISNA(AP197),AP196,0)))</f>
        <v>5</v>
      </c>
      <c r="AQ199" s="66">
        <f t="shared" si="507"/>
        <v>5</v>
      </c>
      <c r="AR199" s="66">
        <f t="shared" si="507"/>
        <v>5</v>
      </c>
      <c r="AS199" s="66">
        <f t="shared" si="507"/>
        <v>5</v>
      </c>
      <c r="AT199" s="66">
        <f t="shared" si="507"/>
        <v>0</v>
      </c>
      <c r="AU199" s="66">
        <f t="shared" si="507"/>
        <v>6</v>
      </c>
      <c r="AV199" s="66">
        <f t="shared" si="507"/>
        <v>0</v>
      </c>
      <c r="AW199" s="66">
        <f t="shared" si="507"/>
        <v>0</v>
      </c>
      <c r="AX199" s="66">
        <f t="shared" si="507"/>
        <v>0</v>
      </c>
      <c r="AY199" s="66"/>
      <c r="BB199" s="66"/>
      <c r="BC199" s="66"/>
      <c r="BM199" s="66"/>
      <c r="BN199" s="66"/>
    </row>
    <row r="200" spans="1:66">
      <c r="E200" t="s">
        <v>16</v>
      </c>
      <c r="F200" s="15" t="str">
        <f t="shared" ref="F200:F207" si="512">IF(E200="*","","COM_PROJ")</f>
        <v/>
      </c>
      <c r="G200" s="43" t="str">
        <f t="shared" ref="G200:G207" si="513">B172</f>
        <v>TPPRCAR</v>
      </c>
      <c r="H200" s="16"/>
      <c r="J200" s="16" t="str">
        <f t="shared" ref="J200:M207" si="514">IF($E200="*","","-")</f>
        <v/>
      </c>
      <c r="L200" s="16" t="str">
        <f t="shared" si="514"/>
        <v/>
      </c>
      <c r="M200" s="16" t="str">
        <f t="shared" si="514"/>
        <v/>
      </c>
      <c r="N200" s="15" t="str">
        <f t="shared" ref="N200:N207" si="515">IF(E200="*","",0)</f>
        <v/>
      </c>
      <c r="O200" s="15"/>
      <c r="P200" s="15"/>
      <c r="Q200" s="3">
        <f>E186</f>
        <v>81.1386031348502</v>
      </c>
      <c r="R200" s="3" cm="1">
        <f t="array" ref="R200">IF(R$199=-1,S200,IF(R$199=99,Q200,IF(R$199=0,INDEX($E186:$M186,0,R$197),(INDEX($E186:$M186,0,R$199+1)-INDEX($E186:$M186,0,R$199))/(INDEX($E$185:$M$185,0,R$199+1)-INDEX($E$185:$M$185,0,R$199))+Q200)))</f>
        <v>82.877544068846106</v>
      </c>
      <c r="S200" s="3" cm="1">
        <f t="array" ref="S200">IF(S$199=-1,T200,IF(S$199=99,R200,IF(S$199=0,INDEX($E186:$M186,0,S$197),(INDEX($E186:$M186,0,S$199+1)-INDEX($E186:$M186,0,S$199))/(INDEX($E$185:$M$185,0,S$199+1)-INDEX($E$185:$M$185,0,S$199))+R200)))</f>
        <v>84.616485002842012</v>
      </c>
      <c r="T200" s="3" cm="1">
        <f t="array" ref="T200">IF(T$199=-1,W200,IF(T$199=99,S200,IF(T$199=0,INDEX($E186:$M186,0,T$197),(INDEX($E186:$M186,0,T$199+1)-INDEX($E186:$M186,0,T$199))/(INDEX($E$185:$M$185,0,T$199+1)-INDEX($E$185:$M$185,0,T$199))+S200)))</f>
        <v>78.308349507973659</v>
      </c>
      <c r="U200" s="3" cm="1">
        <f t="array" ref="U200">IF(U$199=-1,W200,IF(U$199=99,S200,IF(U$199=0,INDEX($E186:$M186,0,U$197),(INDEX($E186:$M186,0,U$199+1)-INDEX($E186:$M186,0,U$199))/(INDEX($E$185:$M$185,0,U$199+1)-INDEX($E$185:$M$185,0,U$199))+S200)))</f>
        <v>78.308349507973659</v>
      </c>
      <c r="V200" s="3" cm="1">
        <f t="array" ref="V200">IF(V$199=-1,W200,IF(V$199=99,S200,IF(V$199=0,INDEX($E186:$M186,0,V$197),(INDEX($E186:$M186,0,V$199+1)-INDEX($E186:$M186,0,V$199))/(INDEX($E$185:$M$185,0,V$199+1)-INDEX($E$185:$M$185,0,V$199))+S200)))</f>
        <v>78.308349507973659</v>
      </c>
      <c r="W200" s="3" cm="1">
        <f t="array" ref="W200">IF(W$199=-1,X200,IF(W$199=99,T200,IF(W$199=0,INDEX($E186:$M186,0,W$197),(INDEX($E186:$M186,0,W$199+1)-INDEX($E186:$M186,0,W$199))/(INDEX($E$185:$M$185,0,W$199+1)-INDEX($E$185:$M$185,0,W$199))+T200)))</f>
        <v>83.011371976970224</v>
      </c>
      <c r="X200" s="3" cm="1">
        <f t="array" ref="X200">IF(X$199=-1,Y200,IF(X$199=99,W200,IF(X$199=0,INDEX($E186:$M186,0,X$197),(INDEX($E186:$M186,0,X$199+1)-INDEX($E186:$M186,0,X$199))/(INDEX($E$185:$M$185,0,X$199+1)-INDEX($E$185:$M$185,0,X$199))+W200)))</f>
        <v>83.345339439927955</v>
      </c>
      <c r="Y200" s="3" cm="1">
        <f t="array" ref="Y200">IF(Y$199=-1,Z200,IF(Y$199=99,X200,IF(Y$199=0,INDEX($E186:$M186,0,Y$197),(INDEX($E186:$M186,0,Y$199+1)-INDEX($E186:$M186,0,Y$199))/(INDEX($E$185:$M$185,0,Y$199+1)-INDEX($E$185:$M$185,0,Y$199))+X200)))</f>
        <v>83.679306902885685</v>
      </c>
      <c r="Z200" s="3" cm="1">
        <f t="array" ref="Z200">IF(Z$199=-1,AA200,IF(Z$199=99,Y200,IF(Z$199=0,INDEX($E186:$M186,0,Z$197),(INDEX($E186:$M186,0,Z$199+1)-INDEX($E186:$M186,0,Z$199))/(INDEX($E$185:$M$185,0,Z$199+1)-INDEX($E$185:$M$185,0,Z$199))+Y200)))</f>
        <v>84.013274365843415</v>
      </c>
      <c r="AA200" s="3" cm="1">
        <f t="array" ref="AA200">IF(AA$199=-1,AB200,IF(AA$199=99,Z200,IF(AA$199=0,INDEX($E186:$M186,0,AA$197),(INDEX($E186:$M186,0,AA$199+1)-INDEX($E186:$M186,0,AA$199))/(INDEX($E$185:$M$185,0,AA$199+1)-INDEX($E$185:$M$185,0,AA$199))+Z200)))</f>
        <v>84.347241828801145</v>
      </c>
      <c r="AB200" s="3" cm="1">
        <f t="array" ref="AB200">IF(AB$199=-1,AC200,IF(AB$199=99,AA200,IF(AB$199=0,INDEX($E186:$M186,0,AB$197),(INDEX($E186:$M186,0,AB$199+1)-INDEX($E186:$M186,0,AB$199))/(INDEX($E$185:$M$185,0,AB$199+1)-INDEX($E$185:$M$185,0,AB$199))+AA200)))</f>
        <v>84.681209291758876</v>
      </c>
      <c r="AC200" s="3" cm="1">
        <f t="array" ref="AC200">IF(AC$199=-1,AD200,IF(AC$199=99,AB200,IF(AC$199=0,INDEX($E186:$M186,0,AC$197),(INDEX($E186:$M186,0,AC$199+1)-INDEX($E186:$M186,0,AC$199))/(INDEX($E$185:$M$185,0,AC$199+1)-INDEX($E$185:$M$185,0,AC$199))+AB200)))</f>
        <v>85.015176754716606</v>
      </c>
      <c r="AD200" s="3" cm="1">
        <f t="array" ref="AD200">IF(AD$199=-1,AE200,IF(AD$199=99,AC200,IF(AD$199=0,INDEX($E186:$M186,0,AD$197),(INDEX($E186:$M186,0,AD$199+1)-INDEX($E186:$M186,0,AD$199))/(INDEX($E$185:$M$185,0,AD$199+1)-INDEX($E$185:$M$185,0,AD$199))+AC200)))</f>
        <v>85.349144217674336</v>
      </c>
      <c r="AE200" s="3" cm="1">
        <f t="array" ref="AE200">IF(AE$199=-1,AH200,IF(AE$199=99,AD200,IF(AE$199=0,INDEX($E186:$M186,0,AE$197),(INDEX($E186:$M186,0,AE$199+1)-INDEX($E186:$M186,0,AE$199))/(INDEX($E$185:$M$185,0,AE$199+1)-INDEX($E$185:$M$185,0,AE$199))+AD200)))</f>
        <v>85.683111680632067</v>
      </c>
      <c r="AF200" s="3" cm="1">
        <f t="array" ref="AF200">IF(AF$199=-1,AH200,IF(AF$199=99,AD200,IF(AF$199=0,INDEX($E186:$M186,0,AF$197),(INDEX($E186:$M186,0,AF$199+1)-INDEX($E186:$M186,0,AF$199))/(INDEX($E$185:$M$185,0,AF$199+1)-INDEX($E$185:$M$185,0,AF$199))+AD200)))</f>
        <v>85.683111680632067</v>
      </c>
      <c r="AG200" s="3" cm="1">
        <f t="array" ref="AG200">IF(AG$199=-1,AH200,IF(AG$199=99,AD200,IF(AG$199=0,INDEX($E186:$M186,0,AG$197),(INDEX($E186:$M186,0,AG$199+1)-INDEX($E186:$M186,0,AG$199))/(INDEX($E$185:$M$185,0,AG$199+1)-INDEX($E$185:$M$185,0,AG$199))+AD200)))</f>
        <v>85.683111680632067</v>
      </c>
      <c r="AH200" s="3" cm="1">
        <f t="array" ref="AH200">IF(AH$199=-1,AI200,IF(AH$199=99,AE200,IF(AH$199=0,INDEX($E186:$M186,0,AH$197),(INDEX($E186:$M186,0,AH$199+1)-INDEX($E186:$M186,0,AH$199))/(INDEX($E$185:$M$185,0,AH$199+1)-INDEX($E$185:$M$185,0,AH$199))+AE200)))</f>
        <v>86.017079143589797</v>
      </c>
      <c r="AI200" s="3" cm="1">
        <f t="array" ref="AI200">IF(AI$199=-1,AJ200,IF(AI$199=99,AH200,IF(AI$199=0,INDEX($E186:$M186,0,AI$197),(INDEX($E186:$M186,0,AI$199+1)-INDEX($E186:$M186,0,AI$199))/(INDEX($E$185:$M$185,0,AI$199+1)-INDEX($E$185:$M$185,0,AI$199))+AH200)))</f>
        <v>87.448677199003043</v>
      </c>
      <c r="AJ200" s="3" cm="1">
        <f t="array" ref="AJ200">IF(AJ$199=-1,AK200,IF(AJ$199=99,AI200,IF(AJ$199=0,INDEX($E186:$M186,0,AJ$197),(INDEX($E186:$M186,0,AJ$199+1)-INDEX($E186:$M186,0,AJ$199))/(INDEX($E$185:$M$185,0,AJ$199+1)-INDEX($E$185:$M$185,0,AJ$199))+AI200)))</f>
        <v>88.88027525441629</v>
      </c>
      <c r="AK200" s="3" cm="1">
        <f t="array" ref="AK200">IF(AK$199=-1,AL200,IF(AK$199=99,AJ200,IF(AK$199=0,INDEX($E186:$M186,0,AK$197),(INDEX($E186:$M186,0,AK$199+1)-INDEX($E186:$M186,0,AK$199))/(INDEX($E$185:$M$185,0,AK$199+1)-INDEX($E$185:$M$185,0,AK$199))+AJ200)))</f>
        <v>90.311873309829537</v>
      </c>
      <c r="AL200" s="3" cm="1">
        <f t="array" ref="AL200">IF(AL$199=-1,AM200,IF(AL$199=99,AK200,IF(AL$199=0,INDEX($E186:$M186,0,AL$197),(INDEX($E186:$M186,0,AL$199+1)-INDEX($E186:$M186,0,AL$199))/(INDEX($E$185:$M$185,0,AL$199+1)-INDEX($E$185:$M$185,0,AL$199))+AK200)))</f>
        <v>91.743471365242783</v>
      </c>
      <c r="AM200" s="3" cm="1">
        <f t="array" ref="AM200">IF(AM$199=-1,AO200,IF(AM$199=99,AL200,IF(AM$199=0,INDEX($E186:$M186,0,AM$197),(INDEX($E186:$M186,0,AM$199+1)-INDEX($E186:$M186,0,AM$199))/(INDEX($E$185:$M$185,0,AM$199+1)-INDEX($E$185:$M$185,0,AM$199))+AL200)))</f>
        <v>93.17506942065603</v>
      </c>
      <c r="AN200" s="3" cm="1">
        <f t="array" ref="AN200">IF(AN$199=-1,AP200,IF(AN$199=99,AL200,IF(AN$199=0,INDEX($E186:$M186,0,AN$197),(INDEX($E186:$M186,0,AN$199+1)-INDEX($E186:$M186,0,AN$199))/(INDEX($E$185:$M$185,0,AN$199+1)-INDEX($E$185:$M$185,0,AN$199))+AL200)))</f>
        <v>93.17506942065603</v>
      </c>
      <c r="AO200" s="3" cm="1">
        <f t="array" ref="AO200">IF(AO$199=-1,AQ200,IF(AO$199=99,AM200,IF(AO$199=0,INDEX($E186:$M186,0,AO$197),(INDEX($E186:$M186,0,AO$199+1)-INDEX($E186:$M186,0,AO$199))/(INDEX($E$185:$M$185,0,AO$199+1)-INDEX($E$185:$M$185,0,AO$199))+AM200)))</f>
        <v>94.606667476069276</v>
      </c>
      <c r="AP200" s="3" cm="1">
        <f t="array" ref="AP200">IF(AP$199=-1,AR200,IF(AP$199=99,AO200,IF(AP$199=0,INDEX($E186:$M186,0,AP$197),(INDEX($E186:$M186,0,AP$199+1)-INDEX($E186:$M186,0,AP$199))/(INDEX($E$185:$M$185,0,AP$199+1)-INDEX($E$185:$M$185,0,AP$199))+AO200)))</f>
        <v>96.038265531482523</v>
      </c>
      <c r="AQ200" s="3" cm="1">
        <f t="array" ref="AQ200">IF(AQ$199=-1,AR200,IF(AQ$199=99,AO200,IF(AQ$199=0,INDEX($E186:$M186,0,AQ$197),(INDEX($E186:$M186,0,AQ$199+1)-INDEX($E186:$M186,0,AQ$199))/(INDEX($E$185:$M$185,0,AQ$199+1)-INDEX($E$185:$M$185,0,AQ$199))+AO200)))</f>
        <v>96.038265531482523</v>
      </c>
      <c r="AR200" s="3" cm="1">
        <f t="array" ref="AR200">IF(AR$199=-1,AS200,IF(AR$199=99,AQ200,IF(AR$199=0,INDEX($E186:$M186,0,AR$197),(INDEX($E186:$M186,0,AR$199+1)-INDEX($E186:$M186,0,AR$199))/(INDEX($E$185:$M$185,0,AR$199+1)-INDEX($E$185:$M$185,0,AR$199))+AQ200)))</f>
        <v>97.469863586895769</v>
      </c>
      <c r="AS200" s="3" cm="1">
        <f t="array" ref="AS200">IF(AS$199=-1,AT200,IF(AS$199=99,AR200,IF(AS$199=0,INDEX($E186:$M186,0,AS$197),(INDEX($E186:$M186,0,AS$199+1)-INDEX($E186:$M186,0,AS$199))/(INDEX($E$185:$M$185,0,AS$199+1)-INDEX($E$185:$M$185,0,AS$199))+AR200)))</f>
        <v>98.901461642309016</v>
      </c>
      <c r="AT200" s="3" cm="1">
        <f t="array" ref="AT200">IF(AT$199=-1,AU200,IF(AT$199=99,AS200,IF(AT$199=0,INDEX($E186:$M186,0,AT$197),(INDEX($E186:$M186,0,AT$199+1)-INDEX($E186:$M186,0,AT$199))/(INDEX($E$185:$M$185,0,AT$199+1)-INDEX($E$185:$M$185,0,AT$199))+AS200)))</f>
        <v>100.33305969772233</v>
      </c>
      <c r="AU200" s="245">
        <f>(AT200+AV200)/2</f>
        <v>114.02004021832019</v>
      </c>
      <c r="AV200" s="3" cm="1">
        <f t="array" ref="AV200">IF(AV$199=-1,AW200,IF(AV$199=99,AU200,IF(AV$199=0,INDEX($E186:$M186,0,AV$197),(INDEX($E186:$M186,0,AV$199+1)-INDEX($E186:$M186,0,AV$199))/(INDEX($E$185:$M$185,0,AV$199+1)-INDEX($E$185:$M$185,0,AV$199))+AU200)))</f>
        <v>127.70702073891803</v>
      </c>
      <c r="AW200" s="3" cm="1">
        <f t="array" ref="AW200">IF(AW$199=-1,AX200,IF(AW$199=99,AV200,IF(AW$199=0,INDEX($E186:$M186,0,AW$197),(INDEX($E186:$M186,0,AW$199+1)-INDEX($E186:$M186,0,AW$199))/(INDEX($E$185:$M$185,0,AW$199+1)-INDEX($E$185:$M$185,0,AW$199))+AV200)))</f>
        <v>142.8009038136552</v>
      </c>
      <c r="AX200" s="3" cm="1">
        <f t="array" ref="AX200">IF(AX$199=-1,AY200,IF(AX$199=99,AW200,IF(AX$199=0,INDEX($E186:$M186,0,AX$197),(INDEX($E186:$M186,0,AX$199+1)-INDEX($E186:$M186,0,AX$199))/(INDEX($E$185:$M$185,0,AX$199+1)-INDEX($E$185:$M$185,0,AX$199))+AW200)))</f>
        <v>141.71981463375749</v>
      </c>
      <c r="AY200" s="3"/>
      <c r="BB200" s="3"/>
      <c r="BC200" s="3"/>
      <c r="BM200" s="3"/>
      <c r="BN200" s="92"/>
    </row>
    <row r="201" spans="1:66">
      <c r="E201" t="s">
        <v>16</v>
      </c>
      <c r="F201" s="15" t="str">
        <f t="shared" si="512"/>
        <v/>
      </c>
      <c r="G201" s="43" t="str">
        <f t="shared" si="513"/>
        <v>TPPRSUV</v>
      </c>
      <c r="H201" s="16"/>
      <c r="J201" s="16" t="str">
        <f t="shared" si="514"/>
        <v/>
      </c>
      <c r="L201" s="16" t="str">
        <f t="shared" si="514"/>
        <v/>
      </c>
      <c r="M201" s="16" t="str">
        <f t="shared" si="514"/>
        <v/>
      </c>
      <c r="N201" s="15" t="str">
        <f t="shared" si="515"/>
        <v/>
      </c>
      <c r="O201" s="15"/>
      <c r="P201" s="15"/>
      <c r="Q201" s="3">
        <f t="shared" ref="Q201:Q207" si="516">E187</f>
        <v>17.754191802068</v>
      </c>
      <c r="R201" s="3" cm="1">
        <f t="array" ref="R201">IF(R$199=-1,S201,IF(R$199=99,Q201,IF(R$199=0,INDEX($E187:$M187,0,R$197),(INDEX($E187:$M187,0,R$199+1)-INDEX($E187:$M187,0,R$199))/(INDEX($E$185:$M$185,0,R$199+1)-INDEX($E$185:$M$185,0,R$199))+Q201)))</f>
        <v>17.867597432585967</v>
      </c>
      <c r="S201" s="3" cm="1">
        <f t="array" ref="S201">IF(S$199=-1,T201,IF(S$199=99,R201,IF(S$199=0,INDEX($E187:$M187,0,S$197),(INDEX($E187:$M187,0,S$199+1)-INDEX($E187:$M187,0,S$199))/(INDEX($E$185:$M$185,0,S$199+1)-INDEX($E$185:$M$185,0,S$199))+R201)))</f>
        <v>17.98100306310393</v>
      </c>
      <c r="T201" s="3" cm="1">
        <f t="array" ref="T201">IF(T$199=-1,W201,IF(T$199=99,S201,IF(T$199=0,INDEX($E187:$M187,0,T$197),(INDEX($E187:$M187,0,T$199+1)-INDEX($E187:$M187,0,T$199))/(INDEX($E$185:$M$185,0,T$199+1)-INDEX($E$185:$M$185,0,T$199))+S201)))</f>
        <v>16.640524270444406</v>
      </c>
      <c r="U201" s="3" cm="1">
        <f t="array" ref="U201">IF(U$199=-1,W201,IF(U$199=99,S201,IF(U$199=0,INDEX($E187:$M187,0,U$197),(INDEX($E187:$M187,0,U$199+1)-INDEX($E187:$M187,0,U$199))/(INDEX($E$185:$M$185,0,U$199+1)-INDEX($E$185:$M$185,0,U$199))+S201)))</f>
        <v>16.640524270444406</v>
      </c>
      <c r="V201" s="3" cm="1">
        <f t="array" ref="V201">IF(V$199=-1,W201,IF(V$199=99,S201,IF(V$199=0,INDEX($E187:$M187,0,V$197),(INDEX($E187:$M187,0,V$199+1)-INDEX($E187:$M187,0,V$199))/(INDEX($E$185:$M$185,0,V$199+1)-INDEX($E$185:$M$185,0,V$199))+S201)))</f>
        <v>16.640524270444406</v>
      </c>
      <c r="W201" s="3" cm="1">
        <f t="array" ref="W201">IF(W$199=-1,X201,IF(W$199=99,T201,IF(W$199=0,INDEX($E187:$M187,0,W$197),(INDEX($E187:$M187,0,W$199+1)-INDEX($E187:$M187,0,W$199))/(INDEX($E$185:$M$185,0,W$199+1)-INDEX($E$185:$M$185,0,W$199))+T201)))</f>
        <v>17.639916545106175</v>
      </c>
      <c r="X201" s="3" cm="1">
        <f t="array" ref="X201">IF(X$199=-1,Y201,IF(X$199=99,W201,IF(X$199=0,INDEX($E187:$M187,0,X$197),(INDEX($E187:$M187,0,X$199+1)-INDEX($E187:$M187,0,X$199))/(INDEX($E$185:$M$185,0,X$199+1)-INDEX($E$185:$M$185,0,X$199))+W201)))</f>
        <v>17.710884630984694</v>
      </c>
      <c r="Y201" s="3" cm="1">
        <f t="array" ref="Y201">IF(Y$199=-1,Z201,IF(Y$199=99,X201,IF(Y$199=0,INDEX($E187:$M187,0,Y$197),(INDEX($E187:$M187,0,Y$199+1)-INDEX($E187:$M187,0,Y$199))/(INDEX($E$185:$M$185,0,Y$199+1)-INDEX($E$185:$M$185,0,Y$199))+X201)))</f>
        <v>17.781852716863213</v>
      </c>
      <c r="Z201" s="3" cm="1">
        <f t="array" ref="Z201">IF(Z$199=-1,AA201,IF(Z$199=99,Y201,IF(Z$199=0,INDEX($E187:$M187,0,Z$197),(INDEX($E187:$M187,0,Z$199+1)-INDEX($E187:$M187,0,Z$199))/(INDEX($E$185:$M$185,0,Z$199+1)-INDEX($E$185:$M$185,0,Z$199))+Y201)))</f>
        <v>17.852820802741732</v>
      </c>
      <c r="AA201" s="3" cm="1">
        <f t="array" ref="AA201">IF(AA$199=-1,AB201,IF(AA$199=99,Z201,IF(AA$199=0,INDEX($E187:$M187,0,AA$197),(INDEX($E187:$M187,0,AA$199+1)-INDEX($E187:$M187,0,AA$199))/(INDEX($E$185:$M$185,0,AA$199+1)-INDEX($E$185:$M$185,0,AA$199))+Z201)))</f>
        <v>17.923788888620251</v>
      </c>
      <c r="AB201" s="3" cm="1">
        <f t="array" ref="AB201">IF(AB$199=-1,AC201,IF(AB$199=99,AA201,IF(AB$199=0,INDEX($E187:$M187,0,AB$197),(INDEX($E187:$M187,0,AB$199+1)-INDEX($E187:$M187,0,AB$199))/(INDEX($E$185:$M$185,0,AB$199+1)-INDEX($E$185:$M$185,0,AB$199))+AA201)))</f>
        <v>17.99475697449877</v>
      </c>
      <c r="AC201" s="3" cm="1">
        <f t="array" ref="AC201">IF(AC$199=-1,AD201,IF(AC$199=99,AB201,IF(AC$199=0,INDEX($E187:$M187,0,AC$197),(INDEX($E187:$M187,0,AC$199+1)-INDEX($E187:$M187,0,AC$199))/(INDEX($E$185:$M$185,0,AC$199+1)-INDEX($E$185:$M$185,0,AC$199))+AB201)))</f>
        <v>18.065725060377289</v>
      </c>
      <c r="AD201" s="3" cm="1">
        <f t="array" ref="AD201">IF(AD$199=-1,AE201,IF(AD$199=99,AC201,IF(AD$199=0,INDEX($E187:$M187,0,AD$197),(INDEX($E187:$M187,0,AD$199+1)-INDEX($E187:$M187,0,AD$199))/(INDEX($E$185:$M$185,0,AD$199+1)-INDEX($E$185:$M$185,0,AD$199))+AC201)))</f>
        <v>18.136693146255809</v>
      </c>
      <c r="AE201" s="3" cm="1">
        <f t="array" ref="AE201">IF(AE$199=-1,AH201,IF(AE$199=99,AD201,IF(AE$199=0,INDEX($E187:$M187,0,AE$197),(INDEX($E187:$M187,0,AE$199+1)-INDEX($E187:$M187,0,AE$199))/(INDEX($E$185:$M$185,0,AE$199+1)-INDEX($E$185:$M$185,0,AE$199))+AD201)))</f>
        <v>18.207661232134328</v>
      </c>
      <c r="AF201" s="3" cm="1">
        <f t="array" ref="AF201">IF(AF$199=-1,AH201,IF(AF$199=99,AD201,IF(AF$199=0,INDEX($E187:$M187,0,AF$197),(INDEX($E187:$M187,0,AF$199+1)-INDEX($E187:$M187,0,AF$199))/(INDEX($E$185:$M$185,0,AF$199+1)-INDEX($E$185:$M$185,0,AF$199))+AD201)))</f>
        <v>18.207661232134328</v>
      </c>
      <c r="AG201" s="3" cm="1">
        <f t="array" ref="AG201">IF(AG$199=-1,AH201,IF(AG$199=99,AD201,IF(AG$199=0,INDEX($E187:$M187,0,AG$197),(INDEX($E187:$M187,0,AG$199+1)-INDEX($E187:$M187,0,AG$199))/(INDEX($E$185:$M$185,0,AG$199+1)-INDEX($E$185:$M$185,0,AG$199))+AD201)))</f>
        <v>18.207661232134328</v>
      </c>
      <c r="AH201" s="3" cm="1">
        <f t="array" ref="AH201">IF(AH$199=-1,AI201,IF(AH$199=99,AE201,IF(AH$199=0,INDEX($E187:$M187,0,AH$197),(INDEX($E187:$M187,0,AH$199+1)-INDEX($E187:$M187,0,AH$199))/(INDEX($E$185:$M$185,0,AH$199+1)-INDEX($E$185:$M$185,0,AH$199))+AE201)))</f>
        <v>18.278629318012836</v>
      </c>
      <c r="AI201" s="3" cm="1">
        <f t="array" ref="AI201">IF(AI$199=-1,AJ201,IF(AI$199=99,AH201,IF(AI$199=0,INDEX($E187:$M187,0,AI$197),(INDEX($E187:$M187,0,AI$199+1)-INDEX($E187:$M187,0,AI$199))/(INDEX($E$185:$M$185,0,AI$199+1)-INDEX($E$185:$M$185,0,AI$199))+AH201)))</f>
        <v>18.582843904788152</v>
      </c>
      <c r="AJ201" s="3" cm="1">
        <f t="array" ref="AJ201">IF(AJ$199=-1,AK201,IF(AJ$199=99,AI201,IF(AJ$199=0,INDEX($E187:$M187,0,AJ$197),(INDEX($E187:$M187,0,AJ$199+1)-INDEX($E187:$M187,0,AJ$199))/(INDEX($E$185:$M$185,0,AJ$199+1)-INDEX($E$185:$M$185,0,AJ$199))+AI201)))</f>
        <v>18.887058491563469</v>
      </c>
      <c r="AK201" s="3" cm="1">
        <f t="array" ref="AK201">IF(AK$199=-1,AL201,IF(AK$199=99,AJ201,IF(AK$199=0,INDEX($E187:$M187,0,AK$197),(INDEX($E187:$M187,0,AK$199+1)-INDEX($E187:$M187,0,AK$199))/(INDEX($E$185:$M$185,0,AK$199+1)-INDEX($E$185:$M$185,0,AK$199))+AJ201)))</f>
        <v>19.191273078338785</v>
      </c>
      <c r="AL201" s="3" cm="1">
        <f t="array" ref="AL201">IF(AL$199=-1,AM201,IF(AL$199=99,AK201,IF(AL$199=0,INDEX($E187:$M187,0,AL$197),(INDEX($E187:$M187,0,AL$199+1)-INDEX($E187:$M187,0,AL$199))/(INDEX($E$185:$M$185,0,AL$199+1)-INDEX($E$185:$M$185,0,AL$199))+AK201)))</f>
        <v>19.495487665114101</v>
      </c>
      <c r="AM201" s="3" cm="1">
        <f t="array" ref="AM201">IF(AM$199=-1,AO201,IF(AM$199=99,AL201,IF(AM$199=0,INDEX($E187:$M187,0,AM$197),(INDEX($E187:$M187,0,AM$199+1)-INDEX($E187:$M187,0,AM$199))/(INDEX($E$185:$M$185,0,AM$199+1)-INDEX($E$185:$M$185,0,AM$199))+AL201)))</f>
        <v>19.799702251889418</v>
      </c>
      <c r="AN201" s="3" cm="1">
        <f t="array" ref="AN201">IF(AN$199=-1,AP201,IF(AN$199=99,AL201,IF(AN$199=0,INDEX($E187:$M187,0,AN$197),(INDEX($E187:$M187,0,AN$199+1)-INDEX($E187:$M187,0,AN$199))/(INDEX($E$185:$M$185,0,AN$199+1)-INDEX($E$185:$M$185,0,AN$199))+AL201)))</f>
        <v>19.799702251889418</v>
      </c>
      <c r="AO201" s="3" cm="1">
        <f t="array" ref="AO201">IF(AO$199=-1,AQ201,IF(AO$199=99,AM201,IF(AO$199=0,INDEX($E187:$M187,0,AO$197),(INDEX($E187:$M187,0,AO$199+1)-INDEX($E187:$M187,0,AO$199))/(INDEX($E$185:$M$185,0,AO$199+1)-INDEX($E$185:$M$185,0,AO$199))+AM201)))</f>
        <v>20.103916838664734</v>
      </c>
      <c r="AP201" s="3" cm="1">
        <f t="array" ref="AP201">IF(AP$199=-1,AR201,IF(AP$199=99,AO201,IF(AP$199=0,INDEX($E187:$M187,0,AP$197),(INDEX($E187:$M187,0,AP$199+1)-INDEX($E187:$M187,0,AP$199))/(INDEX($E$185:$M$185,0,AP$199+1)-INDEX($E$185:$M$185,0,AP$199))+AO201)))</f>
        <v>20.40813142544005</v>
      </c>
      <c r="AQ201" s="3" cm="1">
        <f t="array" ref="AQ201">IF(AQ$199=-1,AR201,IF(AQ$199=99,AO201,IF(AQ$199=0,INDEX($E187:$M187,0,AQ$197),(INDEX($E187:$M187,0,AQ$199+1)-INDEX($E187:$M187,0,AQ$199))/(INDEX($E$185:$M$185,0,AQ$199+1)-INDEX($E$185:$M$185,0,AQ$199))+AO201)))</f>
        <v>20.40813142544005</v>
      </c>
      <c r="AR201" s="3" cm="1">
        <f t="array" ref="AR201">IF(AR$199=-1,AS201,IF(AR$199=99,AQ201,IF(AR$199=0,INDEX($E187:$M187,0,AR$197),(INDEX($E187:$M187,0,AR$199+1)-INDEX($E187:$M187,0,AR$199))/(INDEX($E$185:$M$185,0,AR$199+1)-INDEX($E$185:$M$185,0,AR$199))+AQ201)))</f>
        <v>20.712346012215367</v>
      </c>
      <c r="AS201" s="3" cm="1">
        <f t="array" ref="AS201">IF(AS$199=-1,AT201,IF(AS$199=99,AR201,IF(AS$199=0,INDEX($E187:$M187,0,AS$197),(INDEX($E187:$M187,0,AS$199+1)-INDEX($E187:$M187,0,AS$199))/(INDEX($E$185:$M$185,0,AS$199+1)-INDEX($E$185:$M$185,0,AS$199))+AR201)))</f>
        <v>21.016560598990683</v>
      </c>
      <c r="AT201" s="3" cm="1">
        <f t="array" ref="AT201">IF(AT$199=-1,AU201,IF(AT$199=99,AS201,IF(AT$199=0,INDEX($E187:$M187,0,AT$197),(INDEX($E187:$M187,0,AT$199+1)-INDEX($E187:$M187,0,AT$199))/(INDEX($E$185:$M$185,0,AT$199+1)-INDEX($E$185:$M$185,0,AT$199))+AS201)))</f>
        <v>21.320775185765999</v>
      </c>
      <c r="AU201" s="245">
        <f t="shared" ref="AU201:AU207" si="517">(AT201+AV201)/2</f>
        <v>24.229258546393041</v>
      </c>
      <c r="AV201" s="3" cm="1">
        <f t="array" ref="AV201">IF(AV$199=-1,AW201,IF(AV$199=99,AU201,IF(AV$199=0,INDEX($E187:$M187,0,AV$197),(INDEX($E187:$M187,0,AV$199+1)-INDEX($E187:$M187,0,AV$199))/(INDEX($E$185:$M$185,0,AV$199+1)-INDEX($E$185:$M$185,0,AV$199))+AU201)))</f>
        <v>27.137741907020086</v>
      </c>
      <c r="AW201" s="3" cm="1">
        <f t="array" ref="AW201">IF(AW$199=-1,AX201,IF(AW$199=99,AV201,IF(AW$199=0,INDEX($E187:$M187,0,AW$197),(INDEX($E187:$M187,0,AW$199+1)-INDEX($E187:$M187,0,AW$199))/(INDEX($E$185:$M$185,0,AW$199+1)-INDEX($E$185:$M$185,0,AW$199))+AV201)))</f>
        <v>30.345192060401736</v>
      </c>
      <c r="AX201" s="3" cm="1">
        <f t="array" ref="AX201">IF(AX$199=-1,AY201,IF(AX$199=99,AW201,IF(AX$199=0,INDEX($E187:$M187,0,AX$197),(INDEX($E187:$M187,0,AX$199+1)-INDEX($E187:$M187,0,AX$199))/(INDEX($E$185:$M$185,0,AX$199+1)-INDEX($E$185:$M$185,0,AX$199))+AW201)))</f>
        <v>30.115460609673473</v>
      </c>
      <c r="AY201" s="3"/>
      <c r="BB201" s="3"/>
      <c r="BC201" s="3"/>
      <c r="BM201" s="3"/>
      <c r="BN201" s="92"/>
    </row>
    <row r="202" spans="1:66">
      <c r="E202" t="s">
        <v>16</v>
      </c>
      <c r="F202" s="15" t="str">
        <f t="shared" si="512"/>
        <v/>
      </c>
      <c r="G202" s="43" t="str">
        <f t="shared" si="513"/>
        <v>TPPRMOT</v>
      </c>
      <c r="H202" s="16"/>
      <c r="J202" s="16" t="str">
        <f t="shared" si="514"/>
        <v/>
      </c>
      <c r="L202" s="16" t="str">
        <f t="shared" si="514"/>
        <v/>
      </c>
      <c r="M202" s="16" t="str">
        <f t="shared" si="514"/>
        <v/>
      </c>
      <c r="N202" s="15" t="str">
        <f t="shared" si="515"/>
        <v/>
      </c>
      <c r="O202" s="15"/>
      <c r="P202" s="15"/>
      <c r="Q202" s="3">
        <f t="shared" si="516"/>
        <v>5.9227912022632498</v>
      </c>
      <c r="R202" s="3" cm="1">
        <f t="array" ref="R202">IF(R$199=-1,S202,IF(R$199=99,Q202,IF(R$199=0,INDEX($E188:$M188,0,R$197),(INDEX($E188:$M188,0,R$199+1)-INDEX($E188:$M188,0,R$199))/(INDEX($E$185:$M$185,0,R$199+1)-INDEX($E$185:$M$185,0,R$199))+Q202)))</f>
        <v>4.5479546949349121</v>
      </c>
      <c r="S202" s="3" cm="1">
        <f t="array" ref="S202">IF(S$199=-1,T202,IF(S$199=99,R202,IF(S$199=0,INDEX($E188:$M188,0,S$197),(INDEX($E188:$M188,0,S$199+1)-INDEX($E188:$M188,0,S$199))/(INDEX($E$185:$M$185,0,S$199+1)-INDEX($E$185:$M$185,0,S$199))+R202)))</f>
        <v>3.1731181876065753</v>
      </c>
      <c r="T202" s="3" cm="1">
        <f t="array" ref="T202">IF(T$199=-1,W202,IF(T$199=99,S202,IF(T$199=0,INDEX($E188:$M188,0,T$197),(INDEX($E188:$M188,0,T$199+1)-INDEX($E188:$M188,0,T$199))/(INDEX($E$185:$M$185,0,T$199+1)-INDEX($E$185:$M$185,0,T$199))+S202)))</f>
        <v>2.9365631065490123</v>
      </c>
      <c r="U202" s="3" cm="1">
        <f t="array" ref="U202">IF(U$199=-1,W202,IF(U$199=99,S202,IF(U$199=0,INDEX($E188:$M188,0,U$197),(INDEX($E188:$M188,0,U$199+1)-INDEX($E188:$M188,0,U$199))/(INDEX($E$185:$M$185,0,U$199+1)-INDEX($E$185:$M$185,0,U$199))+S202)))</f>
        <v>2.9365631065490123</v>
      </c>
      <c r="V202" s="3" cm="1">
        <f t="array" ref="V202">IF(V$199=-1,W202,IF(V$199=99,S202,IF(V$199=0,INDEX($E188:$M188,0,V$197),(INDEX($E188:$M188,0,V$199+1)-INDEX($E188:$M188,0,V$199))/(INDEX($E$185:$M$185,0,V$199+1)-INDEX($E$185:$M$185,0,V$199))+S202)))</f>
        <v>2.9365631065490123</v>
      </c>
      <c r="W202" s="3" cm="1">
        <f t="array" ref="W202">IF(W$199=-1,X202,IF(W$199=99,T202,IF(W$199=0,INDEX($E188:$M188,0,W$197),(INDEX($E188:$M188,0,W$199+1)-INDEX($E188:$M188,0,W$199))/(INDEX($E$185:$M$185,0,W$199+1)-INDEX($E$185:$M$185,0,W$199))+T202)))</f>
        <v>3.1129264491363839</v>
      </c>
      <c r="X202" s="3" cm="1">
        <f t="array" ref="X202">IF(X$199=-1,Y202,IF(X$199=99,W202,IF(X$199=0,INDEX($E188:$M188,0,X$197),(INDEX($E188:$M188,0,X$199+1)-INDEX($E188:$M188,0,X$199))/(INDEX($E$185:$M$185,0,X$199+1)-INDEX($E$185:$M$185,0,X$199))+W202)))</f>
        <v>3.1254502289972987</v>
      </c>
      <c r="Y202" s="3" cm="1">
        <f t="array" ref="Y202">IF(Y$199=-1,Z202,IF(Y$199=99,X202,IF(Y$199=0,INDEX($E188:$M188,0,Y$197),(INDEX($E188:$M188,0,Y$199+1)-INDEX($E188:$M188,0,Y$199))/(INDEX($E$185:$M$185,0,Y$199+1)-INDEX($E$185:$M$185,0,Y$199))+X202)))</f>
        <v>3.1379740088582135</v>
      </c>
      <c r="Z202" s="3" cm="1">
        <f t="array" ref="Z202">IF(Z$199=-1,AA202,IF(Z$199=99,Y202,IF(Z$199=0,INDEX($E188:$M188,0,Z$197),(INDEX($E188:$M188,0,Z$199+1)-INDEX($E188:$M188,0,Z$199))/(INDEX($E$185:$M$185,0,Z$199+1)-INDEX($E$185:$M$185,0,Z$199))+Y202)))</f>
        <v>3.1504977887191283</v>
      </c>
      <c r="AA202" s="3" cm="1">
        <f t="array" ref="AA202">IF(AA$199=-1,AB202,IF(AA$199=99,Z202,IF(AA$199=0,INDEX($E188:$M188,0,AA$197),(INDEX($E188:$M188,0,AA$199+1)-INDEX($E188:$M188,0,AA$199))/(INDEX($E$185:$M$185,0,AA$199+1)-INDEX($E$185:$M$185,0,AA$199))+Z202)))</f>
        <v>3.1630215685800431</v>
      </c>
      <c r="AB202" s="3" cm="1">
        <f t="array" ref="AB202">IF(AB$199=-1,AC202,IF(AB$199=99,AA202,IF(AB$199=0,INDEX($E188:$M188,0,AB$197),(INDEX($E188:$M188,0,AB$199+1)-INDEX($E188:$M188,0,AB$199))/(INDEX($E$185:$M$185,0,AB$199+1)-INDEX($E$185:$M$185,0,AB$199))+AA202)))</f>
        <v>3.1755453484409579</v>
      </c>
      <c r="AC202" s="3" cm="1">
        <f t="array" ref="AC202">IF(AC$199=-1,AD202,IF(AC$199=99,AB202,IF(AC$199=0,INDEX($E188:$M188,0,AC$197),(INDEX($E188:$M188,0,AC$199+1)-INDEX($E188:$M188,0,AC$199))/(INDEX($E$185:$M$185,0,AC$199+1)-INDEX($E$185:$M$185,0,AC$199))+AB202)))</f>
        <v>3.1880691283018727</v>
      </c>
      <c r="AD202" s="3" cm="1">
        <f t="array" ref="AD202">IF(AD$199=-1,AE202,IF(AD$199=99,AC202,IF(AD$199=0,INDEX($E188:$M188,0,AD$197),(INDEX($E188:$M188,0,AD$199+1)-INDEX($E188:$M188,0,AD$199))/(INDEX($E$185:$M$185,0,AD$199+1)-INDEX($E$185:$M$185,0,AD$199))+AC202)))</f>
        <v>3.2005929081627875</v>
      </c>
      <c r="AE202" s="3" cm="1">
        <f t="array" ref="AE202">IF(AE$199=-1,AH202,IF(AE$199=99,AD202,IF(AE$199=0,INDEX($E188:$M188,0,AE$197),(INDEX($E188:$M188,0,AE$199+1)-INDEX($E188:$M188,0,AE$199))/(INDEX($E$185:$M$185,0,AE$199+1)-INDEX($E$185:$M$185,0,AE$199))+AD202)))</f>
        <v>3.2131166880237023</v>
      </c>
      <c r="AF202" s="3" cm="1">
        <f t="array" ref="AF202">IF(AF$199=-1,AH202,IF(AF$199=99,AD202,IF(AF$199=0,INDEX($E188:$M188,0,AF$197),(INDEX($E188:$M188,0,AF$199+1)-INDEX($E188:$M188,0,AF$199))/(INDEX($E$185:$M$185,0,AF$199+1)-INDEX($E$185:$M$185,0,AF$199))+AD202)))</f>
        <v>3.2131166880237023</v>
      </c>
      <c r="AG202" s="3" cm="1">
        <f t="array" ref="AG202">IF(AG$199=-1,AH202,IF(AG$199=99,AD202,IF(AG$199=0,INDEX($E188:$M188,0,AG$197),(INDEX($E188:$M188,0,AG$199+1)-INDEX($E188:$M188,0,AG$199))/(INDEX($E$185:$M$185,0,AG$199+1)-INDEX($E$185:$M$185,0,AG$199))+AD202)))</f>
        <v>3.2131166880237023</v>
      </c>
      <c r="AH202" s="3" cm="1">
        <f t="array" ref="AH202">IF(AH$199=-1,AI202,IF(AH$199=99,AE202,IF(AH$199=0,INDEX($E188:$M188,0,AH$197),(INDEX($E188:$M188,0,AH$199+1)-INDEX($E188:$M188,0,AH$199))/(INDEX($E$185:$M$185,0,AH$199+1)-INDEX($E$185:$M$185,0,AH$199))+AE202)))</f>
        <v>3.2256404678846176</v>
      </c>
      <c r="AI202" s="3" cm="1">
        <f t="array" ref="AI202">IF(AI$199=-1,AJ202,IF(AI$199=99,AH202,IF(AI$199=0,INDEX($E188:$M188,0,AI$197),(INDEX($E188:$M188,0,AI$199+1)-INDEX($E188:$M188,0,AI$199))/(INDEX($E$185:$M$185,0,AI$199+1)-INDEX($E$185:$M$185,0,AI$199))+AH202)))</f>
        <v>3.2793253949626147</v>
      </c>
      <c r="AJ202" s="3" cm="1">
        <f t="array" ref="AJ202">IF(AJ$199=-1,AK202,IF(AJ$199=99,AI202,IF(AJ$199=0,INDEX($E188:$M188,0,AJ$197),(INDEX($E188:$M188,0,AJ$199+1)-INDEX($E188:$M188,0,AJ$199))/(INDEX($E$185:$M$185,0,AJ$199+1)-INDEX($E$185:$M$185,0,AJ$199))+AI202)))</f>
        <v>3.3330103220406118</v>
      </c>
      <c r="AK202" s="3" cm="1">
        <f t="array" ref="AK202">IF(AK$199=-1,AL202,IF(AK$199=99,AJ202,IF(AK$199=0,INDEX($E188:$M188,0,AK$197),(INDEX($E188:$M188,0,AK$199+1)-INDEX($E188:$M188,0,AK$199))/(INDEX($E$185:$M$185,0,AK$199+1)-INDEX($E$185:$M$185,0,AK$199))+AJ202)))</f>
        <v>3.3866952491186089</v>
      </c>
      <c r="AL202" s="3" cm="1">
        <f t="array" ref="AL202">IF(AL$199=-1,AM202,IF(AL$199=99,AK202,IF(AL$199=0,INDEX($E188:$M188,0,AL$197),(INDEX($E188:$M188,0,AL$199+1)-INDEX($E188:$M188,0,AL$199))/(INDEX($E$185:$M$185,0,AL$199+1)-INDEX($E$185:$M$185,0,AL$199))+AK202)))</f>
        <v>3.440380176196606</v>
      </c>
      <c r="AM202" s="3" cm="1">
        <f t="array" ref="AM202">IF(AM$199=-1,AO202,IF(AM$199=99,AL202,IF(AM$199=0,INDEX($E188:$M188,0,AM$197),(INDEX($E188:$M188,0,AM$199+1)-INDEX($E188:$M188,0,AM$199))/(INDEX($E$185:$M$185,0,AM$199+1)-INDEX($E$185:$M$185,0,AM$199))+AL202)))</f>
        <v>3.4940651032746031</v>
      </c>
      <c r="AN202" s="3" cm="1">
        <f t="array" ref="AN202">IF(AN$199=-1,AP202,IF(AN$199=99,AL202,IF(AN$199=0,INDEX($E188:$M188,0,AN$197),(INDEX($E188:$M188,0,AN$199+1)-INDEX($E188:$M188,0,AN$199))/(INDEX($E$185:$M$185,0,AN$199+1)-INDEX($E$185:$M$185,0,AN$199))+AL202)))</f>
        <v>3.4940651032746031</v>
      </c>
      <c r="AO202" s="3" cm="1">
        <f t="array" ref="AO202">IF(AO$199=-1,AQ202,IF(AO$199=99,AM202,IF(AO$199=0,INDEX($E188:$M188,0,AO$197),(INDEX($E188:$M188,0,AO$199+1)-INDEX($E188:$M188,0,AO$199))/(INDEX($E$185:$M$185,0,AO$199+1)-INDEX($E$185:$M$185,0,AO$199))+AM202)))</f>
        <v>3.5477500303526002</v>
      </c>
      <c r="AP202" s="3" cm="1">
        <f t="array" ref="AP202">IF(AP$199=-1,AR202,IF(AP$199=99,AO202,IF(AP$199=0,INDEX($E188:$M188,0,AP$197),(INDEX($E188:$M188,0,AP$199+1)-INDEX($E188:$M188,0,AP$199))/(INDEX($E$185:$M$185,0,AP$199+1)-INDEX($E$185:$M$185,0,AP$199))+AO202)))</f>
        <v>3.6014349574305973</v>
      </c>
      <c r="AQ202" s="3" cm="1">
        <f t="array" ref="AQ202">IF(AQ$199=-1,AR202,IF(AQ$199=99,AO202,IF(AQ$199=0,INDEX($E188:$M188,0,AQ$197),(INDEX($E188:$M188,0,AQ$199+1)-INDEX($E188:$M188,0,AQ$199))/(INDEX($E$185:$M$185,0,AQ$199+1)-INDEX($E$185:$M$185,0,AQ$199))+AO202)))</f>
        <v>3.6014349574305973</v>
      </c>
      <c r="AR202" s="3" cm="1">
        <f t="array" ref="AR202">IF(AR$199=-1,AS202,IF(AR$199=99,AQ202,IF(AR$199=0,INDEX($E188:$M188,0,AR$197),(INDEX($E188:$M188,0,AR$199+1)-INDEX($E188:$M188,0,AR$199))/(INDEX($E$185:$M$185,0,AR$199+1)-INDEX($E$185:$M$185,0,AR$199))+AQ202)))</f>
        <v>3.6551198845085944</v>
      </c>
      <c r="AS202" s="3" cm="1">
        <f t="array" ref="AS202">IF(AS$199=-1,AT202,IF(AS$199=99,AR202,IF(AS$199=0,INDEX($E188:$M188,0,AS$197),(INDEX($E188:$M188,0,AS$199+1)-INDEX($E188:$M188,0,AS$199))/(INDEX($E$185:$M$185,0,AS$199+1)-INDEX($E$185:$M$185,0,AS$199))+AR202)))</f>
        <v>3.7088048115865915</v>
      </c>
      <c r="AT202" s="3" cm="1">
        <f t="array" ref="AT202">IF(AT$199=-1,AU202,IF(AT$199=99,AS202,IF(AT$199=0,INDEX($E188:$M188,0,AT$197),(INDEX($E188:$M188,0,AT$199+1)-INDEX($E188:$M188,0,AT$199))/(INDEX($E$185:$M$185,0,AT$199+1)-INDEX($E$185:$M$185,0,AT$199))+AS202)))</f>
        <v>3.7624897386645877</v>
      </c>
      <c r="AU202" s="245">
        <f t="shared" si="517"/>
        <v>4.2757515081870068</v>
      </c>
      <c r="AV202" s="3" cm="1">
        <f t="array" ref="AV202">IF(AV$199=-1,AW202,IF(AV$199=99,AU202,IF(AV$199=0,INDEX($E188:$M188,0,AV$197),(INDEX($E188:$M188,0,AV$199+1)-INDEX($E188:$M188,0,AV$199))/(INDEX($E$185:$M$185,0,AV$199+1)-INDEX($E$185:$M$185,0,AV$199))+AU202)))</f>
        <v>4.7890132777094268</v>
      </c>
      <c r="AW202" s="3" cm="1">
        <f t="array" ref="AW202">IF(AW$199=-1,AX202,IF(AW$199=99,AV202,IF(AW$199=0,INDEX($E188:$M188,0,AW$197),(INDEX($E188:$M188,0,AW$199+1)-INDEX($E188:$M188,0,AW$199))/(INDEX($E$185:$M$185,0,AW$199+1)-INDEX($E$185:$M$185,0,AW$199))+AV202)))</f>
        <v>5.3550338930120702</v>
      </c>
      <c r="AX202" s="3" cm="1">
        <f t="array" ref="AX202">IF(AX$199=-1,AY202,IF(AX$199=99,AW202,IF(AX$199=0,INDEX($E188:$M188,0,AX$197),(INDEX($E188:$M188,0,AX$199+1)-INDEX($E188:$M188,0,AX$199))/(INDEX($E$185:$M$185,0,AX$199+1)-INDEX($E$185:$M$185,0,AX$199))+AW202)))</f>
        <v>5.3144930487659066</v>
      </c>
      <c r="AY202" s="3"/>
      <c r="BB202" s="3"/>
      <c r="BC202" s="3"/>
      <c r="BM202" s="3"/>
      <c r="BN202" s="92"/>
    </row>
    <row r="203" spans="1:66">
      <c r="E203" t="s">
        <v>16</v>
      </c>
      <c r="F203" s="15" t="str">
        <f t="shared" si="512"/>
        <v/>
      </c>
      <c r="G203" s="43" t="str">
        <f t="shared" si="513"/>
        <v>TPPUBUS</v>
      </c>
      <c r="H203" s="16"/>
      <c r="J203" s="16" t="str">
        <f t="shared" si="514"/>
        <v/>
      </c>
      <c r="L203" s="16" t="str">
        <f t="shared" si="514"/>
        <v/>
      </c>
      <c r="M203" s="16" t="str">
        <f t="shared" si="514"/>
        <v/>
      </c>
      <c r="N203" s="15" t="str">
        <f t="shared" si="515"/>
        <v/>
      </c>
      <c r="O203" s="15"/>
      <c r="P203" s="15"/>
      <c r="Q203" s="3">
        <f t="shared" si="516"/>
        <v>0.64296697178877804</v>
      </c>
      <c r="R203" s="3" cm="1">
        <f t="array" ref="R203">IF(R$199=-1,S203,IF(R$199=99,Q203,IF(R$199=0,INDEX($E189:$M189,0,R$197),(INDEX($E189:$M189,0,R$199+1)-INDEX($E189:$M189,0,R$199))/(INDEX($E$185:$M$185,0,R$199+1)-INDEX($E$185:$M$185,0,R$199))+Q203)))</f>
        <v>0.64929079481231411</v>
      </c>
      <c r="S203" s="3" cm="1">
        <f t="array" ref="S203">IF(S$199=-1,T203,IF(S$199=99,R203,IF(S$199=0,INDEX($E189:$M189,0,S$197),(INDEX($E189:$M189,0,S$199+1)-INDEX($E189:$M189,0,S$199))/(INDEX($E$185:$M$185,0,S$199+1)-INDEX($E$185:$M$185,0,S$199))+R203)))</f>
        <v>0.65561461783585018</v>
      </c>
      <c r="T203" s="3" cm="1">
        <f t="array" ref="T203">IF(T$199=-1,W203,IF(T$199=99,S203,IF(T$199=0,INDEX($E189:$M189,0,T$197),(INDEX($E189:$M189,0,T$199+1)-INDEX($E189:$M189,0,T$199))/(INDEX($E$185:$M$185,0,T$199+1)-INDEX($E$185:$M$185,0,T$199))+S203)))</f>
        <v>0.6666265611015576</v>
      </c>
      <c r="U203" s="3" cm="1">
        <f t="array" ref="U203">IF(U$199=-1,W203,IF(U$199=99,S203,IF(U$199=0,INDEX($E189:$M189,0,U$197),(INDEX($E189:$M189,0,U$199+1)-INDEX($E189:$M189,0,U$199))/(INDEX($E$185:$M$185,0,U$199+1)-INDEX($E$185:$M$185,0,U$199))+S203)))</f>
        <v>0.6666265611015576</v>
      </c>
      <c r="V203" s="3" cm="1">
        <f t="array" ref="V203">IF(V$199=-1,W203,IF(V$199=99,S203,IF(V$199=0,INDEX($E189:$M189,0,V$197),(INDEX($E189:$M189,0,V$199+1)-INDEX($E189:$M189,0,V$199))/(INDEX($E$185:$M$185,0,V$199+1)-INDEX($E$185:$M$185,0,V$199))+S203)))</f>
        <v>0.6666265611015576</v>
      </c>
      <c r="W203" s="3" cm="1">
        <f t="array" ref="W203">IF(W$199=-1,X203,IF(W$199=99,T203,IF(W$199=0,INDEX($E189:$M189,0,W$197),(INDEX($E189:$M189,0,W$199+1)-INDEX($E189:$M189,0,W$199))/(INDEX($E$185:$M$185,0,W$199+1)-INDEX($E$185:$M$185,0,W$199))+T203)))</f>
        <v>0.67369816503155333</v>
      </c>
      <c r="X203" s="3" cm="1">
        <f t="array" ref="X203">IF(X$199=-1,Y203,IF(X$199=99,W203,IF(X$199=0,INDEX($E189:$M189,0,X$197),(INDEX($E189:$M189,0,X$199+1)-INDEX($E189:$M189,0,X$199))/(INDEX($E$185:$M$185,0,X$199+1)-INDEX($E$185:$M$185,0,X$199))+W203)))</f>
        <v>0.68105375839995996</v>
      </c>
      <c r="Y203" s="3" cm="1">
        <f t="array" ref="Y203">IF(Y$199=-1,Z203,IF(Y$199=99,X203,IF(Y$199=0,INDEX($E189:$M189,0,Y$197),(INDEX($E189:$M189,0,Y$199+1)-INDEX($E189:$M189,0,Y$199))/(INDEX($E$185:$M$185,0,Y$199+1)-INDEX($E$185:$M$185,0,Y$199))+X203)))</f>
        <v>0.6884093517683666</v>
      </c>
      <c r="Z203" s="3" cm="1">
        <f t="array" ref="Z203">IF(Z$199=-1,AA203,IF(Z$199=99,Y203,IF(Z$199=0,INDEX($E189:$M189,0,Z$197),(INDEX($E189:$M189,0,Z$199+1)-INDEX($E189:$M189,0,Z$199))/(INDEX($E$185:$M$185,0,Z$199+1)-INDEX($E$185:$M$185,0,Z$199))+Y203)))</f>
        <v>0.69576494513677323</v>
      </c>
      <c r="AA203" s="3" cm="1">
        <f t="array" ref="AA203">IF(AA$199=-1,AB203,IF(AA$199=99,Z203,IF(AA$199=0,INDEX($E189:$M189,0,AA$197),(INDEX($E189:$M189,0,AA$199+1)-INDEX($E189:$M189,0,AA$199))/(INDEX($E$185:$M$185,0,AA$199+1)-INDEX($E$185:$M$185,0,AA$199))+Z203)))</f>
        <v>0.70312053850517986</v>
      </c>
      <c r="AB203" s="3" cm="1">
        <f t="array" ref="AB203">IF(AB$199=-1,AC203,IF(AB$199=99,AA203,IF(AB$199=0,INDEX($E189:$M189,0,AB$197),(INDEX($E189:$M189,0,AB$199+1)-INDEX($E189:$M189,0,AB$199))/(INDEX($E$185:$M$185,0,AB$199+1)-INDEX($E$185:$M$185,0,AB$199))+AA203)))</f>
        <v>0.71047613187358649</v>
      </c>
      <c r="AC203" s="3" cm="1">
        <f t="array" ref="AC203">IF(AC$199=-1,AD203,IF(AC$199=99,AB203,IF(AC$199=0,INDEX($E189:$M189,0,AC$197),(INDEX($E189:$M189,0,AC$199+1)-INDEX($E189:$M189,0,AC$199))/(INDEX($E$185:$M$185,0,AC$199+1)-INDEX($E$185:$M$185,0,AC$199))+AB203)))</f>
        <v>0.71783172524199312</v>
      </c>
      <c r="AD203" s="3" cm="1">
        <f t="array" ref="AD203">IF(AD$199=-1,AE203,IF(AD$199=99,AC203,IF(AD$199=0,INDEX($E189:$M189,0,AD$197),(INDEX($E189:$M189,0,AD$199+1)-INDEX($E189:$M189,0,AD$199))/(INDEX($E$185:$M$185,0,AD$199+1)-INDEX($E$185:$M$185,0,AD$199))+AC203)))</f>
        <v>0.72518731861039976</v>
      </c>
      <c r="AE203" s="3" cm="1">
        <f t="array" ref="AE203">IF(AE$199=-1,AH203,IF(AE$199=99,AD203,IF(AE$199=0,INDEX($E189:$M189,0,AE$197),(INDEX($E189:$M189,0,AE$199+1)-INDEX($E189:$M189,0,AE$199))/(INDEX($E$185:$M$185,0,AE$199+1)-INDEX($E$185:$M$185,0,AE$199))+AD203)))</f>
        <v>0.73254291197880639</v>
      </c>
      <c r="AF203" s="3" cm="1">
        <f t="array" ref="AF203">IF(AF$199=-1,AH203,IF(AF$199=99,AD203,IF(AF$199=0,INDEX($E189:$M189,0,AF$197),(INDEX($E189:$M189,0,AF$199+1)-INDEX($E189:$M189,0,AF$199))/(INDEX($E$185:$M$185,0,AF$199+1)-INDEX($E$185:$M$185,0,AF$199))+AD203)))</f>
        <v>0.73254291197880639</v>
      </c>
      <c r="AG203" s="3" cm="1">
        <f t="array" ref="AG203">IF(AG$199=-1,AH203,IF(AG$199=99,AD203,IF(AG$199=0,INDEX($E189:$M189,0,AG$197),(INDEX($E189:$M189,0,AG$199+1)-INDEX($E189:$M189,0,AG$199))/(INDEX($E$185:$M$185,0,AG$199+1)-INDEX($E$185:$M$185,0,AG$199))+AD203)))</f>
        <v>0.73254291197880639</v>
      </c>
      <c r="AH203" s="3" cm="1">
        <f t="array" ref="AH203">IF(AH$199=-1,AI203,IF(AH$199=99,AE203,IF(AH$199=0,INDEX($E189:$M189,0,AH$197),(INDEX($E189:$M189,0,AH$199+1)-INDEX($E189:$M189,0,AH$199))/(INDEX($E$185:$M$185,0,AH$199+1)-INDEX($E$185:$M$185,0,AH$199))+AE203)))</f>
        <v>0.73989850534721346</v>
      </c>
      <c r="AI203" s="3" cm="1">
        <f t="array" ref="AI203">IF(AI$199=-1,AJ203,IF(AI$199=99,AH203,IF(AI$199=0,INDEX($E189:$M189,0,AI$197),(INDEX($E189:$M189,0,AI$199+1)-INDEX($E189:$M189,0,AI$199))/(INDEX($E$185:$M$185,0,AI$199+1)-INDEX($E$185:$M$185,0,AI$199))+AH203)))</f>
        <v>0.74377591664829645</v>
      </c>
      <c r="AJ203" s="3" cm="1">
        <f t="array" ref="AJ203">IF(AJ$199=-1,AK203,IF(AJ$199=99,AI203,IF(AJ$199=0,INDEX($E189:$M189,0,AJ$197),(INDEX($E189:$M189,0,AJ$199+1)-INDEX($E189:$M189,0,AJ$199))/(INDEX($E$185:$M$185,0,AJ$199+1)-INDEX($E$185:$M$185,0,AJ$199))+AI203)))</f>
        <v>0.74765332794937933</v>
      </c>
      <c r="AK203" s="3" cm="1">
        <f t="array" ref="AK203">IF(AK$199=-1,AL203,IF(AK$199=99,AJ203,IF(AK$199=0,INDEX($E189:$M189,0,AK$197),(INDEX($E189:$M189,0,AK$199+1)-INDEX($E189:$M189,0,AK$199))/(INDEX($E$185:$M$185,0,AK$199+1)-INDEX($E$185:$M$185,0,AK$199))+AJ203)))</f>
        <v>0.75153073925046221</v>
      </c>
      <c r="AL203" s="3" cm="1">
        <f t="array" ref="AL203">IF(AL$199=-1,AM203,IF(AL$199=99,AK203,IF(AL$199=0,INDEX($E189:$M189,0,AL$197),(INDEX($E189:$M189,0,AL$199+1)-INDEX($E189:$M189,0,AL$199))/(INDEX($E$185:$M$185,0,AL$199+1)-INDEX($E$185:$M$185,0,AL$199))+AK203)))</f>
        <v>0.75540815055154509</v>
      </c>
      <c r="AM203" s="3" cm="1">
        <f t="array" ref="AM203">IF(AM$199=-1,AO203,IF(AM$199=99,AL203,IF(AM$199=0,INDEX($E189:$M189,0,AM$197),(INDEX($E189:$M189,0,AM$199+1)-INDEX($E189:$M189,0,AM$199))/(INDEX($E$185:$M$185,0,AM$199+1)-INDEX($E$185:$M$185,0,AM$199))+AL203)))</f>
        <v>0.75928556185262797</v>
      </c>
      <c r="AN203" s="3" cm="1">
        <f t="array" ref="AN203">IF(AN$199=-1,AP203,IF(AN$199=99,AL203,IF(AN$199=0,INDEX($E189:$M189,0,AN$197),(INDEX($E189:$M189,0,AN$199+1)-INDEX($E189:$M189,0,AN$199))/(INDEX($E$185:$M$185,0,AN$199+1)-INDEX($E$185:$M$185,0,AN$199))+AL203)))</f>
        <v>0.75928556185262797</v>
      </c>
      <c r="AO203" s="3" cm="1">
        <f t="array" ref="AO203">IF(AO$199=-1,AQ203,IF(AO$199=99,AM203,IF(AO$199=0,INDEX($E189:$M189,0,AO$197),(INDEX($E189:$M189,0,AO$199+1)-INDEX($E189:$M189,0,AO$199))/(INDEX($E$185:$M$185,0,AO$199+1)-INDEX($E$185:$M$185,0,AO$199))+AM203)))</f>
        <v>0.76316297315371084</v>
      </c>
      <c r="AP203" s="3" cm="1">
        <f t="array" ref="AP203">IF(AP$199=-1,AR203,IF(AP$199=99,AO203,IF(AP$199=0,INDEX($E189:$M189,0,AP$197),(INDEX($E189:$M189,0,AP$199+1)-INDEX($E189:$M189,0,AP$199))/(INDEX($E$185:$M$185,0,AP$199+1)-INDEX($E$185:$M$185,0,AP$199))+AO203)))</f>
        <v>0.76704038445479372</v>
      </c>
      <c r="AQ203" s="3" cm="1">
        <f t="array" ref="AQ203">IF(AQ$199=-1,AR203,IF(AQ$199=99,AO203,IF(AQ$199=0,INDEX($E189:$M189,0,AQ$197),(INDEX($E189:$M189,0,AQ$199+1)-INDEX($E189:$M189,0,AQ$199))/(INDEX($E$185:$M$185,0,AQ$199+1)-INDEX($E$185:$M$185,0,AQ$199))+AO203)))</f>
        <v>0.76704038445479372</v>
      </c>
      <c r="AR203" s="3" cm="1">
        <f t="array" ref="AR203">IF(AR$199=-1,AS203,IF(AR$199=99,AQ203,IF(AR$199=0,INDEX($E189:$M189,0,AR$197),(INDEX($E189:$M189,0,AR$199+1)-INDEX($E189:$M189,0,AR$199))/(INDEX($E$185:$M$185,0,AR$199+1)-INDEX($E$185:$M$185,0,AR$199))+AQ203)))</f>
        <v>0.7709177957558766</v>
      </c>
      <c r="AS203" s="3" cm="1">
        <f t="array" ref="AS203">IF(AS$199=-1,AT203,IF(AS$199=99,AR203,IF(AS$199=0,INDEX($E189:$M189,0,AS$197),(INDEX($E189:$M189,0,AS$199+1)-INDEX($E189:$M189,0,AS$199))/(INDEX($E$185:$M$185,0,AS$199+1)-INDEX($E$185:$M$185,0,AS$199))+AR203)))</f>
        <v>0.77479520705695948</v>
      </c>
      <c r="AT203" s="3" cm="1">
        <f t="array" ref="AT203">IF(AT$199=-1,AU203,IF(AT$199=99,AS203,IF(AT$199=0,INDEX($E189:$M189,0,AT$197),(INDEX($E189:$M189,0,AT$199+1)-INDEX($E189:$M189,0,AT$199))/(INDEX($E$185:$M$185,0,AT$199+1)-INDEX($E$185:$M$185,0,AT$199))+AS203)))</f>
        <v>0.7786726183580428</v>
      </c>
      <c r="AU203" s="245">
        <f t="shared" si="517"/>
        <v>0.77371580455156641</v>
      </c>
      <c r="AV203" s="3" cm="1">
        <f t="array" ref="AV203">IF(AV$199=-1,AW203,IF(AV$199=99,AU203,IF(AV$199=0,INDEX($E189:$M189,0,AV$197),(INDEX($E189:$M189,0,AV$199+1)-INDEX($E189:$M189,0,AV$199))/(INDEX($E$185:$M$185,0,AV$199+1)-INDEX($E$185:$M$185,0,AV$199))+AU203)))</f>
        <v>0.76875899074509002</v>
      </c>
      <c r="AW203" s="3" cm="1">
        <f t="array" ref="AW203">IF(AW$199=-1,AX203,IF(AW$199=99,AV203,IF(AW$199=0,INDEX($E189:$M189,0,AW$197),(INDEX($E189:$M189,0,AW$199+1)-INDEX($E189:$M189,0,AW$199))/(INDEX($E$185:$M$185,0,AW$199+1)-INDEX($E$185:$M$185,0,AW$199))+AV203)))</f>
        <v>0.7614728390026565</v>
      </c>
      <c r="AX203" s="3" cm="1">
        <f t="array" ref="AX203">IF(AX$199=-1,AY203,IF(AX$199=99,AW203,IF(AX$199=0,INDEX($E189:$M189,0,AX$197),(INDEX($E189:$M189,0,AX$199+1)-INDEX($E189:$M189,0,AX$199))/(INDEX($E$185:$M$185,0,AX$199+1)-INDEX($E$185:$M$185,0,AX$199))+AW203)))</f>
        <v>0.77216368414084546</v>
      </c>
      <c r="AY203" s="3"/>
      <c r="BB203" s="3"/>
      <c r="BC203" s="3"/>
      <c r="BM203" s="3"/>
      <c r="BN203" s="92"/>
    </row>
    <row r="204" spans="1:66">
      <c r="E204" t="s">
        <v>16</v>
      </c>
      <c r="F204" s="15" t="str">
        <f t="shared" si="512"/>
        <v/>
      </c>
      <c r="G204" s="43" t="str">
        <f t="shared" si="513"/>
        <v>TPPUMBT</v>
      </c>
      <c r="H204" s="16"/>
      <c r="J204" s="16" t="str">
        <f t="shared" si="514"/>
        <v/>
      </c>
      <c r="L204" s="16" t="str">
        <f t="shared" si="514"/>
        <v/>
      </c>
      <c r="M204" s="16" t="str">
        <f t="shared" si="514"/>
        <v/>
      </c>
      <c r="N204" s="15" t="str">
        <f t="shared" si="515"/>
        <v/>
      </c>
      <c r="O204" s="15"/>
      <c r="P204" s="15"/>
      <c r="Q204" s="3">
        <f t="shared" si="516"/>
        <v>7.2130505455454896</v>
      </c>
      <c r="R204" s="3" cm="1">
        <f t="array" ref="R204">IF(R$199=-1,S204,IF(R$199=99,Q204,IF(R$199=0,INDEX($E190:$M190,0,R$197),(INDEX($E190:$M190,0,R$199+1)-INDEX($E190:$M190,0,R$199))/(INDEX($E$185:$M$185,0,R$199+1)-INDEX($E$185:$M$185,0,R$199))+Q204)))</f>
        <v>7.2845555245765379</v>
      </c>
      <c r="S204" s="3" cm="1">
        <f t="array" ref="S204">IF(S$199=-1,T204,IF(S$199=99,R204,IF(S$199=0,INDEX($E190:$M190,0,S$197),(INDEX($E190:$M190,0,S$199+1)-INDEX($E190:$M190,0,S$199))/(INDEX($E$185:$M$185,0,S$199+1)-INDEX($E$185:$M$185,0,S$199))+R204)))</f>
        <v>7.3560605036075861</v>
      </c>
      <c r="T204" s="3" cm="1">
        <f t="array" ref="T204">IF(T$199=-1,W204,IF(T$199=99,S204,IF(T$199=0,INDEX($E190:$M190,0,T$197),(INDEX($E190:$M190,0,T$199+1)-INDEX($E190:$M190,0,T$199))/(INDEX($E$185:$M$185,0,T$199+1)-INDEX($E$185:$M$185,0,T$199))+S204)))</f>
        <v>7.4796155902715018</v>
      </c>
      <c r="U204" s="3" cm="1">
        <f t="array" ref="U204">IF(U$199=-1,W204,IF(U$199=99,S204,IF(U$199=0,INDEX($E190:$M190,0,U$197),(INDEX($E190:$M190,0,U$199+1)-INDEX($E190:$M190,0,U$199))/(INDEX($E$185:$M$185,0,U$199+1)-INDEX($E$185:$M$185,0,U$199))+S204)))</f>
        <v>7.4796155902715018</v>
      </c>
      <c r="V204" s="3" cm="1">
        <f t="array" ref="V204">IF(V$199=-1,W204,IF(V$199=99,S204,IF(V$199=0,INDEX($E190:$M190,0,V$197),(INDEX($E190:$M190,0,V$199+1)-INDEX($E190:$M190,0,V$199))/(INDEX($E$185:$M$185,0,V$199+1)-INDEX($E$185:$M$185,0,V$199))+S204)))</f>
        <v>7.4796155902715018</v>
      </c>
      <c r="W204" s="3" cm="1">
        <f t="array" ref="W204">IF(W$199=-1,X204,IF(W$199=99,T204,IF(W$199=0,INDEX($E190:$M190,0,W$197),(INDEX($E190:$M190,0,W$199+1)-INDEX($E190:$M190,0,W$199))/(INDEX($E$185:$M$185,0,W$199+1)-INDEX($E$185:$M$185,0,W$199))+T204)))</f>
        <v>7.5589596819854874</v>
      </c>
      <c r="X204" s="3" cm="1">
        <f t="array" ref="X204">IF(X$199=-1,Y204,IF(X$199=99,W204,IF(X$199=0,INDEX($E190:$M190,0,X$197),(INDEX($E190:$M190,0,X$199+1)-INDEX($E190:$M190,0,X$199))/(INDEX($E$185:$M$185,0,X$199+1)-INDEX($E$185:$M$185,0,X$199))+W204)))</f>
        <v>7.6118534207071953</v>
      </c>
      <c r="Y204" s="3" cm="1">
        <f t="array" ref="Y204">IF(Y$199=-1,Z204,IF(Y$199=99,X204,IF(Y$199=0,INDEX($E190:$M190,0,Y$197),(INDEX($E190:$M190,0,Y$199+1)-INDEX($E190:$M190,0,Y$199))/(INDEX($E$185:$M$185,0,Y$199+1)-INDEX($E$185:$M$185,0,Y$199))+X204)))</f>
        <v>7.6647471594289032</v>
      </c>
      <c r="Z204" s="3" cm="1">
        <f t="array" ref="Z204">IF(Z$199=-1,AA204,IF(Z$199=99,Y204,IF(Z$199=0,INDEX($E190:$M190,0,Z$197),(INDEX($E190:$M190,0,Z$199+1)-INDEX($E190:$M190,0,Z$199))/(INDEX($E$185:$M$185,0,Z$199+1)-INDEX($E$185:$M$185,0,Z$199))+Y204)))</f>
        <v>7.7176408981506111</v>
      </c>
      <c r="AA204" s="3" cm="1">
        <f t="array" ref="AA204">IF(AA$199=-1,AB204,IF(AA$199=99,Z204,IF(AA$199=0,INDEX($E190:$M190,0,AA$197),(INDEX($E190:$M190,0,AA$199+1)-INDEX($E190:$M190,0,AA$199))/(INDEX($E$185:$M$185,0,AA$199+1)-INDEX($E$185:$M$185,0,AA$199))+Z204)))</f>
        <v>7.7705346368723189</v>
      </c>
      <c r="AB204" s="3" cm="1">
        <f t="array" ref="AB204">IF(AB$199=-1,AC204,IF(AB$199=99,AA204,IF(AB$199=0,INDEX($E190:$M190,0,AB$197),(INDEX($E190:$M190,0,AB$199+1)-INDEX($E190:$M190,0,AB$199))/(INDEX($E$185:$M$185,0,AB$199+1)-INDEX($E$185:$M$185,0,AB$199))+AA204)))</f>
        <v>7.8234283755940268</v>
      </c>
      <c r="AC204" s="3" cm="1">
        <f t="array" ref="AC204">IF(AC$199=-1,AD204,IF(AC$199=99,AB204,IF(AC$199=0,INDEX($E190:$M190,0,AC$197),(INDEX($E190:$M190,0,AC$199+1)-INDEX($E190:$M190,0,AC$199))/(INDEX($E$185:$M$185,0,AC$199+1)-INDEX($E$185:$M$185,0,AC$199))+AB204)))</f>
        <v>7.8763221143157347</v>
      </c>
      <c r="AD204" s="3" cm="1">
        <f t="array" ref="AD204">IF(AD$199=-1,AE204,IF(AD$199=99,AC204,IF(AD$199=0,INDEX($E190:$M190,0,AD$197),(INDEX($E190:$M190,0,AD$199+1)-INDEX($E190:$M190,0,AD$199))/(INDEX($E$185:$M$185,0,AD$199+1)-INDEX($E$185:$M$185,0,AD$199))+AC204)))</f>
        <v>7.9292158530374426</v>
      </c>
      <c r="AE204" s="3" cm="1">
        <f t="array" ref="AE204">IF(AE$199=-1,AH204,IF(AE$199=99,AD204,IF(AE$199=0,INDEX($E190:$M190,0,AE$197),(INDEX($E190:$M190,0,AE$199+1)-INDEX($E190:$M190,0,AE$199))/(INDEX($E$185:$M$185,0,AE$199+1)-INDEX($E$185:$M$185,0,AE$199))+AD204)))</f>
        <v>7.9821095917591505</v>
      </c>
      <c r="AF204" s="3" cm="1">
        <f t="array" ref="AF204">IF(AF$199=-1,AH204,IF(AF$199=99,AD204,IF(AF$199=0,INDEX($E190:$M190,0,AF$197),(INDEX($E190:$M190,0,AF$199+1)-INDEX($E190:$M190,0,AF$199))/(INDEX($E$185:$M$185,0,AF$199+1)-INDEX($E$185:$M$185,0,AF$199))+AD204)))</f>
        <v>7.9821095917591505</v>
      </c>
      <c r="AG204" s="3" cm="1">
        <f t="array" ref="AG204">IF(AG$199=-1,AH204,IF(AG$199=99,AD204,IF(AG$199=0,INDEX($E190:$M190,0,AG$197),(INDEX($E190:$M190,0,AG$199+1)-INDEX($E190:$M190,0,AG$199))/(INDEX($E$185:$M$185,0,AG$199+1)-INDEX($E$185:$M$185,0,AG$199))+AD204)))</f>
        <v>7.9821095917591505</v>
      </c>
      <c r="AH204" s="3" cm="1">
        <f t="array" ref="AH204">IF(AH$199=-1,AI204,IF(AH$199=99,AE204,IF(AH$199=0,INDEX($E190:$M190,0,AH$197),(INDEX($E190:$M190,0,AH$199+1)-INDEX($E190:$M190,0,AH$199))/(INDEX($E$185:$M$185,0,AH$199+1)-INDEX($E$185:$M$185,0,AH$199))+AE204)))</f>
        <v>8.0350033304808619</v>
      </c>
      <c r="AI204" s="3" cm="1">
        <f t="array" ref="AI204">IF(AI$199=-1,AJ204,IF(AI$199=99,AH204,IF(AI$199=0,INDEX($E190:$M190,0,AI$197),(INDEX($E190:$M190,0,AI$199+1)-INDEX($E190:$M190,0,AI$199))/(INDEX($E$185:$M$185,0,AI$199+1)-INDEX($E$185:$M$185,0,AI$199))+AH204)))</f>
        <v>8.0553501171241315</v>
      </c>
      <c r="AJ204" s="3" cm="1">
        <f t="array" ref="AJ204">IF(AJ$199=-1,AK204,IF(AJ$199=99,AI204,IF(AJ$199=0,INDEX($E190:$M190,0,AJ$197),(INDEX($E190:$M190,0,AJ$199+1)-INDEX($E190:$M190,0,AJ$199))/(INDEX($E$185:$M$185,0,AJ$199+1)-INDEX($E$185:$M$185,0,AJ$199))+AI204)))</f>
        <v>8.0756969037674011</v>
      </c>
      <c r="AK204" s="3" cm="1">
        <f t="array" ref="AK204">IF(AK$199=-1,AL204,IF(AK$199=99,AJ204,IF(AK$199=0,INDEX($E190:$M190,0,AK$197),(INDEX($E190:$M190,0,AK$199+1)-INDEX($E190:$M190,0,AK$199))/(INDEX($E$185:$M$185,0,AK$199+1)-INDEX($E$185:$M$185,0,AK$199))+AJ204)))</f>
        <v>8.0960436904106707</v>
      </c>
      <c r="AL204" s="3" cm="1">
        <f t="array" ref="AL204">IF(AL$199=-1,AM204,IF(AL$199=99,AK204,IF(AL$199=0,INDEX($E190:$M190,0,AL$197),(INDEX($E190:$M190,0,AL$199+1)-INDEX($E190:$M190,0,AL$199))/(INDEX($E$185:$M$185,0,AL$199+1)-INDEX($E$185:$M$185,0,AL$199))+AK204)))</f>
        <v>8.1163904770539403</v>
      </c>
      <c r="AM204" s="3" cm="1">
        <f t="array" ref="AM204">IF(AM$199=-1,AO204,IF(AM$199=99,AL204,IF(AM$199=0,INDEX($E190:$M190,0,AM$197),(INDEX($E190:$M190,0,AM$199+1)-INDEX($E190:$M190,0,AM$199))/(INDEX($E$185:$M$185,0,AM$199+1)-INDEX($E$185:$M$185,0,AM$199))+AL204)))</f>
        <v>8.13673726369721</v>
      </c>
      <c r="AN204" s="3" cm="1">
        <f t="array" ref="AN204">IF(AN$199=-1,AP204,IF(AN$199=99,AL204,IF(AN$199=0,INDEX($E190:$M190,0,AN$197),(INDEX($E190:$M190,0,AN$199+1)-INDEX($E190:$M190,0,AN$199))/(INDEX($E$185:$M$185,0,AN$199+1)-INDEX($E$185:$M$185,0,AN$199))+AL204)))</f>
        <v>8.13673726369721</v>
      </c>
      <c r="AO204" s="3" cm="1">
        <f t="array" ref="AO204">IF(AO$199=-1,AQ204,IF(AO$199=99,AM204,IF(AO$199=0,INDEX($E190:$M190,0,AO$197),(INDEX($E190:$M190,0,AO$199+1)-INDEX($E190:$M190,0,AO$199))/(INDEX($E$185:$M$185,0,AO$199+1)-INDEX($E$185:$M$185,0,AO$199))+AM204)))</f>
        <v>8.1570840503404796</v>
      </c>
      <c r="AP204" s="3" cm="1">
        <f t="array" ref="AP204">IF(AP$199=-1,AR204,IF(AP$199=99,AO204,IF(AP$199=0,INDEX($E190:$M190,0,AP$197),(INDEX($E190:$M190,0,AP$199+1)-INDEX($E190:$M190,0,AP$199))/(INDEX($E$185:$M$185,0,AP$199+1)-INDEX($E$185:$M$185,0,AP$199))+AO204)))</f>
        <v>8.1774308369837492</v>
      </c>
      <c r="AQ204" s="3" cm="1">
        <f t="array" ref="AQ204">IF(AQ$199=-1,AR204,IF(AQ$199=99,AO204,IF(AQ$199=0,INDEX($E190:$M190,0,AQ$197),(INDEX($E190:$M190,0,AQ$199+1)-INDEX($E190:$M190,0,AQ$199))/(INDEX($E$185:$M$185,0,AQ$199+1)-INDEX($E$185:$M$185,0,AQ$199))+AO204)))</f>
        <v>8.1774308369837492</v>
      </c>
      <c r="AR204" s="3" cm="1">
        <f t="array" ref="AR204">IF(AR$199=-1,AS204,IF(AR$199=99,AQ204,IF(AR$199=0,INDEX($E190:$M190,0,AR$197),(INDEX($E190:$M190,0,AR$199+1)-INDEX($E190:$M190,0,AR$199))/(INDEX($E$185:$M$185,0,AR$199+1)-INDEX($E$185:$M$185,0,AR$199))+AQ204)))</f>
        <v>8.1977776236270188</v>
      </c>
      <c r="AS204" s="3" cm="1">
        <f t="array" ref="AS204">IF(AS$199=-1,AT204,IF(AS$199=99,AR204,IF(AS$199=0,INDEX($E190:$M190,0,AS$197),(INDEX($E190:$M190,0,AS$199+1)-INDEX($E190:$M190,0,AS$199))/(INDEX($E$185:$M$185,0,AS$199+1)-INDEX($E$185:$M$185,0,AS$199))+AR204)))</f>
        <v>8.2181244102702884</v>
      </c>
      <c r="AT204" s="3" cm="1">
        <f t="array" ref="AT204">IF(AT$199=-1,AU204,IF(AT$199=99,AS204,IF(AT$199=0,INDEX($E190:$M190,0,AT$197),(INDEX($E190:$M190,0,AT$199+1)-INDEX($E190:$M190,0,AT$199))/(INDEX($E$185:$M$185,0,AT$199+1)-INDEX($E$185:$M$185,0,AT$199))+AS204)))</f>
        <v>8.2384711969135651</v>
      </c>
      <c r="AU204" s="245">
        <f t="shared" si="517"/>
        <v>8.1860273754533601</v>
      </c>
      <c r="AV204" s="3" cm="1">
        <f t="array" ref="AV204">IF(AV$199=-1,AW204,IF(AV$199=99,AU204,IF(AV$199=0,INDEX($E190:$M190,0,AV$197),(INDEX($E190:$M190,0,AV$199+1)-INDEX($E190:$M190,0,AV$199))/(INDEX($E$185:$M$185,0,AV$199+1)-INDEX($E$185:$M$185,0,AV$199))+AU204)))</f>
        <v>8.1335835539931569</v>
      </c>
      <c r="AW204" s="3" cm="1">
        <f t="array" ref="AW204">IF(AW$199=-1,AX204,IF(AW$199=99,AV204,IF(AW$199=0,INDEX($E190:$M190,0,AW$197),(INDEX($E190:$M190,0,AW$199+1)-INDEX($E190:$M190,0,AW$199))/(INDEX($E$185:$M$185,0,AW$199+1)-INDEX($E$185:$M$185,0,AW$199))+AV204)))</f>
        <v>8.0564949934721035</v>
      </c>
      <c r="AX204" s="3" cm="1">
        <f t="array" ref="AX204">IF(AX$199=-1,AY204,IF(AX$199=99,AW204,IF(AX$199=0,INDEX($E190:$M190,0,AX$197),(INDEX($E190:$M190,0,AX$199+1)-INDEX($E190:$M190,0,AX$199))/(INDEX($E$185:$M$185,0,AX$199+1)-INDEX($E$185:$M$185,0,AX$199))+AW204)))</f>
        <v>8.1696057124894956</v>
      </c>
      <c r="AY204" s="3"/>
      <c r="BB204" s="3"/>
      <c r="BC204" s="3"/>
      <c r="BM204" s="3"/>
      <c r="BN204" s="92"/>
    </row>
    <row r="205" spans="1:66">
      <c r="E205" t="s">
        <v>16</v>
      </c>
      <c r="F205" s="15" t="str">
        <f t="shared" si="512"/>
        <v/>
      </c>
      <c r="G205" s="43" t="str">
        <f t="shared" si="513"/>
        <v>TPPUBRT</v>
      </c>
      <c r="H205" s="16"/>
      <c r="J205" s="16" t="str">
        <f t="shared" si="514"/>
        <v/>
      </c>
      <c r="L205" s="16" t="str">
        <f t="shared" si="514"/>
        <v/>
      </c>
      <c r="M205" s="16" t="str">
        <f t="shared" si="514"/>
        <v/>
      </c>
      <c r="N205" s="15" t="str">
        <f t="shared" si="515"/>
        <v/>
      </c>
      <c r="O205" s="15"/>
      <c r="P205" s="15"/>
      <c r="Q205" s="3">
        <f t="shared" si="516"/>
        <v>7.2799982901224303E-2</v>
      </c>
      <c r="R205" s="3" cm="1">
        <f t="array" ref="R205">IF(R$199=-1,S205,IF(R$199=99,Q205,IF(R$199=0,INDEX($E191:$M191,0,R$197),(INDEX($E191:$M191,0,R$199+1)-INDEX($E191:$M191,0,R$199))/(INDEX($E$185:$M$185,0,R$199+1)-INDEX($E$185:$M$185,0,R$199))+Q205)))</f>
        <v>9.2054765383727061E-2</v>
      </c>
      <c r="S205" s="3" cm="1">
        <f t="array" ref="S205">IF(S$199=-1,T205,IF(S$199=99,R205,IF(S$199=0,INDEX($E191:$M191,0,S$197),(INDEX($E191:$M191,0,S$199+1)-INDEX($E191:$M191,0,S$199))/(INDEX($E$185:$M$185,0,S$199+1)-INDEX($E$185:$M$185,0,S$199))+R205)))</f>
        <v>0.1113095478662298</v>
      </c>
      <c r="T205" s="3" cm="1">
        <f t="array" ref="T205">IF(T$199=-1,W205,IF(T$199=99,S205,IF(T$199=0,INDEX($E191:$M191,0,T$197),(INDEX($E191:$M191,0,T$199+1)-INDEX($E191:$M191,0,T$199))/(INDEX($E$185:$M$185,0,T$199+1)-INDEX($E$185:$M$185,0,T$199))+S205)))</f>
        <v>0.11091277099762989</v>
      </c>
      <c r="U205" s="3" cm="1">
        <f t="array" ref="U205">IF(U$199=-1,W205,IF(U$199=99,S205,IF(U$199=0,INDEX($E191:$M191,0,U$197),(INDEX($E191:$M191,0,U$199+1)-INDEX($E191:$M191,0,U$199))/(INDEX($E$185:$M$185,0,U$199+1)-INDEX($E$185:$M$185,0,U$199))+S205)))</f>
        <v>0.11091277099762989</v>
      </c>
      <c r="V205" s="3" cm="1">
        <f t="array" ref="V205">IF(V$199=-1,W205,IF(V$199=99,S205,IF(V$199=0,INDEX($E191:$M191,0,V$197),(INDEX($E191:$M191,0,V$199+1)-INDEX($E191:$M191,0,V$199))/(INDEX($E$185:$M$185,0,V$199+1)-INDEX($E$185:$M$185,0,V$199))+S205)))</f>
        <v>0.11091277099762989</v>
      </c>
      <c r="W205" s="3" cm="1">
        <f t="array" ref="W205">IF(W$199=-1,X205,IF(W$199=99,T205,IF(W$199=0,INDEX($E191:$M191,0,W$197),(INDEX($E191:$M191,0,W$199+1)-INDEX($E191:$M191,0,W$199))/(INDEX($E$185:$M$185,0,W$199+1)-INDEX($E$185:$M$185,0,W$199))+T205)))</f>
        <v>0.11324882528963676</v>
      </c>
      <c r="X205" s="3" cm="1">
        <f t="array" ref="X205">IF(X$199=-1,Y205,IF(X$199=99,W205,IF(X$199=0,INDEX($E191:$M191,0,X$197),(INDEX($E191:$M191,0,X$199+1)-INDEX($E191:$M191,0,X$199))/(INDEX($E$185:$M$185,0,X$199+1)-INDEX($E$185:$M$185,0,X$199))+W205)))</f>
        <v>0.11271362139902404</v>
      </c>
      <c r="Y205" s="3" cm="1">
        <f t="array" ref="Y205">IF(Y$199=-1,Z205,IF(Y$199=99,X205,IF(Y$199=0,INDEX($E191:$M191,0,Y$197),(INDEX($E191:$M191,0,Y$199+1)-INDEX($E191:$M191,0,Y$199))/(INDEX($E$185:$M$185,0,Y$199+1)-INDEX($E$185:$M$185,0,Y$199))+X205)))</f>
        <v>0.11217841750841132</v>
      </c>
      <c r="Z205" s="3" cm="1">
        <f t="array" ref="Z205">IF(Z$199=-1,AA205,IF(Z$199=99,Y205,IF(Z$199=0,INDEX($E191:$M191,0,Z$197),(INDEX($E191:$M191,0,Z$199+1)-INDEX($E191:$M191,0,Z$199))/(INDEX($E$185:$M$185,0,Z$199+1)-INDEX($E$185:$M$185,0,Z$199))+Y205)))</f>
        <v>0.1116432136177986</v>
      </c>
      <c r="AA205" s="3" cm="1">
        <f t="array" ref="AA205">IF(AA$199=-1,AB205,IF(AA$199=99,Z205,IF(AA$199=0,INDEX($E191:$M191,0,AA$197),(INDEX($E191:$M191,0,AA$199+1)-INDEX($E191:$M191,0,AA$199))/(INDEX($E$185:$M$185,0,AA$199+1)-INDEX($E$185:$M$185,0,AA$199))+Z205)))</f>
        <v>0.11110800972718587</v>
      </c>
      <c r="AB205" s="3" cm="1">
        <f t="array" ref="AB205">IF(AB$199=-1,AC205,IF(AB$199=99,AA205,IF(AB$199=0,INDEX($E191:$M191,0,AB$197),(INDEX($E191:$M191,0,AB$199+1)-INDEX($E191:$M191,0,AB$199))/(INDEX($E$185:$M$185,0,AB$199+1)-INDEX($E$185:$M$185,0,AB$199))+AA205)))</f>
        <v>0.11057280583657315</v>
      </c>
      <c r="AC205" s="3" cm="1">
        <f t="array" ref="AC205">IF(AC$199=-1,AD205,IF(AC$199=99,AB205,IF(AC$199=0,INDEX($E191:$M191,0,AC$197),(INDEX($E191:$M191,0,AC$199+1)-INDEX($E191:$M191,0,AC$199))/(INDEX($E$185:$M$185,0,AC$199+1)-INDEX($E$185:$M$185,0,AC$199))+AB205)))</f>
        <v>0.11003760194596043</v>
      </c>
      <c r="AD205" s="3" cm="1">
        <f t="array" ref="AD205">IF(AD$199=-1,AE205,IF(AD$199=99,AC205,IF(AD$199=0,INDEX($E191:$M191,0,AD$197),(INDEX($E191:$M191,0,AD$199+1)-INDEX($E191:$M191,0,AD$199))/(INDEX($E$185:$M$185,0,AD$199+1)-INDEX($E$185:$M$185,0,AD$199))+AC205)))</f>
        <v>0.10950239805534771</v>
      </c>
      <c r="AE205" s="3" cm="1">
        <f t="array" ref="AE205">IF(AE$199=-1,AH205,IF(AE$199=99,AD205,IF(AE$199=0,INDEX($E191:$M191,0,AE$197),(INDEX($E191:$M191,0,AE$199+1)-INDEX($E191:$M191,0,AE$199))/(INDEX($E$185:$M$185,0,AE$199+1)-INDEX($E$185:$M$185,0,AE$199))+AD205)))</f>
        <v>0.10896719416473499</v>
      </c>
      <c r="AF205" s="3" cm="1">
        <f t="array" ref="AF205">IF(AF$199=-1,AH205,IF(AF$199=99,AD205,IF(AF$199=0,INDEX($E191:$M191,0,AF$197),(INDEX($E191:$M191,0,AF$199+1)-INDEX($E191:$M191,0,AF$199))/(INDEX($E$185:$M$185,0,AF$199+1)-INDEX($E$185:$M$185,0,AF$199))+AD205)))</f>
        <v>0.10896719416473499</v>
      </c>
      <c r="AG205" s="3" cm="1">
        <f t="array" ref="AG205">IF(AG$199=-1,AH205,IF(AG$199=99,AD205,IF(AG$199=0,INDEX($E191:$M191,0,AG$197),(INDEX($E191:$M191,0,AG$199+1)-INDEX($E191:$M191,0,AG$199))/(INDEX($E$185:$M$185,0,AG$199+1)-INDEX($E$185:$M$185,0,AG$199))+AD205)))</f>
        <v>0.10896719416473499</v>
      </c>
      <c r="AH205" s="3" cm="1">
        <f t="array" ref="AH205">IF(AH$199=-1,AI205,IF(AH$199=99,AE205,IF(AH$199=0,INDEX($E191:$M191,0,AH$197),(INDEX($E191:$M191,0,AH$199+1)-INDEX($E191:$M191,0,AH$199))/(INDEX($E$185:$M$185,0,AH$199+1)-INDEX($E$185:$M$185,0,AH$199))+AE205)))</f>
        <v>0.10843199027412222</v>
      </c>
      <c r="AI205" s="3" cm="1">
        <f t="array" ref="AI205">IF(AI$199=-1,AJ205,IF(AI$199=99,AH205,IF(AI$199=0,INDEX($E191:$M191,0,AI$197),(INDEX($E191:$M191,0,AI$199+1)-INDEX($E191:$M191,0,AI$199))/(INDEX($E$185:$M$185,0,AI$199+1)-INDEX($E$185:$M$185,0,AI$199))+AH205)))</f>
        <v>0.10928770473741774</v>
      </c>
      <c r="AJ205" s="3" cm="1">
        <f t="array" ref="AJ205">IF(AJ$199=-1,AK205,IF(AJ$199=99,AI205,IF(AJ$199=0,INDEX($E191:$M191,0,AJ$197),(INDEX($E191:$M191,0,AJ$199+1)-INDEX($E191:$M191,0,AJ$199))/(INDEX($E$185:$M$185,0,AJ$199+1)-INDEX($E$185:$M$185,0,AJ$199))+AI205)))</f>
        <v>0.11014341920071326</v>
      </c>
      <c r="AK205" s="3" cm="1">
        <f t="array" ref="AK205">IF(AK$199=-1,AL205,IF(AK$199=99,AJ205,IF(AK$199=0,INDEX($E191:$M191,0,AK$197),(INDEX($E191:$M191,0,AK$199+1)-INDEX($E191:$M191,0,AK$199))/(INDEX($E$185:$M$185,0,AK$199+1)-INDEX($E$185:$M$185,0,AK$199))+AJ205)))</f>
        <v>0.11099913366400878</v>
      </c>
      <c r="AL205" s="3" cm="1">
        <f t="array" ref="AL205">IF(AL$199=-1,AM205,IF(AL$199=99,AK205,IF(AL$199=0,INDEX($E191:$M191,0,AL$197),(INDEX($E191:$M191,0,AL$199+1)-INDEX($E191:$M191,0,AL$199))/(INDEX($E$185:$M$185,0,AL$199+1)-INDEX($E$185:$M$185,0,AL$199))+AK205)))</f>
        <v>0.1118548481273043</v>
      </c>
      <c r="AM205" s="3" cm="1">
        <f t="array" ref="AM205">IF(AM$199=-1,AO205,IF(AM$199=99,AL205,IF(AM$199=0,INDEX($E191:$M191,0,AM$197),(INDEX($E191:$M191,0,AM$199+1)-INDEX($E191:$M191,0,AM$199))/(INDEX($E$185:$M$185,0,AM$199+1)-INDEX($E$185:$M$185,0,AM$199))+AL205)))</f>
        <v>0.11271056259059982</v>
      </c>
      <c r="AN205" s="3" cm="1">
        <f t="array" ref="AN205">IF(AN$199=-1,AP205,IF(AN$199=99,AL205,IF(AN$199=0,INDEX($E191:$M191,0,AN$197),(INDEX($E191:$M191,0,AN$199+1)-INDEX($E191:$M191,0,AN$199))/(INDEX($E$185:$M$185,0,AN$199+1)-INDEX($E$185:$M$185,0,AN$199))+AL205)))</f>
        <v>0.11271056259059982</v>
      </c>
      <c r="AO205" s="3" cm="1">
        <f t="array" ref="AO205">IF(AO$199=-1,AQ205,IF(AO$199=99,AM205,IF(AO$199=0,INDEX($E191:$M191,0,AO$197),(INDEX($E191:$M191,0,AO$199+1)-INDEX($E191:$M191,0,AO$199))/(INDEX($E$185:$M$185,0,AO$199+1)-INDEX($E$185:$M$185,0,AO$199))+AM205)))</f>
        <v>0.11356627705389534</v>
      </c>
      <c r="AP205" s="3" cm="1">
        <f t="array" ref="AP205">IF(AP$199=-1,AR205,IF(AP$199=99,AO205,IF(AP$199=0,INDEX($E191:$M191,0,AP$197),(INDEX($E191:$M191,0,AP$199+1)-INDEX($E191:$M191,0,AP$199))/(INDEX($E$185:$M$185,0,AP$199+1)-INDEX($E$185:$M$185,0,AP$199))+AO205)))</f>
        <v>0.11442199151719086</v>
      </c>
      <c r="AQ205" s="3" cm="1">
        <f t="array" ref="AQ205">IF(AQ$199=-1,AR205,IF(AQ$199=99,AO205,IF(AQ$199=0,INDEX($E191:$M191,0,AQ$197),(INDEX($E191:$M191,0,AQ$199+1)-INDEX($E191:$M191,0,AQ$199))/(INDEX($E$185:$M$185,0,AQ$199+1)-INDEX($E$185:$M$185,0,AQ$199))+AO205)))</f>
        <v>0.11442199151719086</v>
      </c>
      <c r="AR205" s="3" cm="1">
        <f t="array" ref="AR205">IF(AR$199=-1,AS205,IF(AR$199=99,AQ205,IF(AR$199=0,INDEX($E191:$M191,0,AR$197),(INDEX($E191:$M191,0,AR$199+1)-INDEX($E191:$M191,0,AR$199))/(INDEX($E$185:$M$185,0,AR$199+1)-INDEX($E$185:$M$185,0,AR$199))+AQ205)))</f>
        <v>0.11527770598048638</v>
      </c>
      <c r="AS205" s="3" cm="1">
        <f t="array" ref="AS205">IF(AS$199=-1,AT205,IF(AS$199=99,AR205,IF(AS$199=0,INDEX($E191:$M191,0,AS$197),(INDEX($E191:$M191,0,AS$199+1)-INDEX($E191:$M191,0,AS$199))/(INDEX($E$185:$M$185,0,AS$199+1)-INDEX($E$185:$M$185,0,AS$199))+AR205)))</f>
        <v>0.1161334204437819</v>
      </c>
      <c r="AT205" s="3" cm="1">
        <f t="array" ref="AT205">IF(AT$199=-1,AU205,IF(AT$199=99,AS205,IF(AT$199=0,INDEX($E191:$M191,0,AT$197),(INDEX($E191:$M191,0,AT$199+1)-INDEX($E191:$M191,0,AT$199))/(INDEX($E$185:$M$185,0,AT$199+1)-INDEX($E$185:$M$185,0,AT$199))+AS205)))</f>
        <v>0.11698913490707746</v>
      </c>
      <c r="AU205" s="245">
        <f t="shared" si="517"/>
        <v>0.12023348355867683</v>
      </c>
      <c r="AV205" s="3" cm="1">
        <f t="array" ref="AV205">IF(AV$199=-1,AW205,IF(AV$199=99,AU205,IF(AV$199=0,INDEX($E191:$M191,0,AV$197),(INDEX($E191:$M191,0,AV$199+1)-INDEX($E191:$M191,0,AV$199))/(INDEX($E$185:$M$185,0,AV$199+1)-INDEX($E$185:$M$185,0,AV$199))+AU205)))</f>
        <v>0.12347783221027619</v>
      </c>
      <c r="AW205" s="3" cm="1">
        <f t="array" ref="AW205">IF(AW$199=-1,AX205,IF(AW$199=99,AV205,IF(AW$199=0,INDEX($E191:$M191,0,AW$197),(INDEX($E191:$M191,0,AW$199+1)-INDEX($E191:$M191,0,AW$199))/(INDEX($E$185:$M$185,0,AW$199+1)-INDEX($E$185:$M$185,0,AW$199))+AV205)))</f>
        <v>0.12714609186757148</v>
      </c>
      <c r="AX205" s="3" cm="1">
        <f t="array" ref="AX205">IF(AX$199=-1,AY205,IF(AX$199=99,AW205,IF(AX$199=0,INDEX($E191:$M191,0,AX$197),(INDEX($E191:$M191,0,AX$199+1)-INDEX($E191:$M191,0,AX$199))/(INDEX($E$185:$M$185,0,AX$199+1)-INDEX($E$185:$M$185,0,AX$199))+AW205)))</f>
        <v>0.12864270203435063</v>
      </c>
      <c r="AY205" s="3"/>
      <c r="BB205" s="3"/>
      <c r="BC205" s="3"/>
      <c r="BM205" s="3"/>
      <c r="BN205" s="92"/>
    </row>
    <row r="206" spans="1:66">
      <c r="E206" t="s">
        <v>16</v>
      </c>
      <c r="F206" s="15" t="str">
        <f t="shared" si="512"/>
        <v/>
      </c>
      <c r="G206" s="43" t="str">
        <f t="shared" si="513"/>
        <v>TPPUMER</v>
      </c>
      <c r="H206" s="16"/>
      <c r="J206" s="16" t="str">
        <f t="shared" si="514"/>
        <v/>
      </c>
      <c r="L206" s="16" t="str">
        <f t="shared" si="514"/>
        <v/>
      </c>
      <c r="M206" s="16" t="str">
        <f t="shared" si="514"/>
        <v/>
      </c>
      <c r="N206" s="15" t="str">
        <f t="shared" si="515"/>
        <v/>
      </c>
      <c r="O206" s="15"/>
      <c r="P206" s="15"/>
      <c r="Q206" s="3">
        <f t="shared" si="516"/>
        <v>8.7048317578401608</v>
      </c>
      <c r="R206" s="3" cm="1">
        <f t="array" ref="R206">IF(R$199=-1,S206,IF(R$199=99,Q206,IF(R$199=0,INDEX($E192:$M192,0,R$197),(INDEX($E192:$M192,0,R$199+1)-INDEX($E192:$M192,0,R$199))/(INDEX($E$185:$M$185,0,R$199+1)-INDEX($E$185:$M$185,0,R$199))+Q206)))</f>
        <v>8.7898700606728966</v>
      </c>
      <c r="S206" s="3" cm="1">
        <f t="array" ref="S206">IF(S$199=-1,T206,IF(S$199=99,R206,IF(S$199=0,INDEX($E192:$M192,0,S$197),(INDEX($E192:$M192,0,S$199+1)-INDEX($E192:$M192,0,S$199))/(INDEX($E$185:$M$185,0,S$199+1)-INDEX($E$185:$M$185,0,S$199))+R206)))</f>
        <v>8.8749083635056305</v>
      </c>
      <c r="T206" s="3" cm="1">
        <f t="array" ref="T206">IF(T$199=-1,W206,IF(T$199=99,S206,IF(T$199=0,INDEX($E192:$M192,0,T$197),(INDEX($E192:$M192,0,T$199+1)-INDEX($E192:$M192,0,T$199))/(INDEX($E$185:$M$185,0,T$199+1)-INDEX($E$185:$M$185,0,T$199))+S206)))</f>
        <v>9.0239745751619225</v>
      </c>
      <c r="U206" s="3" cm="1">
        <f t="array" ref="U206">IF(U$199=-1,W206,IF(U$199=99,S206,IF(U$199=0,INDEX($E192:$M192,0,U$197),(INDEX($E192:$M192,0,U$199+1)-INDEX($E192:$M192,0,U$199))/(INDEX($E$185:$M$185,0,U$199+1)-INDEX($E$185:$M$185,0,U$199))+S206)))</f>
        <v>9.0239745751619225</v>
      </c>
      <c r="V206" s="3" cm="1">
        <f t="array" ref="V206">IF(V$199=-1,W206,IF(V$199=99,S206,IF(V$199=0,INDEX($E192:$M192,0,V$197),(INDEX($E192:$M192,0,V$199+1)-INDEX($E192:$M192,0,V$199))/(INDEX($E$185:$M$185,0,V$199+1)-INDEX($E$185:$M$185,0,V$199))+S206)))</f>
        <v>9.0239745751619225</v>
      </c>
      <c r="W206" s="3" cm="1">
        <f t="array" ref="W206">IF(W$199=-1,X206,IF(W$199=99,T206,IF(W$199=0,INDEX($E192:$M192,0,W$197),(INDEX($E192:$M192,0,W$199+1)-INDEX($E192:$M192,0,W$199))/(INDEX($E$185:$M$185,0,W$199+1)-INDEX($E$185:$M$185,0,W$199))+T206)))</f>
        <v>9.1197012950280598</v>
      </c>
      <c r="X206" s="3" cm="1">
        <f t="array" ref="X206">IF(X$199=-1,Y206,IF(X$199=99,W206,IF(X$199=0,INDEX($E192:$M192,0,X$197),(INDEX($E192:$M192,0,X$199+1)-INDEX($E192:$M192,0,X$199))/(INDEX($E$185:$M$185,0,X$199+1)-INDEX($E$185:$M$185,0,X$199))+W206)))</f>
        <v>9.6341867103428278</v>
      </c>
      <c r="Y206" s="3" cm="1">
        <f t="array" ref="Y206">IF(Y$199=-1,Z206,IF(Y$199=99,X206,IF(Y$199=0,INDEX($E192:$M192,0,Y$197),(INDEX($E192:$M192,0,Y$199+1)-INDEX($E192:$M192,0,Y$199))/(INDEX($E$185:$M$185,0,Y$199+1)-INDEX($E$185:$M$185,0,Y$199))+X206)))</f>
        <v>10.148672125657596</v>
      </c>
      <c r="Z206" s="3" cm="1">
        <f t="array" ref="Z206">IF(Z$199=-1,AA206,IF(Z$199=99,Y206,IF(Z$199=0,INDEX($E192:$M192,0,Z$197),(INDEX($E192:$M192,0,Z$199+1)-INDEX($E192:$M192,0,Z$199))/(INDEX($E$185:$M$185,0,Z$199+1)-INDEX($E$185:$M$185,0,Z$199))+Y206)))</f>
        <v>10.663157540972364</v>
      </c>
      <c r="AA206" s="3" cm="1">
        <f t="array" ref="AA206">IF(AA$199=-1,AB206,IF(AA$199=99,Z206,IF(AA$199=0,INDEX($E192:$M192,0,AA$197),(INDEX($E192:$M192,0,AA$199+1)-INDEX($E192:$M192,0,AA$199))/(INDEX($E$185:$M$185,0,AA$199+1)-INDEX($E$185:$M$185,0,AA$199))+Z206)))</f>
        <v>11.177642956287132</v>
      </c>
      <c r="AB206" s="3" cm="1">
        <f t="array" ref="AB206">IF(AB$199=-1,AC206,IF(AB$199=99,AA206,IF(AB$199=0,INDEX($E192:$M192,0,AB$197),(INDEX($E192:$M192,0,AB$199+1)-INDEX($E192:$M192,0,AB$199))/(INDEX($E$185:$M$185,0,AB$199+1)-INDEX($E$185:$M$185,0,AB$199))+AA206)))</f>
        <v>11.6921283716019</v>
      </c>
      <c r="AC206" s="3" cm="1">
        <f t="array" ref="AC206">IF(AC$199=-1,AD206,IF(AC$199=99,AB206,IF(AC$199=0,INDEX($E192:$M192,0,AC$197),(INDEX($E192:$M192,0,AC$199+1)-INDEX($E192:$M192,0,AC$199))/(INDEX($E$185:$M$185,0,AC$199+1)-INDEX($E$185:$M$185,0,AC$199))+AB206)))</f>
        <v>12.206613786916668</v>
      </c>
      <c r="AD206" s="3" cm="1">
        <f t="array" ref="AD206">IF(AD$199=-1,AE206,IF(AD$199=99,AC206,IF(AD$199=0,INDEX($E192:$M192,0,AD$197),(INDEX($E192:$M192,0,AD$199+1)-INDEX($E192:$M192,0,AD$199))/(INDEX($E$185:$M$185,0,AD$199+1)-INDEX($E$185:$M$185,0,AD$199))+AC206)))</f>
        <v>12.721099202231436</v>
      </c>
      <c r="AE206" s="3" cm="1">
        <f t="array" ref="AE206">IF(AE$199=-1,AH206,IF(AE$199=99,AD206,IF(AE$199=0,INDEX($E192:$M192,0,AE$197),(INDEX($E192:$M192,0,AE$199+1)-INDEX($E192:$M192,0,AE$199))/(INDEX($E$185:$M$185,0,AE$199+1)-INDEX($E$185:$M$185,0,AE$199))+AD206)))</f>
        <v>13.235584617546204</v>
      </c>
      <c r="AF206" s="3" cm="1">
        <f t="array" ref="AF206">IF(AF$199=-1,AH206,IF(AF$199=99,AD206,IF(AF$199=0,INDEX($E192:$M192,0,AF$197),(INDEX($E192:$M192,0,AF$199+1)-INDEX($E192:$M192,0,AF$199))/(INDEX($E$185:$M$185,0,AF$199+1)-INDEX($E$185:$M$185,0,AF$199))+AD206)))</f>
        <v>13.235584617546204</v>
      </c>
      <c r="AG206" s="3" cm="1">
        <f t="array" ref="AG206">IF(AG$199=-1,AH206,IF(AG$199=99,AD206,IF(AG$199=0,INDEX($E192:$M192,0,AG$197),(INDEX($E192:$M192,0,AG$199+1)-INDEX($E192:$M192,0,AG$199))/(INDEX($E$185:$M$185,0,AG$199+1)-INDEX($E$185:$M$185,0,AG$199))+AD206)))</f>
        <v>13.235584617546204</v>
      </c>
      <c r="AH206" s="3" cm="1">
        <f t="array" ref="AH206">IF(AH$199=-1,AI206,IF(AH$199=99,AE206,IF(AH$199=0,INDEX($E192:$M192,0,AH$197),(INDEX($E192:$M192,0,AH$199+1)-INDEX($E192:$M192,0,AH$199))/(INDEX($E$185:$M$185,0,AH$199+1)-INDEX($E$185:$M$185,0,AH$199))+AE206)))</f>
        <v>13.75007003286097</v>
      </c>
      <c r="AI206" s="3" cm="1">
        <f t="array" ref="AI206">IF(AI$199=-1,AJ206,IF(AI$199=99,AH206,IF(AI$199=0,INDEX($E192:$M192,0,AI$197),(INDEX($E192:$M192,0,AI$199+1)-INDEX($E192:$M192,0,AI$199))/(INDEX($E$185:$M$185,0,AI$199+1)-INDEX($E$185:$M$185,0,AI$199))+AH206)))</f>
        <v>14.126771775881112</v>
      </c>
      <c r="AJ206" s="3" cm="1">
        <f t="array" ref="AJ206">IF(AJ$199=-1,AK206,IF(AJ$199=99,AI206,IF(AJ$199=0,INDEX($E192:$M192,0,AJ$197),(INDEX($E192:$M192,0,AJ$199+1)-INDEX($E192:$M192,0,AJ$199))/(INDEX($E$185:$M$185,0,AJ$199+1)-INDEX($E$185:$M$185,0,AJ$199))+AI206)))</f>
        <v>14.503473518901254</v>
      </c>
      <c r="AK206" s="3" cm="1">
        <f t="array" ref="AK206">IF(AK$199=-1,AL206,IF(AK$199=99,AJ206,IF(AK$199=0,INDEX($E192:$M192,0,AK$197),(INDEX($E192:$M192,0,AK$199+1)-INDEX($E192:$M192,0,AK$199))/(INDEX($E$185:$M$185,0,AK$199+1)-INDEX($E$185:$M$185,0,AK$199))+AJ206)))</f>
        <v>14.880175261921396</v>
      </c>
      <c r="AL206" s="3" cm="1">
        <f t="array" ref="AL206">IF(AL$199=-1,AM206,IF(AL$199=99,AK206,IF(AL$199=0,INDEX($E192:$M192,0,AL$197),(INDEX($E192:$M192,0,AL$199+1)-INDEX($E192:$M192,0,AL$199))/(INDEX($E$185:$M$185,0,AL$199+1)-INDEX($E$185:$M$185,0,AL$199))+AK206)))</f>
        <v>15.256877004941538</v>
      </c>
      <c r="AM206" s="3" cm="1">
        <f t="array" ref="AM206">IF(AM$199=-1,AO206,IF(AM$199=99,AL206,IF(AM$199=0,INDEX($E192:$M192,0,AM$197),(INDEX($E192:$M192,0,AM$199+1)-INDEX($E192:$M192,0,AM$199))/(INDEX($E$185:$M$185,0,AM$199+1)-INDEX($E$185:$M$185,0,AM$199))+AL206)))</f>
        <v>15.63357874796168</v>
      </c>
      <c r="AN206" s="3" cm="1">
        <f t="array" ref="AN206">IF(AN$199=-1,AP206,IF(AN$199=99,AL206,IF(AN$199=0,INDEX($E192:$M192,0,AN$197),(INDEX($E192:$M192,0,AN$199+1)-INDEX($E192:$M192,0,AN$199))/(INDEX($E$185:$M$185,0,AN$199+1)-INDEX($E$185:$M$185,0,AN$199))+AL206)))</f>
        <v>15.63357874796168</v>
      </c>
      <c r="AO206" s="3" cm="1">
        <f t="array" ref="AO206">IF(AO$199=-1,AQ206,IF(AO$199=99,AM206,IF(AO$199=0,INDEX($E192:$M192,0,AO$197),(INDEX($E192:$M192,0,AO$199+1)-INDEX($E192:$M192,0,AO$199))/(INDEX($E$185:$M$185,0,AO$199+1)-INDEX($E$185:$M$185,0,AO$199))+AM206)))</f>
        <v>16.01028049098182</v>
      </c>
      <c r="AP206" s="3" cm="1">
        <f t="array" ref="AP206">IF(AP$199=-1,AR206,IF(AP$199=99,AO206,IF(AP$199=0,INDEX($E192:$M192,0,AP$197),(INDEX($E192:$M192,0,AP$199+1)-INDEX($E192:$M192,0,AP$199))/(INDEX($E$185:$M$185,0,AP$199+1)-INDEX($E$185:$M$185,0,AP$199))+AO206)))</f>
        <v>16.386982234001962</v>
      </c>
      <c r="AQ206" s="3" cm="1">
        <f t="array" ref="AQ206">IF(AQ$199=-1,AR206,IF(AQ$199=99,AO206,IF(AQ$199=0,INDEX($E192:$M192,0,AQ$197),(INDEX($E192:$M192,0,AQ$199+1)-INDEX($E192:$M192,0,AQ$199))/(INDEX($E$185:$M$185,0,AQ$199+1)-INDEX($E$185:$M$185,0,AQ$199))+AO206)))</f>
        <v>16.386982234001962</v>
      </c>
      <c r="AR206" s="3" cm="1">
        <f t="array" ref="AR206">IF(AR$199=-1,AS206,IF(AR$199=99,AQ206,IF(AR$199=0,INDEX($E192:$M192,0,AR$197),(INDEX($E192:$M192,0,AR$199+1)-INDEX($E192:$M192,0,AR$199))/(INDEX($E$185:$M$185,0,AR$199+1)-INDEX($E$185:$M$185,0,AR$199))+AQ206)))</f>
        <v>16.763683977022104</v>
      </c>
      <c r="AS206" s="3" cm="1">
        <f t="array" ref="AS206">IF(AS$199=-1,AT206,IF(AS$199=99,AR206,IF(AS$199=0,INDEX($E192:$M192,0,AS$197),(INDEX($E192:$M192,0,AS$199+1)-INDEX($E192:$M192,0,AS$199))/(INDEX($E$185:$M$185,0,AS$199+1)-INDEX($E$185:$M$185,0,AS$199))+AR206)))</f>
        <v>17.140385720042246</v>
      </c>
      <c r="AT206" s="3" cm="1">
        <f t="array" ref="AT206">IF(AT$199=-1,AU206,IF(AT$199=99,AS206,IF(AT$199=0,INDEX($E192:$M192,0,AT$197),(INDEX($E192:$M192,0,AT$199+1)-INDEX($E192:$M192,0,AT$199))/(INDEX($E$185:$M$185,0,AT$199+1)-INDEX($E$185:$M$185,0,AT$199))+AS206)))</f>
        <v>17.517087463062389</v>
      </c>
      <c r="AU206" s="245">
        <f t="shared" si="517"/>
        <v>17.405578545271936</v>
      </c>
      <c r="AV206" s="3" cm="1">
        <f t="array" ref="AV206">IF(AV$199=-1,AW206,IF(AV$199=99,AU206,IF(AV$199=0,INDEX($E192:$M192,0,AV$197),(INDEX($E192:$M192,0,AV$199+1)-INDEX($E192:$M192,0,AV$199))/(INDEX($E$185:$M$185,0,AV$199+1)-INDEX($E$185:$M$185,0,AV$199))+AU206)))</f>
        <v>17.294069627481488</v>
      </c>
      <c r="AW206" s="3" cm="1">
        <f t="array" ref="AW206">IF(AW$199=-1,AX206,IF(AW$199=99,AV206,IF(AW$199=0,INDEX($E192:$M192,0,AW$197),(INDEX($E192:$M192,0,AW$199+1)-INDEX($E192:$M192,0,AW$199))/(INDEX($E$185:$M$185,0,AW$199+1)-INDEX($E$185:$M$185,0,AW$199))+AV206)))</f>
        <v>17.130159719347713</v>
      </c>
      <c r="AX206" s="3" cm="1">
        <f t="array" ref="AX206">IF(AX$199=-1,AY206,IF(AX$199=99,AW206,IF(AX$199=0,INDEX($E192:$M192,0,AX$197),(INDEX($E192:$M192,0,AX$199+1)-INDEX($E192:$M192,0,AX$199))/(INDEX($E$185:$M$185,0,AX$199+1)-INDEX($E$185:$M$185,0,AX$199))+AW206)))</f>
        <v>17.370661908489286</v>
      </c>
      <c r="AY206" s="3"/>
      <c r="BB206" s="3"/>
      <c r="BC206" s="3"/>
      <c r="BM206" s="3"/>
      <c r="BN206" s="92"/>
    </row>
    <row r="207" spans="1:66">
      <c r="E207" t="s">
        <v>16</v>
      </c>
      <c r="F207" s="15" t="str">
        <f t="shared" si="512"/>
        <v/>
      </c>
      <c r="G207" s="43" t="str">
        <f t="shared" si="513"/>
        <v>TPPUGAT</v>
      </c>
      <c r="H207" s="16"/>
      <c r="J207" s="16" t="str">
        <f t="shared" si="514"/>
        <v/>
      </c>
      <c r="L207" s="16" t="str">
        <f t="shared" si="514"/>
        <v/>
      </c>
      <c r="M207" s="16" t="str">
        <f t="shared" si="514"/>
        <v/>
      </c>
      <c r="N207" s="15" t="str">
        <f t="shared" si="515"/>
        <v/>
      </c>
      <c r="O207" s="15"/>
      <c r="P207" s="15"/>
      <c r="Q207" s="17">
        <f t="shared" si="516"/>
        <v>0.64854136839212595</v>
      </c>
      <c r="R207" s="3" cm="1">
        <f t="array" ref="R207">IF(R$199=-1,S207,IF(R$199=99,Q207,IF(R$199=0,INDEX($E193:$M193,0,R$197),(INDEX($E193:$M193,0,R$199+1)-INDEX($E193:$M193,0,R$199))/(INDEX($E$185:$M$185,0,R$199+1)-INDEX($E$185:$M$185,0,R$199))+Q207)))</f>
        <v>0.67405613843991108</v>
      </c>
      <c r="S207" s="3" cm="1">
        <f t="array" ref="S207">IF(S$199=-1,T207,IF(S$199=99,R207,IF(S$199=0,INDEX($E193:$M193,0,S$197),(INDEX($E193:$M193,0,S$199+1)-INDEX($E193:$M193,0,S$199))/(INDEX($E$185:$M$185,0,S$199+1)-INDEX($E$185:$M$185,0,S$199))+R207)))</f>
        <v>0.6995709084876961</v>
      </c>
      <c r="T207" s="3" cm="1">
        <f t="array" ref="T207">IF(T$199=-1,W207,IF(T$199=99,S207,IF(T$199=0,INDEX($E193:$M193,0,T$197),(INDEX($E193:$M193,0,T$199+1)-INDEX($E193:$M193,0,T$199))/(INDEX($E$185:$M$185,0,T$199+1)-INDEX($E$185:$M$185,0,T$199))+S207)))</f>
        <v>0.64248252977129328</v>
      </c>
      <c r="U207" s="3" cm="1">
        <f t="array" ref="U207">IF(U$199=-1,W207,IF(U$199=99,S207,IF(U$199=0,INDEX($E193:$M193,0,U$197),(INDEX($E193:$M193,0,U$199+1)-INDEX($E193:$M193,0,U$199))/(INDEX($E$185:$M$185,0,U$199+1)-INDEX($E$185:$M$185,0,U$199))+S207)))</f>
        <v>0.64248252977129328</v>
      </c>
      <c r="V207" s="3" cm="1">
        <f t="array" ref="V207">IF(V$199=-1,W207,IF(V$199=99,S207,IF(V$199=0,INDEX($E193:$M193,0,V$197),(INDEX($E193:$M193,0,V$199+1)-INDEX($E193:$M193,0,V$199))/(INDEX($E$185:$M$185,0,V$199+1)-INDEX($E$185:$M$185,0,V$199))+S207)))</f>
        <v>0.64248252977129328</v>
      </c>
      <c r="W207" s="3" cm="1">
        <f t="array" ref="W207">IF(W$199=-1,X207,IF(W$199=99,T207,IF(W$199=0,INDEX($E193:$M193,0,W$197),(INDEX($E193:$M193,0,W$199+1)-INDEX($E193:$M193,0,W$199))/(INDEX($E$185:$M$185,0,W$199+1)-INDEX($E$185:$M$185,0,W$199))+T207)))</f>
        <v>0.68522387738371804</v>
      </c>
      <c r="X207" s="3" cm="1">
        <f t="array" ref="X207">IF(X$199=-1,Y207,IF(X$199=99,W207,IF(X$199=0,INDEX($E193:$M193,0,X$197),(INDEX($E193:$M193,0,X$199+1)-INDEX($E193:$M193,0,X$199))/(INDEX($E$185:$M$185,0,X$199+1)-INDEX($E$185:$M$185,0,X$199))+W207)))</f>
        <v>0.77236302620910391</v>
      </c>
      <c r="Y207" s="3" cm="1">
        <f t="array" ref="Y207">IF(Y$199=-1,Z207,IF(Y$199=99,X207,IF(Y$199=0,INDEX($E193:$M193,0,Y$197),(INDEX($E193:$M193,0,Y$199+1)-INDEX($E193:$M193,0,Y$199))/(INDEX($E$185:$M$185,0,Y$199+1)-INDEX($E$185:$M$185,0,Y$199))+X207)))</f>
        <v>0.85950217503448978</v>
      </c>
      <c r="Z207" s="3" cm="1">
        <f t="array" ref="Z207">IF(Z$199=-1,AA207,IF(Z$199=99,Y207,IF(Z$199=0,INDEX($E193:$M193,0,Z$197),(INDEX($E193:$M193,0,Z$199+1)-INDEX($E193:$M193,0,Z$199))/(INDEX($E$185:$M$185,0,Z$199+1)-INDEX($E$185:$M$185,0,Z$199))+Y207)))</f>
        <v>0.94664132385987565</v>
      </c>
      <c r="AA207" s="3" cm="1">
        <f t="array" ref="AA207">IF(AA$199=-1,AB207,IF(AA$199=99,Z207,IF(AA$199=0,INDEX($E193:$M193,0,AA$197),(INDEX($E193:$M193,0,AA$199+1)-INDEX($E193:$M193,0,AA$199))/(INDEX($E$185:$M$185,0,AA$199+1)-INDEX($E$185:$M$185,0,AA$199))+Z207)))</f>
        <v>1.0337804726852615</v>
      </c>
      <c r="AB207" s="3" cm="1">
        <f t="array" ref="AB207">IF(AB$199=-1,AC207,IF(AB$199=99,AA207,IF(AB$199=0,INDEX($E193:$M193,0,AB$197),(INDEX($E193:$M193,0,AB$199+1)-INDEX($E193:$M193,0,AB$199))/(INDEX($E$185:$M$185,0,AB$199+1)-INDEX($E$185:$M$185,0,AB$199))+AA207)))</f>
        <v>1.1209196215106474</v>
      </c>
      <c r="AC207" s="3" cm="1">
        <f t="array" ref="AC207">IF(AC$199=-1,AD207,IF(AC$199=99,AB207,IF(AC$199=0,INDEX($E193:$M193,0,AC$197),(INDEX($E193:$M193,0,AC$199+1)-INDEX($E193:$M193,0,AC$199))/(INDEX($E$185:$M$185,0,AC$199+1)-INDEX($E$185:$M$185,0,AC$199))+AB207)))</f>
        <v>1.2080587703360333</v>
      </c>
      <c r="AD207" s="3" cm="1">
        <f t="array" ref="AD207">IF(AD$199=-1,AE207,IF(AD$199=99,AC207,IF(AD$199=0,INDEX($E193:$M193,0,AD$197),(INDEX($E193:$M193,0,AD$199+1)-INDEX($E193:$M193,0,AD$199))/(INDEX($E$185:$M$185,0,AD$199+1)-INDEX($E$185:$M$185,0,AD$199))+AC207)))</f>
        <v>1.2951979191614191</v>
      </c>
      <c r="AE207" s="3" cm="1">
        <f t="array" ref="AE207">IF(AE$199=-1,AH207,IF(AE$199=99,AD207,IF(AE$199=0,INDEX($E193:$M193,0,AE$197),(INDEX($E193:$M193,0,AE$199+1)-INDEX($E193:$M193,0,AE$199))/(INDEX($E$185:$M$185,0,AE$199+1)-INDEX($E$185:$M$185,0,AE$199))+AD207)))</f>
        <v>1.382337067986805</v>
      </c>
      <c r="AF207" s="3" cm="1">
        <f t="array" ref="AF207">IF(AF$199=-1,AH207,IF(AF$199=99,AD207,IF(AF$199=0,INDEX($E193:$M193,0,AF$197),(INDEX($E193:$M193,0,AF$199+1)-INDEX($E193:$M193,0,AF$199))/(INDEX($E$185:$M$185,0,AF$199+1)-INDEX($E$185:$M$185,0,AF$199))+AD207)))</f>
        <v>1.382337067986805</v>
      </c>
      <c r="AG207" s="3" cm="1">
        <f t="array" ref="AG207">IF(AG$199=-1,AH207,IF(AG$199=99,AD207,IF(AG$199=0,INDEX($E193:$M193,0,AG$197),(INDEX($E193:$M193,0,AG$199+1)-INDEX($E193:$M193,0,AG$199))/(INDEX($E$185:$M$185,0,AG$199+1)-INDEX($E$185:$M$185,0,AG$199))+AD207)))</f>
        <v>1.382337067986805</v>
      </c>
      <c r="AH207" s="3" cm="1">
        <f t="array" ref="AH207">IF(AH$199=-1,AI207,IF(AH$199=99,AE207,IF(AH$199=0,INDEX($E193:$M193,0,AH$197),(INDEX($E193:$M193,0,AH$199+1)-INDEX($E193:$M193,0,AH$199))/(INDEX($E$185:$M$185,0,AH$199+1)-INDEX($E$185:$M$185,0,AH$199))+AE207)))</f>
        <v>1.4694762168121909</v>
      </c>
      <c r="AI207" s="3" cm="1">
        <f t="array" ref="AI207">IF(AI$199=-1,AJ207,IF(AI$199=99,AH207,IF(AI$199=0,INDEX($E193:$M193,0,AI$197),(INDEX($E193:$M193,0,AI$199+1)-INDEX($E193:$M193,0,AI$199))/(INDEX($E$185:$M$185,0,AI$199+1)-INDEX($E$185:$M$185,0,AI$199))+AH207)))</f>
        <v>1.5712807158053483</v>
      </c>
      <c r="AJ207" s="3" cm="1">
        <f t="array" ref="AJ207">IF(AJ$199=-1,AK207,IF(AJ$199=99,AI207,IF(AJ$199=0,INDEX($E193:$M193,0,AJ$197),(INDEX($E193:$M193,0,AJ$199+1)-INDEX($E193:$M193,0,AJ$199))/(INDEX($E$185:$M$185,0,AJ$199+1)-INDEX($E$185:$M$185,0,AJ$199))+AI207)))</f>
        <v>1.6730852147985058</v>
      </c>
      <c r="AK207" s="3" cm="1">
        <f t="array" ref="AK207">IF(AK$199=-1,AL207,IF(AK$199=99,AJ207,IF(AK$199=0,INDEX($E193:$M193,0,AK$197),(INDEX($E193:$M193,0,AK$199+1)-INDEX($E193:$M193,0,AK$199))/(INDEX($E$185:$M$185,0,AK$199+1)-INDEX($E$185:$M$185,0,AK$199))+AJ207)))</f>
        <v>1.7748897137916633</v>
      </c>
      <c r="AL207" s="3" cm="1">
        <f t="array" ref="AL207">IF(AL$199=-1,AM207,IF(AL$199=99,AK207,IF(AL$199=0,INDEX($E193:$M193,0,AL$197),(INDEX($E193:$M193,0,AL$199+1)-INDEX($E193:$M193,0,AL$199))/(INDEX($E$185:$M$185,0,AL$199+1)-INDEX($E$185:$M$185,0,AL$199))+AK207)))</f>
        <v>1.8766942127848207</v>
      </c>
      <c r="AM207" s="3" cm="1">
        <f t="array" ref="AM207">IF(AM$199=-1,AO207,IF(AM$199=99,AL207,IF(AM$199=0,INDEX($E193:$M193,0,AM$197),(INDEX($E193:$M193,0,AM$199+1)-INDEX($E193:$M193,0,AM$199))/(INDEX($E$185:$M$185,0,AM$199+1)-INDEX($E$185:$M$185,0,AM$199))+AL207)))</f>
        <v>1.9784987117779782</v>
      </c>
      <c r="AN207" s="3" cm="1">
        <f t="array" ref="AN207">IF(AN$199=-1,AP207,IF(AN$199=99,AL207,IF(AN$199=0,INDEX($E193:$M193,0,AN$197),(INDEX($E193:$M193,0,AN$199+1)-INDEX($E193:$M193,0,AN$199))/(INDEX($E$185:$M$185,0,AN$199+1)-INDEX($E$185:$M$185,0,AN$199))+AL207)))</f>
        <v>1.9784987117779782</v>
      </c>
      <c r="AO207" s="3" cm="1">
        <f t="array" ref="AO207">IF(AO$199=-1,AQ207,IF(AO$199=99,AM207,IF(AO$199=0,INDEX($E193:$M193,0,AO$197),(INDEX($E193:$M193,0,AO$199+1)-INDEX($E193:$M193,0,AO$199))/(INDEX($E$185:$M$185,0,AO$199+1)-INDEX($E$185:$M$185,0,AO$199))+AM207)))</f>
        <v>2.0803032107711359</v>
      </c>
      <c r="AP207" s="3" cm="1">
        <f t="array" ref="AP207">IF(AP$199=-1,AR207,IF(AP$199=99,AO207,IF(AP$199=0,INDEX($E193:$M193,0,AP$197),(INDEX($E193:$M193,0,AP$199+1)-INDEX($E193:$M193,0,AP$199))/(INDEX($E$185:$M$185,0,AP$199+1)-INDEX($E$185:$M$185,0,AP$199))+AO207)))</f>
        <v>2.1821077097642934</v>
      </c>
      <c r="AQ207" s="3" cm="1">
        <f t="array" ref="AQ207">IF(AQ$199=-1,AR207,IF(AQ$199=99,AO207,IF(AQ$199=0,INDEX($E193:$M193,0,AQ$197),(INDEX($E193:$M193,0,AQ$199+1)-INDEX($E193:$M193,0,AQ$199))/(INDEX($E$185:$M$185,0,AQ$199+1)-INDEX($E$185:$M$185,0,AQ$199))+AO207)))</f>
        <v>2.1821077097642934</v>
      </c>
      <c r="AR207" s="3" cm="1">
        <f t="array" ref="AR207">IF(AR$199=-1,AS207,IF(AR$199=99,AQ207,IF(AR$199=0,INDEX($E193:$M193,0,AR$197),(INDEX($E193:$M193,0,AR$199+1)-INDEX($E193:$M193,0,AR$199))/(INDEX($E$185:$M$185,0,AR$199+1)-INDEX($E$185:$M$185,0,AR$199))+AQ207)))</f>
        <v>2.2839122087574508</v>
      </c>
      <c r="AS207" s="3" cm="1">
        <f t="array" ref="AS207">IF(AS$199=-1,AT207,IF(AS$199=99,AR207,IF(AS$199=0,INDEX($E193:$M193,0,AS$197),(INDEX($E193:$M193,0,AS$199+1)-INDEX($E193:$M193,0,AS$199))/(INDEX($E$185:$M$185,0,AS$199+1)-INDEX($E$185:$M$185,0,AS$199))+AR207)))</f>
        <v>2.3857167077506083</v>
      </c>
      <c r="AT207" s="3" cm="1">
        <f t="array" ref="AT207">IF(AT$199=-1,AU207,IF(AT$199=99,AS207,IF(AT$199=0,INDEX($E193:$M193,0,AT$197),(INDEX($E193:$M193,0,AT$199+1)-INDEX($E193:$M193,0,AT$199))/(INDEX($E$185:$M$185,0,AT$199+1)-INDEX($E$185:$M$185,0,AT$199))+AS207)))</f>
        <v>2.4875212067437662</v>
      </c>
      <c r="AU207" s="245">
        <f t="shared" si="517"/>
        <v>3.3725538357024973</v>
      </c>
      <c r="AV207" s="3" cm="1">
        <f t="array" ref="AV207">IF(AV$199=-1,AW207,IF(AV$199=99,AU207,IF(AV$199=0,INDEX($E193:$M193,0,AV$197),(INDEX($E193:$M193,0,AV$199+1)-INDEX($E193:$M193,0,AV$199))/(INDEX($E$185:$M$185,0,AV$199+1)-INDEX($E$185:$M$185,0,AV$199))+AU207)))</f>
        <v>4.2575864646612285</v>
      </c>
      <c r="AW207" s="3" cm="1">
        <f t="array" ref="AW207">IF(AW$199=-1,AX207,IF(AW$199=99,AV207,IF(AW$199=0,INDEX($E193:$M193,0,AW$197),(INDEX($E193:$M193,0,AW$199+1)-INDEX($E193:$M193,0,AW$199))/(INDEX($E$185:$M$185,0,AW$199+1)-INDEX($E$185:$M$185,0,AW$199))+AV207)))</f>
        <v>5.5494308972229671</v>
      </c>
      <c r="AX207" s="3" cm="1">
        <f t="array" ref="AX207">IF(AX$199=-1,AY207,IF(AX$199=99,AW207,IF(AX$199=0,INDEX($E193:$M193,0,AX$197),(INDEX($E193:$M193,0,AX$199+1)-INDEX($E193:$M193,0,AX$199))/(INDEX($E$185:$M$185,0,AX$199+1)-INDEX($E$185:$M$185,0,AX$199))+AW207)))</f>
        <v>6.5688265757783757</v>
      </c>
      <c r="AY207" s="3"/>
      <c r="BB207" s="3"/>
      <c r="BC207" s="3"/>
      <c r="BM207" s="3"/>
      <c r="BN207" s="92"/>
    </row>
    <row r="208" spans="1:66">
      <c r="E208" t="s">
        <v>16</v>
      </c>
      <c r="J208"/>
      <c r="K208" s="3"/>
      <c r="L208" s="3"/>
      <c r="M208" s="3"/>
      <c r="P208" s="3"/>
    </row>
    <row r="209" spans="1:63" ht="23.25">
      <c r="E209" t="s">
        <v>16</v>
      </c>
      <c r="F209" s="10" t="s">
        <v>19</v>
      </c>
      <c r="G209" s="10" t="s">
        <v>22</v>
      </c>
      <c r="H209" s="10" t="s">
        <v>23</v>
      </c>
      <c r="I209" s="10" t="s">
        <v>24</v>
      </c>
      <c r="J209" s="10" t="s">
        <v>594</v>
      </c>
      <c r="K209" s="10" t="s">
        <v>623</v>
      </c>
      <c r="L209" s="10" t="s">
        <v>624</v>
      </c>
      <c r="M209" s="11" t="s">
        <v>25</v>
      </c>
      <c r="N209" s="3"/>
      <c r="R209" s="198"/>
    </row>
    <row r="210" spans="1:63">
      <c r="E210" s="97" t="s">
        <v>16</v>
      </c>
      <c r="F210" s="98">
        <v>1</v>
      </c>
      <c r="G210" s="98">
        <v>2017</v>
      </c>
      <c r="H210" s="98">
        <v>2019</v>
      </c>
      <c r="I210" s="98">
        <v>2020</v>
      </c>
      <c r="J210" s="98">
        <v>2021</v>
      </c>
      <c r="K210" s="98">
        <v>2030</v>
      </c>
      <c r="L210" s="98">
        <v>2040</v>
      </c>
      <c r="M210" s="103">
        <v>2050</v>
      </c>
      <c r="N210" s="3">
        <v>2060</v>
      </c>
      <c r="O210">
        <v>2070</v>
      </c>
      <c r="R210" s="198"/>
    </row>
    <row r="211" spans="1:63">
      <c r="E211" s="31"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198"/>
    </row>
    <row r="212" spans="1:63">
      <c r="E212" s="31" t="s">
        <v>16</v>
      </c>
      <c r="F212">
        <v>-1</v>
      </c>
      <c r="G212">
        <v>0</v>
      </c>
      <c r="H212">
        <v>1</v>
      </c>
      <c r="I212">
        <v>2</v>
      </c>
      <c r="J212">
        <v>3</v>
      </c>
      <c r="K212">
        <v>4</v>
      </c>
      <c r="L212">
        <v>5</v>
      </c>
      <c r="M212">
        <v>6</v>
      </c>
      <c r="N212">
        <v>7</v>
      </c>
      <c r="O212">
        <v>8</v>
      </c>
      <c r="R212" s="198"/>
    </row>
    <row r="213" spans="1:63">
      <c r="E213" s="99" t="s">
        <v>16</v>
      </c>
      <c r="F213" s="100"/>
      <c r="G213" s="100"/>
      <c r="H213" s="100"/>
      <c r="I213" s="100"/>
      <c r="J213" s="100"/>
      <c r="K213" s="100"/>
      <c r="L213" s="100"/>
      <c r="M213" s="100"/>
    </row>
    <row r="214" spans="1:63">
      <c r="E214" s="99" t="s">
        <v>16</v>
      </c>
      <c r="J214"/>
      <c r="N214" s="12">
        <v>2017</v>
      </c>
      <c r="O214" s="12">
        <f t="shared" ref="O214:AP214" si="518">1+N214</f>
        <v>2018</v>
      </c>
      <c r="P214" s="12">
        <f t="shared" si="518"/>
        <v>2019</v>
      </c>
      <c r="Q214" s="12">
        <f t="shared" si="518"/>
        <v>2020</v>
      </c>
      <c r="R214" s="12">
        <f t="shared" si="518"/>
        <v>2021</v>
      </c>
      <c r="S214" s="12">
        <f t="shared" si="518"/>
        <v>2022</v>
      </c>
      <c r="T214" s="12">
        <f t="shared" si="518"/>
        <v>2023</v>
      </c>
      <c r="U214" s="12">
        <f>1+S214</f>
        <v>2023</v>
      </c>
      <c r="V214" s="12">
        <f>1+S214</f>
        <v>2023</v>
      </c>
      <c r="W214" s="12">
        <f>1+T214</f>
        <v>2024</v>
      </c>
      <c r="X214" s="12">
        <f t="shared" si="518"/>
        <v>2025</v>
      </c>
      <c r="Y214" s="12">
        <f t="shared" si="518"/>
        <v>2026</v>
      </c>
      <c r="Z214" s="12">
        <f t="shared" si="518"/>
        <v>2027</v>
      </c>
      <c r="AA214" s="12">
        <f t="shared" si="518"/>
        <v>2028</v>
      </c>
      <c r="AB214" s="12">
        <f t="shared" si="518"/>
        <v>2029</v>
      </c>
      <c r="AC214" s="12">
        <f t="shared" si="518"/>
        <v>2030</v>
      </c>
      <c r="AD214" s="12">
        <f t="shared" si="518"/>
        <v>2031</v>
      </c>
      <c r="AE214" s="12">
        <f t="shared" si="518"/>
        <v>2032</v>
      </c>
      <c r="AF214" s="12">
        <f>1+AD214</f>
        <v>2032</v>
      </c>
      <c r="AG214" s="12">
        <f>1+AD214</f>
        <v>2032</v>
      </c>
      <c r="AH214" s="12">
        <f>1+AE214</f>
        <v>2033</v>
      </c>
      <c r="AI214" s="12">
        <f t="shared" si="518"/>
        <v>2034</v>
      </c>
      <c r="AJ214" s="12">
        <f t="shared" si="518"/>
        <v>2035</v>
      </c>
      <c r="AK214" s="12">
        <f t="shared" si="518"/>
        <v>2036</v>
      </c>
      <c r="AL214" s="12">
        <f t="shared" si="518"/>
        <v>2037</v>
      </c>
      <c r="AM214" s="12">
        <f t="shared" si="518"/>
        <v>2038</v>
      </c>
      <c r="AN214" s="12">
        <f>1+AL214</f>
        <v>2038</v>
      </c>
      <c r="AO214" s="12">
        <f>1+AM214</f>
        <v>2039</v>
      </c>
      <c r="AP214" s="12">
        <f t="shared" si="518"/>
        <v>2040</v>
      </c>
      <c r="AQ214" s="12">
        <f>1+AO214</f>
        <v>2040</v>
      </c>
      <c r="AR214" s="12">
        <v>2045</v>
      </c>
      <c r="AS214" s="12">
        <v>2050</v>
      </c>
      <c r="AT214" s="12">
        <v>2060</v>
      </c>
      <c r="AU214" s="12">
        <v>2070</v>
      </c>
      <c r="AV214" s="12"/>
      <c r="AY214" s="12"/>
      <c r="AZ214" s="12"/>
      <c r="BJ214" s="12"/>
      <c r="BK214" s="12"/>
    </row>
    <row r="215" spans="1:63" s="98" customFormat="1">
      <c r="A215"/>
      <c r="B215"/>
      <c r="C215"/>
      <c r="D215"/>
      <c r="E215" s="99" t="s">
        <v>16</v>
      </c>
      <c r="N215" s="98">
        <f t="shared" ref="N215:AS215" si="519">MATCH(N$214,$G$210:$M$210,$F210)</f>
        <v>1</v>
      </c>
      <c r="O215" s="98">
        <f t="shared" si="519"/>
        <v>1</v>
      </c>
      <c r="P215" s="98">
        <f t="shared" si="519"/>
        <v>2</v>
      </c>
      <c r="Q215" s="98">
        <f t="shared" si="519"/>
        <v>3</v>
      </c>
      <c r="R215" s="98">
        <f t="shared" si="519"/>
        <v>4</v>
      </c>
      <c r="S215" s="98">
        <f t="shared" si="519"/>
        <v>4</v>
      </c>
      <c r="T215" s="98">
        <f t="shared" si="519"/>
        <v>4</v>
      </c>
      <c r="U215" s="98">
        <f t="shared" si="519"/>
        <v>4</v>
      </c>
      <c r="V215" s="98">
        <f t="shared" si="519"/>
        <v>4</v>
      </c>
      <c r="W215" s="98">
        <f t="shared" si="519"/>
        <v>4</v>
      </c>
      <c r="X215" s="98">
        <f t="shared" si="519"/>
        <v>4</v>
      </c>
      <c r="Y215" s="98">
        <f t="shared" si="519"/>
        <v>4</v>
      </c>
      <c r="Z215" s="98">
        <f t="shared" si="519"/>
        <v>4</v>
      </c>
      <c r="AA215" s="98">
        <f t="shared" si="519"/>
        <v>4</v>
      </c>
      <c r="AB215" s="98">
        <f t="shared" si="519"/>
        <v>4</v>
      </c>
      <c r="AC215" s="98">
        <f t="shared" si="519"/>
        <v>5</v>
      </c>
      <c r="AD215" s="98">
        <f t="shared" si="519"/>
        <v>5</v>
      </c>
      <c r="AE215" s="98">
        <f t="shared" si="519"/>
        <v>5</v>
      </c>
      <c r="AF215" s="98">
        <f t="shared" si="519"/>
        <v>5</v>
      </c>
      <c r="AG215" s="98">
        <f t="shared" si="519"/>
        <v>5</v>
      </c>
      <c r="AH215" s="98">
        <f t="shared" si="519"/>
        <v>5</v>
      </c>
      <c r="AI215" s="98">
        <f t="shared" si="519"/>
        <v>5</v>
      </c>
      <c r="AJ215" s="98">
        <f t="shared" si="519"/>
        <v>5</v>
      </c>
      <c r="AK215" s="98">
        <f t="shared" si="519"/>
        <v>5</v>
      </c>
      <c r="AL215" s="98">
        <f t="shared" si="519"/>
        <v>5</v>
      </c>
      <c r="AM215" s="98">
        <f t="shared" si="519"/>
        <v>5</v>
      </c>
      <c r="AN215" s="98">
        <f t="shared" si="519"/>
        <v>5</v>
      </c>
      <c r="AO215" s="98">
        <f t="shared" si="519"/>
        <v>5</v>
      </c>
      <c r="AP215" s="98">
        <f t="shared" si="519"/>
        <v>6</v>
      </c>
      <c r="AQ215" s="98">
        <f t="shared" si="519"/>
        <v>6</v>
      </c>
      <c r="AR215" s="98">
        <f t="shared" si="519"/>
        <v>6</v>
      </c>
      <c r="AS215" s="98">
        <f t="shared" si="519"/>
        <v>7</v>
      </c>
      <c r="AT215" s="98">
        <f>MATCH(AT$214,$G$210:$O$210,$F210)</f>
        <v>8</v>
      </c>
      <c r="AU215" s="98">
        <f>MATCH(AU$214,$G$210:$O$210,$F210)</f>
        <v>9</v>
      </c>
      <c r="BJ215" s="97"/>
    </row>
    <row r="216" spans="1:63">
      <c r="E216" s="99" t="s">
        <v>16</v>
      </c>
      <c r="J216"/>
      <c r="N216">
        <f t="shared" ref="N216:AS216" si="520">MATCH(N$214,$G$210:$M$210,$F211)</f>
        <v>1</v>
      </c>
      <c r="O216" t="e">
        <f t="shared" si="520"/>
        <v>#N/A</v>
      </c>
      <c r="P216">
        <f t="shared" si="520"/>
        <v>2</v>
      </c>
      <c r="Q216">
        <f t="shared" si="520"/>
        <v>3</v>
      </c>
      <c r="R216">
        <f t="shared" si="520"/>
        <v>4</v>
      </c>
      <c r="S216" t="e">
        <f t="shared" si="520"/>
        <v>#N/A</v>
      </c>
      <c r="T216" t="e">
        <f t="shared" si="520"/>
        <v>#N/A</v>
      </c>
      <c r="U216" t="e">
        <f t="shared" si="520"/>
        <v>#N/A</v>
      </c>
      <c r="V216" t="e">
        <f t="shared" si="520"/>
        <v>#N/A</v>
      </c>
      <c r="W216" t="e">
        <f t="shared" si="520"/>
        <v>#N/A</v>
      </c>
      <c r="X216" t="e">
        <f t="shared" si="520"/>
        <v>#N/A</v>
      </c>
      <c r="Y216" t="e">
        <f t="shared" si="520"/>
        <v>#N/A</v>
      </c>
      <c r="Z216" t="e">
        <f t="shared" si="520"/>
        <v>#N/A</v>
      </c>
      <c r="AA216" t="e">
        <f t="shared" si="520"/>
        <v>#N/A</v>
      </c>
      <c r="AB216" t="e">
        <f t="shared" si="520"/>
        <v>#N/A</v>
      </c>
      <c r="AC216">
        <f t="shared" si="520"/>
        <v>5</v>
      </c>
      <c r="AD216" t="e">
        <f t="shared" si="520"/>
        <v>#N/A</v>
      </c>
      <c r="AE216" t="e">
        <f t="shared" si="520"/>
        <v>#N/A</v>
      </c>
      <c r="AF216" t="e">
        <f t="shared" si="520"/>
        <v>#N/A</v>
      </c>
      <c r="AG216" t="e">
        <f t="shared" si="520"/>
        <v>#N/A</v>
      </c>
      <c r="AH216" t="e">
        <f t="shared" si="520"/>
        <v>#N/A</v>
      </c>
      <c r="AI216" t="e">
        <f t="shared" si="520"/>
        <v>#N/A</v>
      </c>
      <c r="AJ216" t="e">
        <f t="shared" si="520"/>
        <v>#N/A</v>
      </c>
      <c r="AK216" t="e">
        <f t="shared" si="520"/>
        <v>#N/A</v>
      </c>
      <c r="AL216" t="e">
        <f t="shared" si="520"/>
        <v>#N/A</v>
      </c>
      <c r="AM216" t="e">
        <f t="shared" si="520"/>
        <v>#N/A</v>
      </c>
      <c r="AN216" t="e">
        <f t="shared" si="520"/>
        <v>#N/A</v>
      </c>
      <c r="AO216" t="e">
        <f t="shared" si="520"/>
        <v>#N/A</v>
      </c>
      <c r="AP216">
        <f t="shared" si="520"/>
        <v>6</v>
      </c>
      <c r="AQ216">
        <f t="shared" si="520"/>
        <v>6</v>
      </c>
      <c r="AR216" t="e">
        <f t="shared" si="520"/>
        <v>#N/A</v>
      </c>
      <c r="AS216">
        <f t="shared" si="520"/>
        <v>7</v>
      </c>
      <c r="AT216">
        <f>MATCH(AT$214,$G$210:$O$210,$F211)</f>
        <v>8</v>
      </c>
      <c r="AU216">
        <f>MATCH(AU$214,$G$210:$O$210,$F211)</f>
        <v>9</v>
      </c>
      <c r="BJ216" s="31"/>
    </row>
    <row r="217" spans="1:63">
      <c r="E217" s="99" t="s">
        <v>16</v>
      </c>
      <c r="J217"/>
      <c r="N217">
        <f t="shared" ref="N217:AS217" si="521">MATCH(N$214,$G$211:$M$211,$F212)</f>
        <v>7</v>
      </c>
      <c r="O217">
        <f t="shared" si="521"/>
        <v>7</v>
      </c>
      <c r="P217">
        <f t="shared" si="521"/>
        <v>7</v>
      </c>
      <c r="Q217">
        <f t="shared" si="521"/>
        <v>7</v>
      </c>
      <c r="R217">
        <f t="shared" si="521"/>
        <v>6</v>
      </c>
      <c r="S217">
        <f t="shared" si="521"/>
        <v>5</v>
      </c>
      <c r="T217">
        <f t="shared" si="521"/>
        <v>5</v>
      </c>
      <c r="U217">
        <f t="shared" si="521"/>
        <v>5</v>
      </c>
      <c r="V217">
        <f t="shared" si="521"/>
        <v>5</v>
      </c>
      <c r="W217">
        <f t="shared" si="521"/>
        <v>5</v>
      </c>
      <c r="X217">
        <f t="shared" si="521"/>
        <v>5</v>
      </c>
      <c r="Y217">
        <f t="shared" si="521"/>
        <v>5</v>
      </c>
      <c r="Z217">
        <f t="shared" si="521"/>
        <v>5</v>
      </c>
      <c r="AA217">
        <f t="shared" si="521"/>
        <v>5</v>
      </c>
      <c r="AB217">
        <f t="shared" si="521"/>
        <v>5</v>
      </c>
      <c r="AC217">
        <f t="shared" si="521"/>
        <v>5</v>
      </c>
      <c r="AD217">
        <f t="shared" si="521"/>
        <v>4</v>
      </c>
      <c r="AE217">
        <f t="shared" si="521"/>
        <v>4</v>
      </c>
      <c r="AF217">
        <f t="shared" si="521"/>
        <v>4</v>
      </c>
      <c r="AG217">
        <f t="shared" si="521"/>
        <v>4</v>
      </c>
      <c r="AH217">
        <f t="shared" si="521"/>
        <v>4</v>
      </c>
      <c r="AI217">
        <f t="shared" si="521"/>
        <v>4</v>
      </c>
      <c r="AJ217">
        <f t="shared" si="521"/>
        <v>4</v>
      </c>
      <c r="AK217">
        <f t="shared" si="521"/>
        <v>4</v>
      </c>
      <c r="AL217">
        <f t="shared" si="521"/>
        <v>4</v>
      </c>
      <c r="AM217">
        <f t="shared" si="521"/>
        <v>4</v>
      </c>
      <c r="AN217">
        <f t="shared" si="521"/>
        <v>4</v>
      </c>
      <c r="AO217">
        <f t="shared" si="521"/>
        <v>4</v>
      </c>
      <c r="AP217">
        <f t="shared" si="521"/>
        <v>4</v>
      </c>
      <c r="AQ217">
        <f t="shared" si="521"/>
        <v>4</v>
      </c>
      <c r="AR217">
        <f t="shared" si="521"/>
        <v>3</v>
      </c>
      <c r="AS217">
        <f t="shared" si="521"/>
        <v>3</v>
      </c>
      <c r="AT217">
        <f>MATCH(AT$214,$G$211:$O$211,$F212)</f>
        <v>2</v>
      </c>
      <c r="AU217">
        <f>MATCH(AU$214,$G$211:$O$211,$F212)</f>
        <v>1</v>
      </c>
    </row>
    <row r="218" spans="1:63" s="100" customFormat="1">
      <c r="E218" s="99" t="s">
        <v>16</v>
      </c>
      <c r="N218" s="66">
        <f t="shared" ref="N218:AU218" si="522">IF(ISNA(N215),-1,IF(ISNA(N217),99,IF(ISNA(N216),N215,0)))</f>
        <v>0</v>
      </c>
      <c r="O218" s="66">
        <f t="shared" si="522"/>
        <v>1</v>
      </c>
      <c r="P218" s="66">
        <f t="shared" si="522"/>
        <v>0</v>
      </c>
      <c r="Q218" s="66">
        <f t="shared" si="522"/>
        <v>0</v>
      </c>
      <c r="R218" s="66">
        <f t="shared" si="522"/>
        <v>0</v>
      </c>
      <c r="S218" s="66">
        <f t="shared" si="522"/>
        <v>4</v>
      </c>
      <c r="T218" s="66">
        <f t="shared" si="522"/>
        <v>4</v>
      </c>
      <c r="U218" s="66">
        <f t="shared" ref="U218:V218" si="523">IF(ISNA(U215),-1,IF(ISNA(U217),99,IF(ISNA(U216),U215,0)))</f>
        <v>4</v>
      </c>
      <c r="V218" s="66">
        <f t="shared" si="523"/>
        <v>4</v>
      </c>
      <c r="W218" s="66">
        <f t="shared" si="522"/>
        <v>4</v>
      </c>
      <c r="X218" s="66">
        <f t="shared" si="522"/>
        <v>4</v>
      </c>
      <c r="Y218" s="66">
        <f t="shared" si="522"/>
        <v>4</v>
      </c>
      <c r="Z218" s="66">
        <f t="shared" si="522"/>
        <v>4</v>
      </c>
      <c r="AA218" s="66">
        <f t="shared" si="522"/>
        <v>4</v>
      </c>
      <c r="AB218" s="66">
        <f t="shared" si="522"/>
        <v>4</v>
      </c>
      <c r="AC218" s="66">
        <f t="shared" si="522"/>
        <v>0</v>
      </c>
      <c r="AD218" s="66">
        <f t="shared" si="522"/>
        <v>5</v>
      </c>
      <c r="AE218" s="66">
        <f t="shared" si="522"/>
        <v>5</v>
      </c>
      <c r="AF218" s="66">
        <f t="shared" ref="AF218:AG218" si="524">IF(ISNA(AF215),-1,IF(ISNA(AF217),99,IF(ISNA(AF216),AF215,0)))</f>
        <v>5</v>
      </c>
      <c r="AG218" s="66">
        <f t="shared" si="524"/>
        <v>5</v>
      </c>
      <c r="AH218" s="66">
        <f t="shared" si="522"/>
        <v>5</v>
      </c>
      <c r="AI218" s="66">
        <f t="shared" si="522"/>
        <v>5</v>
      </c>
      <c r="AJ218" s="66">
        <f t="shared" si="522"/>
        <v>5</v>
      </c>
      <c r="AK218" s="66">
        <f t="shared" si="522"/>
        <v>5</v>
      </c>
      <c r="AL218" s="66">
        <f t="shared" si="522"/>
        <v>5</v>
      </c>
      <c r="AM218" s="66">
        <f t="shared" si="522"/>
        <v>5</v>
      </c>
      <c r="AN218" s="66">
        <f t="shared" ref="AN218" si="525">IF(ISNA(AN215),-1,IF(ISNA(AN217),99,IF(ISNA(AN216),AN215,0)))</f>
        <v>5</v>
      </c>
      <c r="AO218" s="66">
        <f t="shared" si="522"/>
        <v>5</v>
      </c>
      <c r="AP218" s="66">
        <f t="shared" ref="AP218" si="526">IF(ISNA(AP215),-1,IF(ISNA(AP217),99,IF(ISNA(AP216),AP215,0)))</f>
        <v>0</v>
      </c>
      <c r="AQ218" s="66">
        <f t="shared" si="522"/>
        <v>0</v>
      </c>
      <c r="AR218" s="66">
        <f t="shared" si="522"/>
        <v>6</v>
      </c>
      <c r="AS218" s="66">
        <f t="shared" si="522"/>
        <v>0</v>
      </c>
      <c r="AT218" s="66">
        <f t="shared" si="522"/>
        <v>0</v>
      </c>
      <c r="AU218" s="66">
        <f t="shared" si="522"/>
        <v>0</v>
      </c>
      <c r="AV218" s="66"/>
      <c r="AY218" s="66"/>
      <c r="AZ218" s="66"/>
      <c r="BJ218" s="66"/>
      <c r="BK218" s="66"/>
    </row>
    <row r="219" spans="1:63">
      <c r="F219" s="15" t="str">
        <f t="shared" ref="F219:F226" si="527">IF(E219="*","","COM_PROJ")</f>
        <v>COM_PROJ</v>
      </c>
      <c r="G219" s="16" t="str">
        <f t="shared" ref="G219:G226" si="528">IF($E219="*","","-")</f>
        <v>-</v>
      </c>
      <c r="H219" s="43" t="str">
        <f t="shared" ref="H219:H226" si="529">B186</f>
        <v>TPPRCAR</v>
      </c>
      <c r="I219" s="16" t="str">
        <f t="shared" ref="I219:L226" si="530">IF($E219="*","","-")</f>
        <v>-</v>
      </c>
      <c r="J219" s="16" t="str">
        <f t="shared" si="530"/>
        <v>-</v>
      </c>
      <c r="K219" s="16" t="str">
        <f t="shared" si="530"/>
        <v>-</v>
      </c>
      <c r="L219" s="16" t="str">
        <f t="shared" si="530"/>
        <v>-</v>
      </c>
      <c r="M219" s="15">
        <f t="shared" ref="M219:M226" si="531">IF(E219="*","",0)</f>
        <v>0</v>
      </c>
      <c r="N219" s="3" cm="1">
        <f t="array" ref="N219">IF(N$218=-1,O219,IF(N$218=99,#REF!,IF(N$218=0,INDEX($E186:$M186,0,N$216),(INDEX($E186:$M186,0,N$218+1)-INDEX($E186:$M186,0,N$218))/(INDEX($E$185:$M$185,0,N$218+1)-INDEX($E$185:$M$185,0,N$218))+#REF!)))</f>
        <v>81.1386031348502</v>
      </c>
      <c r="O219" s="3" cm="1">
        <f t="array" ref="O219">IF(O$218=-1,P219,IF(O$218=99,N219,IF(O$218=0,INDEX($E186:$M186,0,O$216),(INDEX($E186:$M186,0,O$218+1)-INDEX($E186:$M186,0,O$218))/(INDEX($E$185:$M$185,0,O$218+1)-INDEX($E$185:$M$185,0,O$218))+N219)))</f>
        <v>82.877544068846106</v>
      </c>
      <c r="P219" s="3" cm="1">
        <f t="array" ref="P219">IF(P$218=-1,Q219,IF(P$218=99,O219,IF(P$218=0,INDEX($E186:$M186,0,P$216),(INDEX($E186:$M186,0,P$218+1)-INDEX($E186:$M186,0,P$218))/(INDEX($E$185:$M$185,0,P$218+1)-INDEX($E$185:$M$185,0,P$218))+O219)))</f>
        <v>84.616485002842012</v>
      </c>
      <c r="Q219" s="3" cm="1">
        <f t="array" ref="Q219">IF(Q$218=-1,R219,IF(Q$218=99,P219,IF(Q$218=0,INDEX($E186:$M186,0,Q$216),(INDEX($E186:$M186,0,Q$218+1)-INDEX($E186:$M186,0,Q$218))/(INDEX($E$185:$M$185,0,Q$218+1)-INDEX($E$185:$M$185,0,Q$218))+P219)))</f>
        <v>78.308349507973659</v>
      </c>
      <c r="R219" s="3" cm="1">
        <f t="array" ref="R219">IF(R$218=-1,S219,IF(R$218=99,Q219,IF(R$218=0,INDEX($E186:$M186,0,R$216),(INDEX($E186:$M186,0,R$218+1)-INDEX($E186:$M186,0,R$218))/(INDEX($E$185:$M$185,0,R$218+1)-INDEX($E$185:$M$185,0,R$218))+Q219)))</f>
        <v>83.011371976970224</v>
      </c>
      <c r="S219" s="3" cm="1">
        <f t="array" ref="S219">IF(S$218=-1,T219,IF(S$218=99,R219,IF(S$218=0,INDEX($E186:$M186,0,S$216),(INDEX($E186:$M186,0,S$218+1)-INDEX($E186:$M186,0,S$218))/(INDEX($E$185:$M$185,0,S$218+1)-INDEX($E$185:$M$185,0,S$218))+R219)))</f>
        <v>83.345339439927955</v>
      </c>
      <c r="T219" s="3" cm="1">
        <f t="array" ref="T219">IF(T$218=-1,W219,IF(T$218=99,S219,IF(T$218=0,INDEX($E186:$M186,0,T$216),(INDEX($E186:$M186,0,T$218+1)-INDEX($E186:$M186,0,T$218))/(INDEX($E$185:$M$185,0,T$218+1)-INDEX($E$185:$M$185,0,T$218))+S219)))</f>
        <v>83.679306902885685</v>
      </c>
      <c r="U219" s="3" cm="1">
        <f t="array" ref="U219">IF(U$218=-1,W219,IF(U$218=99,S219,IF(U$218=0,INDEX($E186:$M186,0,U$216),(INDEX($E186:$M186,0,U$218+1)-INDEX($E186:$M186,0,U$218))/(INDEX($E$185:$M$185,0,U$218+1)-INDEX($E$185:$M$185,0,U$218))+S219)))</f>
        <v>83.679306902885685</v>
      </c>
      <c r="V219" s="3" cm="1">
        <f t="array" ref="V219">IF(V$218=-1,W219,IF(V$218=99,S219,IF(V$218=0,INDEX($E186:$M186,0,V$216),(INDEX($E186:$M186,0,V$218+1)-INDEX($E186:$M186,0,V$218))/(INDEX($E$185:$M$185,0,V$218+1)-INDEX($E$185:$M$185,0,V$218))+S219)))</f>
        <v>83.679306902885685</v>
      </c>
      <c r="W219" s="3" cm="1">
        <f t="array" ref="W219">IF(W$218=-1,X219,IF(W$218=99,T219,IF(W$218=0,INDEX($E186:$M186,0,W$216),(INDEX($E186:$M186,0,W$218+1)-INDEX($E186:$M186,0,W$218))/(INDEX($E$185:$M$185,0,W$218+1)-INDEX($E$185:$M$185,0,W$218))+T219)))</f>
        <v>84.013274365843415</v>
      </c>
      <c r="X219" s="3" cm="1">
        <f t="array" ref="X219">IF(X$218=-1,Y219,IF(X$218=99,W219,IF(X$218=0,INDEX($E186:$M186,0,X$216),(INDEX($E186:$M186,0,X$218+1)-INDEX($E186:$M186,0,X$218))/(INDEX($E$185:$M$185,0,X$218+1)-INDEX($E$185:$M$185,0,X$218))+W219)))</f>
        <v>84.347241828801145</v>
      </c>
      <c r="Y219" s="3" cm="1">
        <f t="array" ref="Y219">IF(Y$218=-1,Z219,IF(Y$218=99,X219,IF(Y$218=0,INDEX($E186:$M186,0,Y$216),(INDEX($E186:$M186,0,Y$218+1)-INDEX($E186:$M186,0,Y$218))/(INDEX($E$185:$M$185,0,Y$218+1)-INDEX($E$185:$M$185,0,Y$218))+X219)))</f>
        <v>84.681209291758876</v>
      </c>
      <c r="Z219" s="3" cm="1">
        <f t="array" ref="Z219">IF(Z$218=-1,AA219,IF(Z$218=99,Y219,IF(Z$218=0,INDEX($E186:$M186,0,Z$216),(INDEX($E186:$M186,0,Z$218+1)-INDEX($E186:$M186,0,Z$218))/(INDEX($E$185:$M$185,0,Z$218+1)-INDEX($E$185:$M$185,0,Z$218))+Y219)))</f>
        <v>85.015176754716606</v>
      </c>
      <c r="AA219" s="3" cm="1">
        <f t="array" ref="AA219">IF(AA$218=-1,AB219,IF(AA$218=99,Z219,IF(AA$218=0,INDEX($E186:$M186,0,AA$216),(INDEX($E186:$M186,0,AA$218+1)-INDEX($E186:$M186,0,AA$218))/(INDEX($E$185:$M$185,0,AA$218+1)-INDEX($E$185:$M$185,0,AA$218))+Z219)))</f>
        <v>85.349144217674336</v>
      </c>
      <c r="AB219" s="3" cm="1">
        <f t="array" ref="AB219">IF(AB$218=-1,AC219,IF(AB$218=99,AA219,IF(AB$218=0,INDEX($E186:$M186,0,AB$216),(INDEX($E186:$M186,0,AB$218+1)-INDEX($E186:$M186,0,AB$218))/(INDEX($E$185:$M$185,0,AB$218+1)-INDEX($E$185:$M$185,0,AB$218))+AA219)))</f>
        <v>85.683111680632067</v>
      </c>
      <c r="AC219" s="3" cm="1">
        <f t="array" ref="AC219">IF(AC$218=-1,AD219,IF(AC$218=99,AB219,IF(AC$218=0,INDEX($E186:$M186,0,AC$216),(INDEX($E186:$M186,0,AC$218+1)-INDEX($E186:$M186,0,AC$218))/(INDEX($E$185:$M$185,0,AC$218+1)-INDEX($E$185:$M$185,0,AC$218))+AB219)))</f>
        <v>86.017079143589797</v>
      </c>
      <c r="AD219" s="3" cm="1">
        <f t="array" ref="AD219">IF(AD$218=-1,AE219,IF(AD$218=99,AC219,IF(AD$218=0,INDEX($E186:$M186,0,AD$216),(INDEX($E186:$M186,0,AD$218+1)-INDEX($E186:$M186,0,AD$218))/(INDEX($E$185:$M$185,0,AD$218+1)-INDEX($E$185:$M$185,0,AD$218))+AC219)))</f>
        <v>87.448677199003043</v>
      </c>
      <c r="AE219" s="3" cm="1">
        <f t="array" ref="AE219">IF(AE$218=-1,AH219,IF(AE$218=99,AD219,IF(AE$218=0,INDEX($E186:$M186,0,AE$216),(INDEX($E186:$M186,0,AE$218+1)-INDEX($E186:$M186,0,AE$218))/(INDEX($E$185:$M$185,0,AE$218+1)-INDEX($E$185:$M$185,0,AE$218))+AD219)))</f>
        <v>88.88027525441629</v>
      </c>
      <c r="AF219" s="3" cm="1">
        <f t="array" ref="AF219">IF(AF$218=-1,AH219,IF(AF$218=99,AD219,IF(AF$218=0,INDEX($E186:$M186,0,AF$216),(INDEX($E186:$M186,0,AF$218+1)-INDEX($E186:$M186,0,AF$218))/(INDEX($E$185:$M$185,0,AF$218+1)-INDEX($E$185:$M$185,0,AF$218))+AD219)))</f>
        <v>88.88027525441629</v>
      </c>
      <c r="AG219" s="3" cm="1">
        <f t="array" ref="AG219">IF(AG$218=-1,AH219,IF(AG$218=99,AD219,IF(AG$218=0,INDEX($E186:$M186,0,AG$216),(INDEX($E186:$M186,0,AG$218+1)-INDEX($E186:$M186,0,AG$218))/(INDEX($E$185:$M$185,0,AG$218+1)-INDEX($E$185:$M$185,0,AG$218))+AD219)))</f>
        <v>88.88027525441629</v>
      </c>
      <c r="AH219" s="3" cm="1">
        <f t="array" ref="AH219">IF(AH$218=-1,AI219,IF(AH$218=99,AE219,IF(AH$218=0,INDEX($E186:$M186,0,AH$216),(INDEX($E186:$M186,0,AH$218+1)-INDEX($E186:$M186,0,AH$218))/(INDEX($E$185:$M$185,0,AH$218+1)-INDEX($E$185:$M$185,0,AH$218))+AE219)))</f>
        <v>90.311873309829537</v>
      </c>
      <c r="AI219" s="3" cm="1">
        <f t="array" ref="AI219">IF(AI$218=-1,AJ219,IF(AI$218=99,AH219,IF(AI$218=0,INDEX($E186:$M186,0,AI$216),(INDEX($E186:$M186,0,AI$218+1)-INDEX($E186:$M186,0,AI$218))/(INDEX($E$185:$M$185,0,AI$218+1)-INDEX($E$185:$M$185,0,AI$218))+AH219)))</f>
        <v>91.743471365242783</v>
      </c>
      <c r="AJ219" s="3" cm="1">
        <f t="array" ref="AJ219">IF(AJ$218=-1,AK219,IF(AJ$218=99,AI219,IF(AJ$218=0,INDEX($E186:$M186,0,AJ$216),(INDEX($E186:$M186,0,AJ$218+1)-INDEX($E186:$M186,0,AJ$218))/(INDEX($E$185:$M$185,0,AJ$218+1)-INDEX($E$185:$M$185,0,AJ$218))+AI219)))</f>
        <v>93.17506942065603</v>
      </c>
      <c r="AK219" s="3" cm="1">
        <f t="array" ref="AK219">IF(AK$218=-1,AL219,IF(AK$218=99,AJ219,IF(AK$218=0,INDEX($E186:$M186,0,AK$216),(INDEX($E186:$M186,0,AK$218+1)-INDEX($E186:$M186,0,AK$218))/(INDEX($E$185:$M$185,0,AK$218+1)-INDEX($E$185:$M$185,0,AK$218))+AJ219)))</f>
        <v>94.606667476069276</v>
      </c>
      <c r="AL219" s="3" cm="1">
        <f t="array" ref="AL219">IF(AL$218=-1,AM219,IF(AL$218=99,AK219,IF(AL$218=0,INDEX($E186:$M186,0,AL$216),(INDEX($E186:$M186,0,AL$218+1)-INDEX($E186:$M186,0,AL$218))/(INDEX($E$185:$M$185,0,AL$218+1)-INDEX($E$185:$M$185,0,AL$218))+AK219)))</f>
        <v>96.038265531482523</v>
      </c>
      <c r="AM219" s="3" cm="1">
        <f t="array" ref="AM219">IF(AM$218=-1,AO219,IF(AM$218=99,AL219,IF(AM$218=0,INDEX($E186:$M186,0,AM$216),(INDEX($E186:$M186,0,AM$218+1)-INDEX($E186:$M186,0,AM$218))/(INDEX($E$185:$M$185,0,AM$218+1)-INDEX($E$185:$M$185,0,AM$218))+AL219)))</f>
        <v>97.469863586895769</v>
      </c>
      <c r="AN219" s="3" cm="1">
        <f t="array" ref="AN219">IF(AN$218=-1,AP219,IF(AN$218=99,AL219,IF(AN$218=0,INDEX($E186:$M186,0,AN$216),(INDEX($E186:$M186,0,AN$218+1)-INDEX($E186:$M186,0,AN$218))/(INDEX($E$185:$M$185,0,AN$218+1)-INDEX($E$185:$M$185,0,AN$218))+AL219)))</f>
        <v>97.469863586895769</v>
      </c>
      <c r="AO219" s="3" cm="1">
        <f t="array" ref="AO219">IF(AO$218=-1,AQ219,IF(AO$218=99,AM219,IF(AO$218=0,INDEX($E186:$M186,0,AO$216),(INDEX($E186:$M186,0,AO$218+1)-INDEX($E186:$M186,0,AO$218))/(INDEX($E$185:$M$185,0,AO$218+1)-INDEX($E$185:$M$185,0,AO$218))+AM219)))</f>
        <v>98.901461642309016</v>
      </c>
      <c r="AP219" s="3" cm="1">
        <f t="array" ref="AP219">IF(AP$218=-1,AR219,IF(AP$218=99,AO219,IF(AP$218=0,INDEX($E186:$M186,0,AP$216),(INDEX($E186:$M186,0,AP$218+1)-INDEX($E186:$M186,0,AP$218))/(INDEX($E$185:$M$185,0,AP$218+1)-INDEX($E$185:$M$185,0,AP$218))+AO219)))</f>
        <v>100.33305969772233</v>
      </c>
      <c r="AQ219" s="3" cm="1">
        <f t="array" ref="AQ219">IF(AQ$218=-1,AR219,IF(AQ$218=99,AO219,IF(AQ$218=0,INDEX($E186:$M186,0,AQ$216),(INDEX($E186:$M186,0,AQ$218+1)-INDEX($E186:$M186,0,AQ$218))/(INDEX($E$185:$M$185,0,AQ$218+1)-INDEX($E$185:$M$185,0,AQ$218))+AO219)))</f>
        <v>100.33305969772233</v>
      </c>
      <c r="AR219" s="245">
        <f>(AQ219+AS219)/2</f>
        <v>114.02004021832019</v>
      </c>
      <c r="AS219" s="3" cm="1">
        <f t="array" ref="AS219">IF(AS$218=-1,AT219,IF(AS$218=99,AR219,IF(AS$218=0,INDEX($E186:$M186,0,AS$216),(INDEX($E186:$M186,0,AS$218+1)-INDEX($E186:$M186,0,AS$218))/(INDEX($E$185:$M$185,0,AS$218+1)-INDEX($E$185:$M$185,0,AS$218))+AR219)))</f>
        <v>127.70702073891803</v>
      </c>
      <c r="AT219" s="3" cm="1">
        <f t="array" ref="AT219">IF(AT$218=-1,AU219,IF(AT$218=99,AS219,IF(AT$218=0,INDEX($E186:$M186,0,AT$216),(INDEX($E186:$M186,0,AT$218+1)-INDEX($E186:$M186,0,AT$218))/(INDEX($E$185:$M$185,0,AT$218+1)-INDEX($E$185:$M$185,0,AT$218))+AS219)))</f>
        <v>142.8009038136552</v>
      </c>
      <c r="AU219" s="3" cm="1">
        <f t="array" ref="AU219">IF(AU$218=-1,AV219,IF(AU$218=99,AT219,IF(AU$218=0,INDEX($E186:$M186,0,AU$216),(INDEX($E186:$M186,0,AU$218+1)-INDEX($E186:$M186,0,AU$218))/(INDEX($E$185:$M$185,0,AU$218+1)-INDEX($E$185:$M$185,0,AU$218))+AT219)))</f>
        <v>141.71981463375749</v>
      </c>
      <c r="AV219" s="3"/>
      <c r="AY219" s="3"/>
      <c r="AZ219" s="3"/>
      <c r="BJ219" s="3"/>
      <c r="BK219" s="92"/>
    </row>
    <row r="220" spans="1:63">
      <c r="F220" s="15" t="str">
        <f t="shared" si="527"/>
        <v>COM_PROJ</v>
      </c>
      <c r="G220" s="16" t="str">
        <f t="shared" si="528"/>
        <v>-</v>
      </c>
      <c r="H220" s="43" t="str">
        <f t="shared" si="529"/>
        <v>TPPRSUV</v>
      </c>
      <c r="I220" s="16" t="str">
        <f t="shared" si="530"/>
        <v>-</v>
      </c>
      <c r="J220" s="16" t="str">
        <f t="shared" si="530"/>
        <v>-</v>
      </c>
      <c r="K220" s="16" t="str">
        <f t="shared" si="530"/>
        <v>-</v>
      </c>
      <c r="L220" s="16" t="str">
        <f t="shared" si="530"/>
        <v>-</v>
      </c>
      <c r="M220" s="15">
        <f t="shared" si="531"/>
        <v>0</v>
      </c>
      <c r="N220" s="3" cm="1">
        <f t="array" ref="N220">IF(N$218=-1,O220,IF(N$218=99,#REF!,IF(N$218=0,INDEX($E187:$M187,0,N$216),(INDEX($E187:$M187,0,N$218+1)-INDEX($E187:$M187,0,N$218))/(INDEX($E$185:$M$185,0,N$218+1)-INDEX($E$185:$M$185,0,N$218))+#REF!)))</f>
        <v>17.754191802068</v>
      </c>
      <c r="O220" s="3" cm="1">
        <f t="array" ref="O220">IF(O$218=-1,P220,IF(O$218=99,N220,IF(O$218=0,INDEX($E187:$M187,0,O$216),(INDEX($E187:$M187,0,O$218+1)-INDEX($E187:$M187,0,O$218))/(INDEX($E$185:$M$185,0,O$218+1)-INDEX($E$185:$M$185,0,O$218))+N220)))</f>
        <v>17.867597432585967</v>
      </c>
      <c r="P220" s="3" cm="1">
        <f t="array" ref="P220">IF(P$218=-1,Q220,IF(P$218=99,O220,IF(P$218=0,INDEX($E187:$M187,0,P$216),(INDEX($E187:$M187,0,P$218+1)-INDEX($E187:$M187,0,P$218))/(INDEX($E$185:$M$185,0,P$218+1)-INDEX($E$185:$M$185,0,P$218))+O220)))</f>
        <v>17.98100306310393</v>
      </c>
      <c r="Q220" s="3" cm="1">
        <f t="array" ref="Q220">IF(Q$218=-1,R220,IF(Q$218=99,P220,IF(Q$218=0,INDEX($E187:$M187,0,Q$216),(INDEX($E187:$M187,0,Q$218+1)-INDEX($E187:$M187,0,Q$218))/(INDEX($E$185:$M$185,0,Q$218+1)-INDEX($E$185:$M$185,0,Q$218))+P220)))</f>
        <v>16.640524270444406</v>
      </c>
      <c r="R220" s="3" cm="1">
        <f t="array" ref="R220">IF(R$218=-1,S220,IF(R$218=99,Q220,IF(R$218=0,INDEX($E187:$M187,0,R$216),(INDEX($E187:$M187,0,R$218+1)-INDEX($E187:$M187,0,R$218))/(INDEX($E$185:$M$185,0,R$218+1)-INDEX($E$185:$M$185,0,R$218))+Q220)))</f>
        <v>17.639916545106175</v>
      </c>
      <c r="S220" s="3" cm="1">
        <f t="array" ref="S220">IF(S$218=-1,T220,IF(S$218=99,R220,IF(S$218=0,INDEX($E187:$M187,0,S$216),(INDEX($E187:$M187,0,S$218+1)-INDEX($E187:$M187,0,S$218))/(INDEX($E$185:$M$185,0,S$218+1)-INDEX($E$185:$M$185,0,S$218))+R220)))</f>
        <v>17.710884630984694</v>
      </c>
      <c r="T220" s="3" cm="1">
        <f t="array" ref="T220">IF(T$218=-1,W220,IF(T$218=99,S220,IF(T$218=0,INDEX($E187:$M187,0,T$216),(INDEX($E187:$M187,0,T$218+1)-INDEX($E187:$M187,0,T$218))/(INDEX($E$185:$M$185,0,T$218+1)-INDEX($E$185:$M$185,0,T$218))+S220)))</f>
        <v>17.781852716863213</v>
      </c>
      <c r="U220" s="3" cm="1">
        <f t="array" ref="U220">IF(U$218=-1,W220,IF(U$218=99,S220,IF(U$218=0,INDEX($E187:$M187,0,U$216),(INDEX($E187:$M187,0,U$218+1)-INDEX($E187:$M187,0,U$218))/(INDEX($E$185:$M$185,0,U$218+1)-INDEX($E$185:$M$185,0,U$218))+S220)))</f>
        <v>17.781852716863213</v>
      </c>
      <c r="V220" s="3" cm="1">
        <f t="array" ref="V220">IF(V$218=-1,W220,IF(V$218=99,S220,IF(V$218=0,INDEX($E187:$M187,0,V$216),(INDEX($E187:$M187,0,V$218+1)-INDEX($E187:$M187,0,V$218))/(INDEX($E$185:$M$185,0,V$218+1)-INDEX($E$185:$M$185,0,V$218))+S220)))</f>
        <v>17.781852716863213</v>
      </c>
      <c r="W220" s="3" cm="1">
        <f t="array" ref="W220">IF(W$218=-1,X220,IF(W$218=99,T220,IF(W$218=0,INDEX($E187:$M187,0,W$216),(INDEX($E187:$M187,0,W$218+1)-INDEX($E187:$M187,0,W$218))/(INDEX($E$185:$M$185,0,W$218+1)-INDEX($E$185:$M$185,0,W$218))+T220)))</f>
        <v>17.852820802741732</v>
      </c>
      <c r="X220" s="3" cm="1">
        <f t="array" ref="X220">IF(X$218=-1,Y220,IF(X$218=99,W220,IF(X$218=0,INDEX($E187:$M187,0,X$216),(INDEX($E187:$M187,0,X$218+1)-INDEX($E187:$M187,0,X$218))/(INDEX($E$185:$M$185,0,X$218+1)-INDEX($E$185:$M$185,0,X$218))+W220)))</f>
        <v>17.923788888620251</v>
      </c>
      <c r="Y220" s="3" cm="1">
        <f t="array" ref="Y220">IF(Y$218=-1,Z220,IF(Y$218=99,X220,IF(Y$218=0,INDEX($E187:$M187,0,Y$216),(INDEX($E187:$M187,0,Y$218+1)-INDEX($E187:$M187,0,Y$218))/(INDEX($E$185:$M$185,0,Y$218+1)-INDEX($E$185:$M$185,0,Y$218))+X220)))</f>
        <v>17.99475697449877</v>
      </c>
      <c r="Z220" s="3" cm="1">
        <f t="array" ref="Z220">IF(Z$218=-1,AA220,IF(Z$218=99,Y220,IF(Z$218=0,INDEX($E187:$M187,0,Z$216),(INDEX($E187:$M187,0,Z$218+1)-INDEX($E187:$M187,0,Z$218))/(INDEX($E$185:$M$185,0,Z$218+1)-INDEX($E$185:$M$185,0,Z$218))+Y220)))</f>
        <v>18.065725060377289</v>
      </c>
      <c r="AA220" s="3" cm="1">
        <f t="array" ref="AA220">IF(AA$218=-1,AB220,IF(AA$218=99,Z220,IF(AA$218=0,INDEX($E187:$M187,0,AA$216),(INDEX($E187:$M187,0,AA$218+1)-INDEX($E187:$M187,0,AA$218))/(INDEX($E$185:$M$185,0,AA$218+1)-INDEX($E$185:$M$185,0,AA$218))+Z220)))</f>
        <v>18.136693146255809</v>
      </c>
      <c r="AB220" s="3" cm="1">
        <f t="array" ref="AB220">IF(AB$218=-1,AC220,IF(AB$218=99,AA220,IF(AB$218=0,INDEX($E187:$M187,0,AB$216),(INDEX($E187:$M187,0,AB$218+1)-INDEX($E187:$M187,0,AB$218))/(INDEX($E$185:$M$185,0,AB$218+1)-INDEX($E$185:$M$185,0,AB$218))+AA220)))</f>
        <v>18.207661232134328</v>
      </c>
      <c r="AC220" s="3" cm="1">
        <f t="array" ref="AC220">IF(AC$218=-1,AD220,IF(AC$218=99,AB220,IF(AC$218=0,INDEX($E187:$M187,0,AC$216),(INDEX($E187:$M187,0,AC$218+1)-INDEX($E187:$M187,0,AC$218))/(INDEX($E$185:$M$185,0,AC$218+1)-INDEX($E$185:$M$185,0,AC$218))+AB220)))</f>
        <v>18.278629318012836</v>
      </c>
      <c r="AD220" s="3" cm="1">
        <f t="array" ref="AD220">IF(AD$218=-1,AE220,IF(AD$218=99,AC220,IF(AD$218=0,INDEX($E187:$M187,0,AD$216),(INDEX($E187:$M187,0,AD$218+1)-INDEX($E187:$M187,0,AD$218))/(INDEX($E$185:$M$185,0,AD$218+1)-INDEX($E$185:$M$185,0,AD$218))+AC220)))</f>
        <v>18.582843904788152</v>
      </c>
      <c r="AE220" s="3" cm="1">
        <f t="array" ref="AE220">IF(AE$218=-1,AH220,IF(AE$218=99,AD220,IF(AE$218=0,INDEX($E187:$M187,0,AE$216),(INDEX($E187:$M187,0,AE$218+1)-INDEX($E187:$M187,0,AE$218))/(INDEX($E$185:$M$185,0,AE$218+1)-INDEX($E$185:$M$185,0,AE$218))+AD220)))</f>
        <v>18.887058491563469</v>
      </c>
      <c r="AF220" s="3" cm="1">
        <f t="array" ref="AF220">IF(AF$218=-1,AH220,IF(AF$218=99,AD220,IF(AF$218=0,INDEX($E187:$M187,0,AF$216),(INDEX($E187:$M187,0,AF$218+1)-INDEX($E187:$M187,0,AF$218))/(INDEX($E$185:$M$185,0,AF$218+1)-INDEX($E$185:$M$185,0,AF$218))+AD220)))</f>
        <v>18.887058491563469</v>
      </c>
      <c r="AG220" s="3" cm="1">
        <f t="array" ref="AG220">IF(AG$218=-1,AH220,IF(AG$218=99,AD220,IF(AG$218=0,INDEX($E187:$M187,0,AG$216),(INDEX($E187:$M187,0,AG$218+1)-INDEX($E187:$M187,0,AG$218))/(INDEX($E$185:$M$185,0,AG$218+1)-INDEX($E$185:$M$185,0,AG$218))+AD220)))</f>
        <v>18.887058491563469</v>
      </c>
      <c r="AH220" s="3" cm="1">
        <f t="array" ref="AH220">IF(AH$218=-1,AI220,IF(AH$218=99,AE220,IF(AH$218=0,INDEX($E187:$M187,0,AH$216),(INDEX($E187:$M187,0,AH$218+1)-INDEX($E187:$M187,0,AH$218))/(INDEX($E$185:$M$185,0,AH$218+1)-INDEX($E$185:$M$185,0,AH$218))+AE220)))</f>
        <v>19.191273078338785</v>
      </c>
      <c r="AI220" s="3" cm="1">
        <f t="array" ref="AI220">IF(AI$218=-1,AJ220,IF(AI$218=99,AH220,IF(AI$218=0,INDEX($E187:$M187,0,AI$216),(INDEX($E187:$M187,0,AI$218+1)-INDEX($E187:$M187,0,AI$218))/(INDEX($E$185:$M$185,0,AI$218+1)-INDEX($E$185:$M$185,0,AI$218))+AH220)))</f>
        <v>19.495487665114101</v>
      </c>
      <c r="AJ220" s="3" cm="1">
        <f t="array" ref="AJ220">IF(AJ$218=-1,AK220,IF(AJ$218=99,AI220,IF(AJ$218=0,INDEX($E187:$M187,0,AJ$216),(INDEX($E187:$M187,0,AJ$218+1)-INDEX($E187:$M187,0,AJ$218))/(INDEX($E$185:$M$185,0,AJ$218+1)-INDEX($E$185:$M$185,0,AJ$218))+AI220)))</f>
        <v>19.799702251889418</v>
      </c>
      <c r="AK220" s="3" cm="1">
        <f t="array" ref="AK220">IF(AK$218=-1,AL220,IF(AK$218=99,AJ220,IF(AK$218=0,INDEX($E187:$M187,0,AK$216),(INDEX($E187:$M187,0,AK$218+1)-INDEX($E187:$M187,0,AK$218))/(INDEX($E$185:$M$185,0,AK$218+1)-INDEX($E$185:$M$185,0,AK$218))+AJ220)))</f>
        <v>20.103916838664734</v>
      </c>
      <c r="AL220" s="3" cm="1">
        <f t="array" ref="AL220">IF(AL$218=-1,AM220,IF(AL$218=99,AK220,IF(AL$218=0,INDEX($E187:$M187,0,AL$216),(INDEX($E187:$M187,0,AL$218+1)-INDEX($E187:$M187,0,AL$218))/(INDEX($E$185:$M$185,0,AL$218+1)-INDEX($E$185:$M$185,0,AL$218))+AK220)))</f>
        <v>20.40813142544005</v>
      </c>
      <c r="AM220" s="3" cm="1">
        <f t="array" ref="AM220">IF(AM$218=-1,AO220,IF(AM$218=99,AL220,IF(AM$218=0,INDEX($E187:$M187,0,AM$216),(INDEX($E187:$M187,0,AM$218+1)-INDEX($E187:$M187,0,AM$218))/(INDEX($E$185:$M$185,0,AM$218+1)-INDEX($E$185:$M$185,0,AM$218))+AL220)))</f>
        <v>20.712346012215367</v>
      </c>
      <c r="AN220" s="3" cm="1">
        <f t="array" ref="AN220">IF(AN$218=-1,AP220,IF(AN$218=99,AL220,IF(AN$218=0,INDEX($E187:$M187,0,AN$216),(INDEX($E187:$M187,0,AN$218+1)-INDEX($E187:$M187,0,AN$218))/(INDEX($E$185:$M$185,0,AN$218+1)-INDEX($E$185:$M$185,0,AN$218))+AL220)))</f>
        <v>20.712346012215367</v>
      </c>
      <c r="AO220" s="3" cm="1">
        <f t="array" ref="AO220">IF(AO$218=-1,AQ220,IF(AO$218=99,AM220,IF(AO$218=0,INDEX($E187:$M187,0,AO$216),(INDEX($E187:$M187,0,AO$218+1)-INDEX($E187:$M187,0,AO$218))/(INDEX($E$185:$M$185,0,AO$218+1)-INDEX($E$185:$M$185,0,AO$218))+AM220)))</f>
        <v>21.016560598990683</v>
      </c>
      <c r="AP220" s="3" cm="1">
        <f t="array" ref="AP220">IF(AP$218=-1,AR220,IF(AP$218=99,AO220,IF(AP$218=0,INDEX($E187:$M187,0,AP$216),(INDEX($E187:$M187,0,AP$218+1)-INDEX($E187:$M187,0,AP$218))/(INDEX($E$185:$M$185,0,AP$218+1)-INDEX($E$185:$M$185,0,AP$218))+AO220)))</f>
        <v>21.320775185765999</v>
      </c>
      <c r="AQ220" s="3" cm="1">
        <f t="array" ref="AQ220">IF(AQ$218=-1,AR220,IF(AQ$218=99,AO220,IF(AQ$218=0,INDEX($E187:$M187,0,AQ$216),(INDEX($E187:$M187,0,AQ$218+1)-INDEX($E187:$M187,0,AQ$218))/(INDEX($E$185:$M$185,0,AQ$218+1)-INDEX($E$185:$M$185,0,AQ$218))+AO220)))</f>
        <v>21.320775185765999</v>
      </c>
      <c r="AR220" s="245">
        <f t="shared" ref="AR220:AR226" si="532">(AQ220+AS220)/2</f>
        <v>24.229258546393041</v>
      </c>
      <c r="AS220" s="3" cm="1">
        <f t="array" ref="AS220">IF(AS$218=-1,AT220,IF(AS$218=99,AR220,IF(AS$218=0,INDEX($E187:$M187,0,AS$216),(INDEX($E187:$M187,0,AS$218+1)-INDEX($E187:$M187,0,AS$218))/(INDEX($E$185:$M$185,0,AS$218+1)-INDEX($E$185:$M$185,0,AS$218))+AR220)))</f>
        <v>27.137741907020086</v>
      </c>
      <c r="AT220" s="3" cm="1">
        <f t="array" ref="AT220">IF(AT$218=-1,AU220,IF(AT$218=99,AS220,IF(AT$218=0,INDEX($E187:$M187,0,AT$216),(INDEX($E187:$M187,0,AT$218+1)-INDEX($E187:$M187,0,AT$218))/(INDEX($E$185:$M$185,0,AT$218+1)-INDEX($E$185:$M$185,0,AT$218))+AS220)))</f>
        <v>30.345192060401736</v>
      </c>
      <c r="AU220" s="3" cm="1">
        <f t="array" ref="AU220">IF(AU$218=-1,#REF!,IF(AU$218=99,AT220,IF(AU$218=0,INDEX($E187:$M187,0,AU$216),(INDEX($E187:$M187,0,AU$218+1)-INDEX($E187:$M187,0,AU$218))/(INDEX($E$185:$M$185,0,AU$218+1)-INDEX($E$185:$M$185,0,AU$218))+AT220)))</f>
        <v>30.115460609673473</v>
      </c>
      <c r="AV220" s="3"/>
      <c r="AY220" s="3"/>
      <c r="AZ220" s="3"/>
      <c r="BJ220" s="3"/>
      <c r="BK220" s="92"/>
    </row>
    <row r="221" spans="1:63">
      <c r="F221" s="15" t="str">
        <f t="shared" si="527"/>
        <v>COM_PROJ</v>
      </c>
      <c r="G221" s="16" t="str">
        <f t="shared" si="528"/>
        <v>-</v>
      </c>
      <c r="H221" s="43" t="str">
        <f t="shared" si="529"/>
        <v>TPPRMOT</v>
      </c>
      <c r="I221" s="16" t="str">
        <f t="shared" si="530"/>
        <v>-</v>
      </c>
      <c r="J221" s="16" t="str">
        <f t="shared" si="530"/>
        <v>-</v>
      </c>
      <c r="K221" s="16" t="str">
        <f t="shared" si="530"/>
        <v>-</v>
      </c>
      <c r="L221" s="16" t="str">
        <f t="shared" si="530"/>
        <v>-</v>
      </c>
      <c r="M221" s="15">
        <f t="shared" si="531"/>
        <v>0</v>
      </c>
      <c r="N221" s="3" cm="1">
        <f t="array" ref="N221">IF(N$218=-1,O221,IF(N$218=99,#REF!,IF(N$218=0,INDEX($E188:$M188,0,N$216),(INDEX($E188:$M188,0,N$218+1)-INDEX($E188:$M188,0,N$218))/(INDEX($E$185:$M$185,0,N$218+1)-INDEX($E$185:$M$185,0,N$218))+#REF!)))</f>
        <v>5.9227912022632498</v>
      </c>
      <c r="O221" s="3" cm="1">
        <f t="array" ref="O221">IF(O$218=-1,P221,IF(O$218=99,N221,IF(O$218=0,INDEX($E188:$M188,0,O$216),(INDEX($E188:$M188,0,O$218+1)-INDEX($E188:$M188,0,O$218))/(INDEX($E$185:$M$185,0,O$218+1)-INDEX($E$185:$M$185,0,O$218))+N221)))</f>
        <v>4.5479546949349121</v>
      </c>
      <c r="P221" s="3" cm="1">
        <f t="array" ref="P221">IF(P$218=-1,Q221,IF(P$218=99,O221,IF(P$218=0,INDEX($E188:$M188,0,P$216),(INDEX($E188:$M188,0,P$218+1)-INDEX($E188:$M188,0,P$218))/(INDEX($E$185:$M$185,0,P$218+1)-INDEX($E$185:$M$185,0,P$218))+O221)))</f>
        <v>3.1731181876065753</v>
      </c>
      <c r="Q221" s="3" cm="1">
        <f t="array" ref="Q221">IF(Q$218=-1,R221,IF(Q$218=99,P221,IF(Q$218=0,INDEX($E188:$M188,0,Q$216),(INDEX($E188:$M188,0,Q$218+1)-INDEX($E188:$M188,0,Q$218))/(INDEX($E$185:$M$185,0,Q$218+1)-INDEX($E$185:$M$185,0,Q$218))+P221)))</f>
        <v>2.9365631065490123</v>
      </c>
      <c r="R221" s="3" cm="1">
        <f t="array" ref="R221">IF(R$218=-1,S221,IF(R$218=99,Q221,IF(R$218=0,INDEX($E188:$M188,0,R$216),(INDEX($E188:$M188,0,R$218+1)-INDEX($E188:$M188,0,R$218))/(INDEX($E$185:$M$185,0,R$218+1)-INDEX($E$185:$M$185,0,R$218))+Q221)))</f>
        <v>3.1129264491363839</v>
      </c>
      <c r="S221" s="3" cm="1">
        <f t="array" ref="S221">IF(S$218=-1,T221,IF(S$218=99,R221,IF(S$218=0,INDEX($E188:$M188,0,S$216),(INDEX($E188:$M188,0,S$218+1)-INDEX($E188:$M188,0,S$218))/(INDEX($E$185:$M$185,0,S$218+1)-INDEX($E$185:$M$185,0,S$218))+R221)))</f>
        <v>3.1254502289972987</v>
      </c>
      <c r="T221" s="3" cm="1">
        <f t="array" ref="T221">IF(T$218=-1,W221,IF(T$218=99,S221,IF(T$218=0,INDEX($E188:$M188,0,T$216),(INDEX($E188:$M188,0,T$218+1)-INDEX($E188:$M188,0,T$218))/(INDEX($E$185:$M$185,0,T$218+1)-INDEX($E$185:$M$185,0,T$218))+S221)))</f>
        <v>3.1379740088582135</v>
      </c>
      <c r="U221" s="3" cm="1">
        <f t="array" ref="U221">IF(U$218=-1,W221,IF(U$218=99,S221,IF(U$218=0,INDEX($E188:$M188,0,U$216),(INDEX($E188:$M188,0,U$218+1)-INDEX($E188:$M188,0,U$218))/(INDEX($E$185:$M$185,0,U$218+1)-INDEX($E$185:$M$185,0,U$218))+S221)))</f>
        <v>3.1379740088582135</v>
      </c>
      <c r="V221" s="3" cm="1">
        <f t="array" ref="V221">IF(V$218=-1,W221,IF(V$218=99,S221,IF(V$218=0,INDEX($E188:$M188,0,V$216),(INDEX($E188:$M188,0,V$218+1)-INDEX($E188:$M188,0,V$218))/(INDEX($E$185:$M$185,0,V$218+1)-INDEX($E$185:$M$185,0,V$218))+S221)))</f>
        <v>3.1379740088582135</v>
      </c>
      <c r="W221" s="3" cm="1">
        <f t="array" ref="W221">IF(W$218=-1,X221,IF(W$218=99,T221,IF(W$218=0,INDEX($E188:$M188,0,W$216),(INDEX($E188:$M188,0,W$218+1)-INDEX($E188:$M188,0,W$218))/(INDEX($E$185:$M$185,0,W$218+1)-INDEX($E$185:$M$185,0,W$218))+T221)))</f>
        <v>3.1504977887191283</v>
      </c>
      <c r="X221" s="3" cm="1">
        <f t="array" ref="X221">IF(X$218=-1,Y221,IF(X$218=99,W221,IF(X$218=0,INDEX($E188:$M188,0,X$216),(INDEX($E188:$M188,0,X$218+1)-INDEX($E188:$M188,0,X$218))/(INDEX($E$185:$M$185,0,X$218+1)-INDEX($E$185:$M$185,0,X$218))+W221)))</f>
        <v>3.1630215685800431</v>
      </c>
      <c r="Y221" s="3" cm="1">
        <f t="array" ref="Y221">IF(Y$218=-1,Z221,IF(Y$218=99,X221,IF(Y$218=0,INDEX($E188:$M188,0,Y$216),(INDEX($E188:$M188,0,Y$218+1)-INDEX($E188:$M188,0,Y$218))/(INDEX($E$185:$M$185,0,Y$218+1)-INDEX($E$185:$M$185,0,Y$218))+X221)))</f>
        <v>3.1755453484409579</v>
      </c>
      <c r="Z221" s="3" cm="1">
        <f t="array" ref="Z221">IF(Z$218=-1,AA221,IF(Z$218=99,Y221,IF(Z$218=0,INDEX($E188:$M188,0,Z$216),(INDEX($E188:$M188,0,Z$218+1)-INDEX($E188:$M188,0,Z$218))/(INDEX($E$185:$M$185,0,Z$218+1)-INDEX($E$185:$M$185,0,Z$218))+Y221)))</f>
        <v>3.1880691283018727</v>
      </c>
      <c r="AA221" s="3" cm="1">
        <f t="array" ref="AA221">IF(AA$218=-1,AB221,IF(AA$218=99,Z221,IF(AA$218=0,INDEX($E188:$M188,0,AA$216),(INDEX($E188:$M188,0,AA$218+1)-INDEX($E188:$M188,0,AA$218))/(INDEX($E$185:$M$185,0,AA$218+1)-INDEX($E$185:$M$185,0,AA$218))+Z221)))</f>
        <v>3.2005929081627875</v>
      </c>
      <c r="AB221" s="3" cm="1">
        <f t="array" ref="AB221">IF(AB$218=-1,AC221,IF(AB$218=99,AA221,IF(AB$218=0,INDEX($E188:$M188,0,AB$216),(INDEX($E188:$M188,0,AB$218+1)-INDEX($E188:$M188,0,AB$218))/(INDEX($E$185:$M$185,0,AB$218+1)-INDEX($E$185:$M$185,0,AB$218))+AA221)))</f>
        <v>3.2131166880237023</v>
      </c>
      <c r="AC221" s="3" cm="1">
        <f t="array" ref="AC221">IF(AC$218=-1,AD221,IF(AC$218=99,AB221,IF(AC$218=0,INDEX($E188:$M188,0,AC$216),(INDEX($E188:$M188,0,AC$218+1)-INDEX($E188:$M188,0,AC$218))/(INDEX($E$185:$M$185,0,AC$218+1)-INDEX($E$185:$M$185,0,AC$218))+AB221)))</f>
        <v>3.2256404678846176</v>
      </c>
      <c r="AD221" s="3" cm="1">
        <f t="array" ref="AD221">IF(AD$218=-1,AE221,IF(AD$218=99,AC221,IF(AD$218=0,INDEX($E188:$M188,0,AD$216),(INDEX($E188:$M188,0,AD$218+1)-INDEX($E188:$M188,0,AD$218))/(INDEX($E$185:$M$185,0,AD$218+1)-INDEX($E$185:$M$185,0,AD$218))+AC221)))</f>
        <v>3.2793253949626147</v>
      </c>
      <c r="AE221" s="3" cm="1">
        <f t="array" ref="AE221">IF(AE$218=-1,AH221,IF(AE$218=99,AD221,IF(AE$218=0,INDEX($E188:$M188,0,AE$216),(INDEX($E188:$M188,0,AE$218+1)-INDEX($E188:$M188,0,AE$218))/(INDEX($E$185:$M$185,0,AE$218+1)-INDEX($E$185:$M$185,0,AE$218))+AD221)))</f>
        <v>3.3330103220406118</v>
      </c>
      <c r="AF221" s="3" cm="1">
        <f t="array" ref="AF221">IF(AF$218=-1,AH221,IF(AF$218=99,AD221,IF(AF$218=0,INDEX($E188:$M188,0,AF$216),(INDEX($E188:$M188,0,AF$218+1)-INDEX($E188:$M188,0,AF$218))/(INDEX($E$185:$M$185,0,AF$218+1)-INDEX($E$185:$M$185,0,AF$218))+AD221)))</f>
        <v>3.3330103220406118</v>
      </c>
      <c r="AG221" s="3" cm="1">
        <f t="array" ref="AG221">IF(AG$218=-1,AH221,IF(AG$218=99,AD221,IF(AG$218=0,INDEX($E188:$M188,0,AG$216),(INDEX($E188:$M188,0,AG$218+1)-INDEX($E188:$M188,0,AG$218))/(INDEX($E$185:$M$185,0,AG$218+1)-INDEX($E$185:$M$185,0,AG$218))+AD221)))</f>
        <v>3.3330103220406118</v>
      </c>
      <c r="AH221" s="3" cm="1">
        <f t="array" ref="AH221">IF(AH$218=-1,AI221,IF(AH$218=99,AE221,IF(AH$218=0,INDEX($E188:$M188,0,AH$216),(INDEX($E188:$M188,0,AH$218+1)-INDEX($E188:$M188,0,AH$218))/(INDEX($E$185:$M$185,0,AH$218+1)-INDEX($E$185:$M$185,0,AH$218))+AE221)))</f>
        <v>3.3866952491186089</v>
      </c>
      <c r="AI221" s="3" cm="1">
        <f t="array" ref="AI221">IF(AI$218=-1,AJ221,IF(AI$218=99,AH221,IF(AI$218=0,INDEX($E188:$M188,0,AI$216),(INDEX($E188:$M188,0,AI$218+1)-INDEX($E188:$M188,0,AI$218))/(INDEX($E$185:$M$185,0,AI$218+1)-INDEX($E$185:$M$185,0,AI$218))+AH221)))</f>
        <v>3.440380176196606</v>
      </c>
      <c r="AJ221" s="3" cm="1">
        <f t="array" ref="AJ221">IF(AJ$218=-1,AK221,IF(AJ$218=99,AI221,IF(AJ$218=0,INDEX($E188:$M188,0,AJ$216),(INDEX($E188:$M188,0,AJ$218+1)-INDEX($E188:$M188,0,AJ$218))/(INDEX($E$185:$M$185,0,AJ$218+1)-INDEX($E$185:$M$185,0,AJ$218))+AI221)))</f>
        <v>3.4940651032746031</v>
      </c>
      <c r="AK221" s="3" cm="1">
        <f t="array" ref="AK221">IF(AK$218=-1,AL221,IF(AK$218=99,AJ221,IF(AK$218=0,INDEX($E188:$M188,0,AK$216),(INDEX($E188:$M188,0,AK$218+1)-INDEX($E188:$M188,0,AK$218))/(INDEX($E$185:$M$185,0,AK$218+1)-INDEX($E$185:$M$185,0,AK$218))+AJ221)))</f>
        <v>3.5477500303526002</v>
      </c>
      <c r="AL221" s="3" cm="1">
        <f t="array" ref="AL221">IF(AL$218=-1,AM221,IF(AL$218=99,AK221,IF(AL$218=0,INDEX($E188:$M188,0,AL$216),(INDEX($E188:$M188,0,AL$218+1)-INDEX($E188:$M188,0,AL$218))/(INDEX($E$185:$M$185,0,AL$218+1)-INDEX($E$185:$M$185,0,AL$218))+AK221)))</f>
        <v>3.6014349574305973</v>
      </c>
      <c r="AM221" s="3" cm="1">
        <f t="array" ref="AM221">IF(AM$218=-1,AO221,IF(AM$218=99,AL221,IF(AM$218=0,INDEX($E188:$M188,0,AM$216),(INDEX($E188:$M188,0,AM$218+1)-INDEX($E188:$M188,0,AM$218))/(INDEX($E$185:$M$185,0,AM$218+1)-INDEX($E$185:$M$185,0,AM$218))+AL221)))</f>
        <v>3.6551198845085944</v>
      </c>
      <c r="AN221" s="3" cm="1">
        <f t="array" ref="AN221">IF(AN$218=-1,AP221,IF(AN$218=99,AL221,IF(AN$218=0,INDEX($E188:$M188,0,AN$216),(INDEX($E188:$M188,0,AN$218+1)-INDEX($E188:$M188,0,AN$218))/(INDEX($E$185:$M$185,0,AN$218+1)-INDEX($E$185:$M$185,0,AN$218))+AL221)))</f>
        <v>3.6551198845085944</v>
      </c>
      <c r="AO221" s="3" cm="1">
        <f t="array" ref="AO221">IF(AO$218=-1,AQ221,IF(AO$218=99,AM221,IF(AO$218=0,INDEX($E188:$M188,0,AO$216),(INDEX($E188:$M188,0,AO$218+1)-INDEX($E188:$M188,0,AO$218))/(INDEX($E$185:$M$185,0,AO$218+1)-INDEX($E$185:$M$185,0,AO$218))+AM221)))</f>
        <v>3.7088048115865915</v>
      </c>
      <c r="AP221" s="3" cm="1">
        <f t="array" ref="AP221">IF(AP$218=-1,AR221,IF(AP$218=99,AO221,IF(AP$218=0,INDEX($E188:$M188,0,AP$216),(INDEX($E188:$M188,0,AP$218+1)-INDEX($E188:$M188,0,AP$218))/(INDEX($E$185:$M$185,0,AP$218+1)-INDEX($E$185:$M$185,0,AP$218))+AO221)))</f>
        <v>3.7624897386645877</v>
      </c>
      <c r="AQ221" s="3" cm="1">
        <f t="array" ref="AQ221">IF(AQ$218=-1,AR221,IF(AQ$218=99,AO221,IF(AQ$218=0,INDEX($E188:$M188,0,AQ$216),(INDEX($E188:$M188,0,AQ$218+1)-INDEX($E188:$M188,0,AQ$218))/(INDEX($E$185:$M$185,0,AQ$218+1)-INDEX($E$185:$M$185,0,AQ$218))+AO221)))</f>
        <v>3.7624897386645877</v>
      </c>
      <c r="AR221" s="245">
        <f t="shared" si="532"/>
        <v>4.2757515081870068</v>
      </c>
      <c r="AS221" s="3" cm="1">
        <f t="array" ref="AS221">IF(AS$218=-1,AT221,IF(AS$218=99,AR221,IF(AS$218=0,INDEX($E188:$M188,0,AS$216),(INDEX($E188:$M188,0,AS$218+1)-INDEX($E188:$M188,0,AS$218))/(INDEX($E$185:$M$185,0,AS$218+1)-INDEX($E$185:$M$185,0,AS$218))+AR221)))</f>
        <v>4.7890132777094268</v>
      </c>
      <c r="AT221" s="3" cm="1">
        <f t="array" ref="AT221">IF(AT$218=-1,AU221,IF(AT$218=99,AS221,IF(AT$218=0,INDEX($E188:$M188,0,AT$216),(INDEX($E188:$M188,0,AT$218+1)-INDEX($E188:$M188,0,AT$218))/(INDEX($E$185:$M$185,0,AT$218+1)-INDEX($E$185:$M$185,0,AT$218))+AS221)))</f>
        <v>5.3550338930120702</v>
      </c>
      <c r="AU221" s="3" cm="1">
        <f t="array" ref="AU221">IF(AU$218=-1,#REF!,IF(AU$218=99,AT221,IF(AU$218=0,INDEX($E188:$M188,0,AU$216),(INDEX($E188:$M188,0,AU$218+1)-INDEX($E188:$M188,0,AU$218))/(INDEX($E$185:$M$185,0,AU$218+1)-INDEX($E$185:$M$185,0,AU$218))+AT221)))</f>
        <v>5.3144930487659066</v>
      </c>
      <c r="AV221" s="3"/>
      <c r="AY221" s="3"/>
      <c r="AZ221" s="3"/>
      <c r="BJ221" s="3"/>
      <c r="BK221" s="92"/>
    </row>
    <row r="222" spans="1:63">
      <c r="F222" s="15" t="str">
        <f t="shared" si="527"/>
        <v>COM_PROJ</v>
      </c>
      <c r="G222" s="16" t="str">
        <f t="shared" si="528"/>
        <v>-</v>
      </c>
      <c r="H222" s="43" t="str">
        <f t="shared" si="529"/>
        <v>TPPUBUS</v>
      </c>
      <c r="I222" s="16" t="str">
        <f t="shared" si="530"/>
        <v>-</v>
      </c>
      <c r="J222" s="16" t="str">
        <f t="shared" si="530"/>
        <v>-</v>
      </c>
      <c r="K222" s="16" t="str">
        <f t="shared" si="530"/>
        <v>-</v>
      </c>
      <c r="L222" s="16" t="str">
        <f t="shared" si="530"/>
        <v>-</v>
      </c>
      <c r="M222" s="15">
        <f t="shared" si="531"/>
        <v>0</v>
      </c>
      <c r="N222" s="3" cm="1">
        <f t="array" ref="N222">IF(N$218=-1,O222,IF(N$218=99,#REF!,IF(N$218=0,INDEX($E189:$M189,0,N$216),(INDEX($E189:$M189,0,N$218+1)-INDEX($E189:$M189,0,N$218))/(INDEX($E$185:$M$185,0,N$218+1)-INDEX($E$185:$M$185,0,N$218))+#REF!)))</f>
        <v>0.64296697178877804</v>
      </c>
      <c r="O222" s="3" cm="1">
        <f t="array" ref="O222">IF(O$218=-1,P222,IF(O$218=99,N222,IF(O$218=0,INDEX($E189:$M189,0,O$216),(INDEX($E189:$M189,0,O$218+1)-INDEX($E189:$M189,0,O$218))/(INDEX($E$185:$M$185,0,O$218+1)-INDEX($E$185:$M$185,0,O$218))+N222)))</f>
        <v>0.64929079481231411</v>
      </c>
      <c r="P222" s="3" cm="1">
        <f t="array" ref="P222">IF(P$218=-1,Q222,IF(P$218=99,O222,IF(P$218=0,INDEX($E189:$M189,0,P$216),(INDEX($E189:$M189,0,P$218+1)-INDEX($E189:$M189,0,P$218))/(INDEX($E$185:$M$185,0,P$218+1)-INDEX($E$185:$M$185,0,P$218))+O222)))</f>
        <v>0.65561461783585018</v>
      </c>
      <c r="Q222" s="3" cm="1">
        <f t="array" ref="Q222">IF(Q$218=-1,R222,IF(Q$218=99,P222,IF(Q$218=0,INDEX($E189:$M189,0,Q$216),(INDEX($E189:$M189,0,Q$218+1)-INDEX($E189:$M189,0,Q$218))/(INDEX($E$185:$M$185,0,Q$218+1)-INDEX($E$185:$M$185,0,Q$218))+P222)))</f>
        <v>0.6666265611015576</v>
      </c>
      <c r="R222" s="3" cm="1">
        <f t="array" ref="R222">IF(R$218=-1,S222,IF(R$218=99,Q222,IF(R$218=0,INDEX($E189:$M189,0,R$216),(INDEX($E189:$M189,0,R$218+1)-INDEX($E189:$M189,0,R$218))/(INDEX($E$185:$M$185,0,R$218+1)-INDEX($E$185:$M$185,0,R$218))+Q222)))</f>
        <v>0.67369816503155333</v>
      </c>
      <c r="S222" s="3" cm="1">
        <f t="array" ref="S222">IF(S$218=-1,T222,IF(S$218=99,R222,IF(S$218=0,INDEX($E189:$M189,0,S$216),(INDEX($E189:$M189,0,S$218+1)-INDEX($E189:$M189,0,S$218))/(INDEX($E$185:$M$185,0,S$218+1)-INDEX($E$185:$M$185,0,S$218))+R222)))</f>
        <v>0.68105375839995996</v>
      </c>
      <c r="T222" s="3" cm="1">
        <f t="array" ref="T222">IF(T$218=-1,W222,IF(T$218=99,S222,IF(T$218=0,INDEX($E189:$M189,0,T$216),(INDEX($E189:$M189,0,T$218+1)-INDEX($E189:$M189,0,T$218))/(INDEX($E$185:$M$185,0,T$218+1)-INDEX($E$185:$M$185,0,T$218))+S222)))</f>
        <v>0.6884093517683666</v>
      </c>
      <c r="U222" s="3" cm="1">
        <f t="array" ref="U222">IF(U$218=-1,W222,IF(U$218=99,S222,IF(U$218=0,INDEX($E189:$M189,0,U$216),(INDEX($E189:$M189,0,U$218+1)-INDEX($E189:$M189,0,U$218))/(INDEX($E$185:$M$185,0,U$218+1)-INDEX($E$185:$M$185,0,U$218))+S222)))</f>
        <v>0.6884093517683666</v>
      </c>
      <c r="V222" s="3" cm="1">
        <f t="array" ref="V222">IF(V$218=-1,W222,IF(V$218=99,S222,IF(V$218=0,INDEX($E189:$M189,0,V$216),(INDEX($E189:$M189,0,V$218+1)-INDEX($E189:$M189,0,V$218))/(INDEX($E$185:$M$185,0,V$218+1)-INDEX($E$185:$M$185,0,V$218))+S222)))</f>
        <v>0.6884093517683666</v>
      </c>
      <c r="W222" s="3" cm="1">
        <f t="array" ref="W222">IF(W$218=-1,X222,IF(W$218=99,T222,IF(W$218=0,INDEX($E189:$M189,0,W$216),(INDEX($E189:$M189,0,W$218+1)-INDEX($E189:$M189,0,W$218))/(INDEX($E$185:$M$185,0,W$218+1)-INDEX($E$185:$M$185,0,W$218))+T222)))</f>
        <v>0.69576494513677323</v>
      </c>
      <c r="X222" s="3" cm="1">
        <f t="array" ref="X222">IF(X$218=-1,Y222,IF(X$218=99,W222,IF(X$218=0,INDEX($E189:$M189,0,X$216),(INDEX($E189:$M189,0,X$218+1)-INDEX($E189:$M189,0,X$218))/(INDEX($E$185:$M$185,0,X$218+1)-INDEX($E$185:$M$185,0,X$218))+W222)))</f>
        <v>0.70312053850517986</v>
      </c>
      <c r="Y222" s="3" cm="1">
        <f t="array" ref="Y222">IF(Y$218=-1,Z222,IF(Y$218=99,X222,IF(Y$218=0,INDEX($E189:$M189,0,Y$216),(INDEX($E189:$M189,0,Y$218+1)-INDEX($E189:$M189,0,Y$218))/(INDEX($E$185:$M$185,0,Y$218+1)-INDEX($E$185:$M$185,0,Y$218))+X222)))</f>
        <v>0.71047613187358649</v>
      </c>
      <c r="Z222" s="3" cm="1">
        <f t="array" ref="Z222">IF(Z$218=-1,AA222,IF(Z$218=99,Y222,IF(Z$218=0,INDEX($E189:$M189,0,Z$216),(INDEX($E189:$M189,0,Z$218+1)-INDEX($E189:$M189,0,Z$218))/(INDEX($E$185:$M$185,0,Z$218+1)-INDEX($E$185:$M$185,0,Z$218))+Y222)))</f>
        <v>0.71783172524199312</v>
      </c>
      <c r="AA222" s="3" cm="1">
        <f t="array" ref="AA222">IF(AA$218=-1,AB222,IF(AA$218=99,Z222,IF(AA$218=0,INDEX($E189:$M189,0,AA$216),(INDEX($E189:$M189,0,AA$218+1)-INDEX($E189:$M189,0,AA$218))/(INDEX($E$185:$M$185,0,AA$218+1)-INDEX($E$185:$M$185,0,AA$218))+Z222)))</f>
        <v>0.72518731861039976</v>
      </c>
      <c r="AB222" s="3" cm="1">
        <f t="array" ref="AB222">IF(AB$218=-1,AC222,IF(AB$218=99,AA222,IF(AB$218=0,INDEX($E189:$M189,0,AB$216),(INDEX($E189:$M189,0,AB$218+1)-INDEX($E189:$M189,0,AB$218))/(INDEX($E$185:$M$185,0,AB$218+1)-INDEX($E$185:$M$185,0,AB$218))+AA222)))</f>
        <v>0.73254291197880639</v>
      </c>
      <c r="AC222" s="3" cm="1">
        <f t="array" ref="AC222">IF(AC$218=-1,AD222,IF(AC$218=99,AB222,IF(AC$218=0,INDEX($E189:$M189,0,AC$216),(INDEX($E189:$M189,0,AC$218+1)-INDEX($E189:$M189,0,AC$218))/(INDEX($E$185:$M$185,0,AC$218+1)-INDEX($E$185:$M$185,0,AC$218))+AB222)))</f>
        <v>0.73989850534721346</v>
      </c>
      <c r="AD222" s="3" cm="1">
        <f t="array" ref="AD222">IF(AD$218=-1,AE222,IF(AD$218=99,AC222,IF(AD$218=0,INDEX($E189:$M189,0,AD$216),(INDEX($E189:$M189,0,AD$218+1)-INDEX($E189:$M189,0,AD$218))/(INDEX($E$185:$M$185,0,AD$218+1)-INDEX($E$185:$M$185,0,AD$218))+AC222)))</f>
        <v>0.74377591664829645</v>
      </c>
      <c r="AE222" s="3" cm="1">
        <f t="array" ref="AE222">IF(AE$218=-1,AH222,IF(AE$218=99,AD222,IF(AE$218=0,INDEX($E189:$M189,0,AE$216),(INDEX($E189:$M189,0,AE$218+1)-INDEX($E189:$M189,0,AE$218))/(INDEX($E$185:$M$185,0,AE$218+1)-INDEX($E$185:$M$185,0,AE$218))+AD222)))</f>
        <v>0.74765332794937933</v>
      </c>
      <c r="AF222" s="3" cm="1">
        <f t="array" ref="AF222">IF(AF$218=-1,AH222,IF(AF$218=99,AD222,IF(AF$218=0,INDEX($E189:$M189,0,AF$216),(INDEX($E189:$M189,0,AF$218+1)-INDEX($E189:$M189,0,AF$218))/(INDEX($E$185:$M$185,0,AF$218+1)-INDEX($E$185:$M$185,0,AF$218))+AD222)))</f>
        <v>0.74765332794937933</v>
      </c>
      <c r="AG222" s="3" cm="1">
        <f t="array" ref="AG222">IF(AG$218=-1,AH222,IF(AG$218=99,AD222,IF(AG$218=0,INDEX($E189:$M189,0,AG$216),(INDEX($E189:$M189,0,AG$218+1)-INDEX($E189:$M189,0,AG$218))/(INDEX($E$185:$M$185,0,AG$218+1)-INDEX($E$185:$M$185,0,AG$218))+AD222)))</f>
        <v>0.74765332794937933</v>
      </c>
      <c r="AH222" s="3" cm="1">
        <f t="array" ref="AH222">IF(AH$218=-1,AI222,IF(AH$218=99,AE222,IF(AH$218=0,INDEX($E189:$M189,0,AH$216),(INDEX($E189:$M189,0,AH$218+1)-INDEX($E189:$M189,0,AH$218))/(INDEX($E$185:$M$185,0,AH$218+1)-INDEX($E$185:$M$185,0,AH$218))+AE222)))</f>
        <v>0.75153073925046221</v>
      </c>
      <c r="AI222" s="3" cm="1">
        <f t="array" ref="AI222">IF(AI$218=-1,AJ222,IF(AI$218=99,AH222,IF(AI$218=0,INDEX($E189:$M189,0,AI$216),(INDEX($E189:$M189,0,AI$218+1)-INDEX($E189:$M189,0,AI$218))/(INDEX($E$185:$M$185,0,AI$218+1)-INDEX($E$185:$M$185,0,AI$218))+AH222)))</f>
        <v>0.75540815055154509</v>
      </c>
      <c r="AJ222" s="3" cm="1">
        <f t="array" ref="AJ222">IF(AJ$218=-1,AK222,IF(AJ$218=99,AI222,IF(AJ$218=0,INDEX($E189:$M189,0,AJ$216),(INDEX($E189:$M189,0,AJ$218+1)-INDEX($E189:$M189,0,AJ$218))/(INDEX($E$185:$M$185,0,AJ$218+1)-INDEX($E$185:$M$185,0,AJ$218))+AI222)))</f>
        <v>0.75928556185262797</v>
      </c>
      <c r="AK222" s="3" cm="1">
        <f t="array" ref="AK222">IF(AK$218=-1,AL222,IF(AK$218=99,AJ222,IF(AK$218=0,INDEX($E189:$M189,0,AK$216),(INDEX($E189:$M189,0,AK$218+1)-INDEX($E189:$M189,0,AK$218))/(INDEX($E$185:$M$185,0,AK$218+1)-INDEX($E$185:$M$185,0,AK$218))+AJ222)))</f>
        <v>0.76316297315371084</v>
      </c>
      <c r="AL222" s="3" cm="1">
        <f t="array" ref="AL222">IF(AL$218=-1,AM222,IF(AL$218=99,AK222,IF(AL$218=0,INDEX($E189:$M189,0,AL$216),(INDEX($E189:$M189,0,AL$218+1)-INDEX($E189:$M189,0,AL$218))/(INDEX($E$185:$M$185,0,AL$218+1)-INDEX($E$185:$M$185,0,AL$218))+AK222)))</f>
        <v>0.76704038445479372</v>
      </c>
      <c r="AM222" s="3" cm="1">
        <f t="array" ref="AM222">IF(AM$218=-1,AO222,IF(AM$218=99,AL222,IF(AM$218=0,INDEX($E189:$M189,0,AM$216),(INDEX($E189:$M189,0,AM$218+1)-INDEX($E189:$M189,0,AM$218))/(INDEX($E$185:$M$185,0,AM$218+1)-INDEX($E$185:$M$185,0,AM$218))+AL222)))</f>
        <v>0.7709177957558766</v>
      </c>
      <c r="AN222" s="3" cm="1">
        <f t="array" ref="AN222">IF(AN$218=-1,AP222,IF(AN$218=99,AL222,IF(AN$218=0,INDEX($E189:$M189,0,AN$216),(INDEX($E189:$M189,0,AN$218+1)-INDEX($E189:$M189,0,AN$218))/(INDEX($E$185:$M$185,0,AN$218+1)-INDEX($E$185:$M$185,0,AN$218))+AL222)))</f>
        <v>0.7709177957558766</v>
      </c>
      <c r="AO222" s="3" cm="1">
        <f t="array" ref="AO222">IF(AO$218=-1,AQ222,IF(AO$218=99,AM222,IF(AO$218=0,INDEX($E189:$M189,0,AO$216),(INDEX($E189:$M189,0,AO$218+1)-INDEX($E189:$M189,0,AO$218))/(INDEX($E$185:$M$185,0,AO$218+1)-INDEX($E$185:$M$185,0,AO$218))+AM222)))</f>
        <v>0.77479520705695948</v>
      </c>
      <c r="AP222" s="3" cm="1">
        <f t="array" ref="AP222">IF(AP$218=-1,AR222,IF(AP$218=99,AO222,IF(AP$218=0,INDEX($E189:$M189,0,AP$216),(INDEX($E189:$M189,0,AP$218+1)-INDEX($E189:$M189,0,AP$218))/(INDEX($E$185:$M$185,0,AP$218+1)-INDEX($E$185:$M$185,0,AP$218))+AO222)))</f>
        <v>0.7786726183580428</v>
      </c>
      <c r="AQ222" s="3" cm="1">
        <f t="array" ref="AQ222">IF(AQ$218=-1,AR222,IF(AQ$218=99,AO222,IF(AQ$218=0,INDEX($E189:$M189,0,AQ$216),(INDEX($E189:$M189,0,AQ$218+1)-INDEX($E189:$M189,0,AQ$218))/(INDEX($E$185:$M$185,0,AQ$218+1)-INDEX($E$185:$M$185,0,AQ$218))+AO222)))</f>
        <v>0.7786726183580428</v>
      </c>
      <c r="AR222" s="245">
        <f t="shared" si="532"/>
        <v>0.77371580455156641</v>
      </c>
      <c r="AS222" s="3" cm="1">
        <f t="array" ref="AS222">IF(AS$218=-1,AT222,IF(AS$218=99,AR222,IF(AS$218=0,INDEX($E189:$M189,0,AS$216),(INDEX($E189:$M189,0,AS$218+1)-INDEX($E189:$M189,0,AS$218))/(INDEX($E$185:$M$185,0,AS$218+1)-INDEX($E$185:$M$185,0,AS$218))+AR222)))</f>
        <v>0.76875899074509002</v>
      </c>
      <c r="AT222" s="3" cm="1">
        <f t="array" ref="AT222">IF(AT$218=-1,AU222,IF(AT$218=99,AS222,IF(AT$218=0,INDEX($E189:$M189,0,AT$216),(INDEX($E189:$M189,0,AT$218+1)-INDEX($E189:$M189,0,AT$218))/(INDEX($E$185:$M$185,0,AT$218+1)-INDEX($E$185:$M$185,0,AT$218))+AS222)))</f>
        <v>0.7614728390026565</v>
      </c>
      <c r="AU222" s="3" cm="1">
        <f t="array" ref="AU222">IF(AU$218=-1,#REF!,IF(AU$218=99,AT222,IF(AU$218=0,INDEX($E189:$M189,0,AU$216),(INDEX($E189:$M189,0,AU$218+1)-INDEX($E189:$M189,0,AU$218))/(INDEX($E$185:$M$185,0,AU$218+1)-INDEX($E$185:$M$185,0,AU$218))+AT222)))</f>
        <v>0.77216368414084546</v>
      </c>
      <c r="AV222" s="3"/>
      <c r="AY222" s="3"/>
      <c r="AZ222" s="3"/>
      <c r="BJ222" s="3"/>
      <c r="BK222" s="92"/>
    </row>
    <row r="223" spans="1:63">
      <c r="F223" s="15" t="str">
        <f t="shared" si="527"/>
        <v>COM_PROJ</v>
      </c>
      <c r="G223" s="16" t="str">
        <f t="shared" si="528"/>
        <v>-</v>
      </c>
      <c r="H223" s="43" t="str">
        <f t="shared" si="529"/>
        <v>TPPUMBT</v>
      </c>
      <c r="I223" s="16" t="str">
        <f t="shared" si="530"/>
        <v>-</v>
      </c>
      <c r="J223" s="16" t="str">
        <f t="shared" si="530"/>
        <v>-</v>
      </c>
      <c r="K223" s="16" t="str">
        <f t="shared" si="530"/>
        <v>-</v>
      </c>
      <c r="L223" s="16" t="str">
        <f t="shared" si="530"/>
        <v>-</v>
      </c>
      <c r="M223" s="15">
        <f t="shared" si="531"/>
        <v>0</v>
      </c>
      <c r="N223" s="17" cm="1">
        <f t="array" ref="N223">IF(N$218=-1,O223,IF(N$218=99,#REF!,IF(N$218=0,INDEX($E190:$M190,0,N$216),(INDEX($E190:$M190,0,N$218+1)-INDEX($E190:$M190,0,N$218))/(INDEX($E$185:$M$185,0,N$218+1)-INDEX($E$185:$M$185,0,N$218))+#REF!)))</f>
        <v>7.2130505455454896</v>
      </c>
      <c r="O223" s="3" cm="1">
        <f t="array" ref="O223">IF(O$218=-1,P223,IF(O$218=99,N223,IF(O$218=0,INDEX($E190:$M190,0,O$216),(INDEX($E190:$M190,0,O$218+1)-INDEX($E190:$M190,0,O$218))/(INDEX($E$185:$M$185,0,O$218+1)-INDEX($E$185:$M$185,0,O$218))+N223)))</f>
        <v>7.2845555245765379</v>
      </c>
      <c r="P223" s="3" cm="1">
        <f t="array" ref="P223">IF(P$218=-1,Q223,IF(P$218=99,O223,IF(P$218=0,INDEX($E190:$M190,0,P$216),(INDEX($E190:$M190,0,P$218+1)-INDEX($E190:$M190,0,P$218))/(INDEX($E$185:$M$185,0,P$218+1)-INDEX($E$185:$M$185,0,P$218))+O223)))</f>
        <v>7.3560605036075861</v>
      </c>
      <c r="Q223" s="3" cm="1">
        <f t="array" ref="Q223">IF(Q$218=-1,R223,IF(Q$218=99,P223,IF(Q$218=0,INDEX($E190:$M190,0,Q$216),(INDEX($E190:$M190,0,Q$218+1)-INDEX($E190:$M190,0,Q$218))/(INDEX($E$185:$M$185,0,Q$218+1)-INDEX($E$185:$M$185,0,Q$218))+P223)))</f>
        <v>7.4796155902715018</v>
      </c>
      <c r="R223" s="3" cm="1">
        <f t="array" ref="R223">IF(R$218=-1,S223,IF(R$218=99,Q223,IF(R$218=0,INDEX($E190:$M190,0,R$216),(INDEX($E190:$M190,0,R$218+1)-INDEX($E190:$M190,0,R$218))/(INDEX($E$185:$M$185,0,R$218+1)-INDEX($E$185:$M$185,0,R$218))+Q223)))</f>
        <v>7.5589596819854874</v>
      </c>
      <c r="S223" s="3" cm="1">
        <f t="array" ref="S223">IF(S$218=-1,T223,IF(S$218=99,R223,IF(S$218=0,INDEX($E190:$M190,0,S$216),(INDEX($E190:$M190,0,S$218+1)-INDEX($E190:$M190,0,S$218))/(INDEX($E$185:$M$185,0,S$218+1)-INDEX($E$185:$M$185,0,S$218))+R223)))</f>
        <v>7.6118534207071953</v>
      </c>
      <c r="T223" s="3" cm="1">
        <f t="array" ref="T223">IF(T$218=-1,W223,IF(T$218=99,S223,IF(T$218=0,INDEX($E190:$M190,0,T$216),(INDEX($E190:$M190,0,T$218+1)-INDEX($E190:$M190,0,T$218))/(INDEX($E$185:$M$185,0,T$218+1)-INDEX($E$185:$M$185,0,T$218))+S223)))</f>
        <v>7.6647471594289032</v>
      </c>
      <c r="U223" s="3" cm="1">
        <f t="array" ref="U223">IF(U$218=-1,W223,IF(U$218=99,S223,IF(U$218=0,INDEX($E190:$M190,0,U$216),(INDEX($E190:$M190,0,U$218+1)-INDEX($E190:$M190,0,U$218))/(INDEX($E$185:$M$185,0,U$218+1)-INDEX($E$185:$M$185,0,U$218))+S223)))</f>
        <v>7.6647471594289032</v>
      </c>
      <c r="V223" s="3" cm="1">
        <f t="array" ref="V223">IF(V$218=-1,W223,IF(V$218=99,S223,IF(V$218=0,INDEX($E190:$M190,0,V$216),(INDEX($E190:$M190,0,V$218+1)-INDEX($E190:$M190,0,V$218))/(INDEX($E$185:$M$185,0,V$218+1)-INDEX($E$185:$M$185,0,V$218))+S223)))</f>
        <v>7.6647471594289032</v>
      </c>
      <c r="W223" s="3" cm="1">
        <f t="array" ref="W223">IF(W$218=-1,X223,IF(W$218=99,T223,IF(W$218=0,INDEX($E190:$M190,0,W$216),(INDEX($E190:$M190,0,W$218+1)-INDEX($E190:$M190,0,W$218))/(INDEX($E$185:$M$185,0,W$218+1)-INDEX($E$185:$M$185,0,W$218))+T223)))</f>
        <v>7.7176408981506111</v>
      </c>
      <c r="X223" s="3" cm="1">
        <f t="array" ref="X223">IF(X$218=-1,Y223,IF(X$218=99,W223,IF(X$218=0,INDEX($E190:$M190,0,X$216),(INDEX($E190:$M190,0,X$218+1)-INDEX($E190:$M190,0,X$218))/(INDEX($E$185:$M$185,0,X$218+1)-INDEX($E$185:$M$185,0,X$218))+W223)))</f>
        <v>7.7705346368723189</v>
      </c>
      <c r="Y223" s="3" cm="1">
        <f t="array" ref="Y223">IF(Y$218=-1,Z223,IF(Y$218=99,X223,IF(Y$218=0,INDEX($E190:$M190,0,Y$216),(INDEX($E190:$M190,0,Y$218+1)-INDEX($E190:$M190,0,Y$218))/(INDEX($E$185:$M$185,0,Y$218+1)-INDEX($E$185:$M$185,0,Y$218))+X223)))</f>
        <v>7.8234283755940268</v>
      </c>
      <c r="Z223" s="3" cm="1">
        <f t="array" ref="Z223">IF(Z$218=-1,AA223,IF(Z$218=99,Y223,IF(Z$218=0,INDEX($E190:$M190,0,Z$216),(INDEX($E190:$M190,0,Z$218+1)-INDEX($E190:$M190,0,Z$218))/(INDEX($E$185:$M$185,0,Z$218+1)-INDEX($E$185:$M$185,0,Z$218))+Y223)))</f>
        <v>7.8763221143157347</v>
      </c>
      <c r="AA223" s="3" cm="1">
        <f t="array" ref="AA223">IF(AA$218=-1,AB223,IF(AA$218=99,Z223,IF(AA$218=0,INDEX($E190:$M190,0,AA$216),(INDEX($E190:$M190,0,AA$218+1)-INDEX($E190:$M190,0,AA$218))/(INDEX($E$185:$M$185,0,AA$218+1)-INDEX($E$185:$M$185,0,AA$218))+Z223)))</f>
        <v>7.9292158530374426</v>
      </c>
      <c r="AB223" s="3" cm="1">
        <f t="array" ref="AB223">IF(AB$218=-1,AC223,IF(AB$218=99,AA223,IF(AB$218=0,INDEX($E190:$M190,0,AB$216),(INDEX($E190:$M190,0,AB$218+1)-INDEX($E190:$M190,0,AB$218))/(INDEX($E$185:$M$185,0,AB$218+1)-INDEX($E$185:$M$185,0,AB$218))+AA223)))</f>
        <v>7.9821095917591505</v>
      </c>
      <c r="AC223" s="3" cm="1">
        <f t="array" ref="AC223">IF(AC$218=-1,AD223,IF(AC$218=99,AB223,IF(AC$218=0,INDEX($E190:$M190,0,AC$216),(INDEX($E190:$M190,0,AC$218+1)-INDEX($E190:$M190,0,AC$218))/(INDEX($E$185:$M$185,0,AC$218+1)-INDEX($E$185:$M$185,0,AC$218))+AB223)))</f>
        <v>8.0350033304808619</v>
      </c>
      <c r="AD223" s="3" cm="1">
        <f t="array" ref="AD223">IF(AD$218=-1,AE223,IF(AD$218=99,AC223,IF(AD$218=0,INDEX($E190:$M190,0,AD$216),(INDEX($E190:$M190,0,AD$218+1)-INDEX($E190:$M190,0,AD$218))/(INDEX($E$185:$M$185,0,AD$218+1)-INDEX($E$185:$M$185,0,AD$218))+AC223)))</f>
        <v>8.0553501171241315</v>
      </c>
      <c r="AE223" s="3" cm="1">
        <f t="array" ref="AE223">IF(AE$218=-1,AH223,IF(AE$218=99,AD223,IF(AE$218=0,INDEX($E190:$M190,0,AE$216),(INDEX($E190:$M190,0,AE$218+1)-INDEX($E190:$M190,0,AE$218))/(INDEX($E$185:$M$185,0,AE$218+1)-INDEX($E$185:$M$185,0,AE$218))+AD223)))</f>
        <v>8.0756969037674011</v>
      </c>
      <c r="AF223" s="3" cm="1">
        <f t="array" ref="AF223">IF(AF$218=-1,AH223,IF(AF$218=99,AD223,IF(AF$218=0,INDEX($E190:$M190,0,AF$216),(INDEX($E190:$M190,0,AF$218+1)-INDEX($E190:$M190,0,AF$218))/(INDEX($E$185:$M$185,0,AF$218+1)-INDEX($E$185:$M$185,0,AF$218))+AD223)))</f>
        <v>8.0756969037674011</v>
      </c>
      <c r="AG223" s="3" cm="1">
        <f t="array" ref="AG223">IF(AG$218=-1,AH223,IF(AG$218=99,AD223,IF(AG$218=0,INDEX($E190:$M190,0,AG$216),(INDEX($E190:$M190,0,AG$218+1)-INDEX($E190:$M190,0,AG$218))/(INDEX($E$185:$M$185,0,AG$218+1)-INDEX($E$185:$M$185,0,AG$218))+AD223)))</f>
        <v>8.0756969037674011</v>
      </c>
      <c r="AH223" s="3" cm="1">
        <f t="array" ref="AH223">IF(AH$218=-1,AI223,IF(AH$218=99,AE223,IF(AH$218=0,INDEX($E190:$M190,0,AH$216),(INDEX($E190:$M190,0,AH$218+1)-INDEX($E190:$M190,0,AH$218))/(INDEX($E$185:$M$185,0,AH$218+1)-INDEX($E$185:$M$185,0,AH$218))+AE223)))</f>
        <v>8.0960436904106707</v>
      </c>
      <c r="AI223" s="3" cm="1">
        <f t="array" ref="AI223">IF(AI$218=-1,AJ223,IF(AI$218=99,AH223,IF(AI$218=0,INDEX($E190:$M190,0,AI$216),(INDEX($E190:$M190,0,AI$218+1)-INDEX($E190:$M190,0,AI$218))/(INDEX($E$185:$M$185,0,AI$218+1)-INDEX($E$185:$M$185,0,AI$218))+AH223)))</f>
        <v>8.1163904770539403</v>
      </c>
      <c r="AJ223" s="3" cm="1">
        <f t="array" ref="AJ223">IF(AJ$218=-1,AK223,IF(AJ$218=99,AI223,IF(AJ$218=0,INDEX($E190:$M190,0,AJ$216),(INDEX($E190:$M190,0,AJ$218+1)-INDEX($E190:$M190,0,AJ$218))/(INDEX($E$185:$M$185,0,AJ$218+1)-INDEX($E$185:$M$185,0,AJ$218))+AI223)))</f>
        <v>8.13673726369721</v>
      </c>
      <c r="AK223" s="3" cm="1">
        <f t="array" ref="AK223">IF(AK$218=-1,AL223,IF(AK$218=99,AJ223,IF(AK$218=0,INDEX($E190:$M190,0,AK$216),(INDEX($E190:$M190,0,AK$218+1)-INDEX($E190:$M190,0,AK$218))/(INDEX($E$185:$M$185,0,AK$218+1)-INDEX($E$185:$M$185,0,AK$218))+AJ223)))</f>
        <v>8.1570840503404796</v>
      </c>
      <c r="AL223" s="3" cm="1">
        <f t="array" ref="AL223">IF(AL$218=-1,AM223,IF(AL$218=99,AK223,IF(AL$218=0,INDEX($E190:$M190,0,AL$216),(INDEX($E190:$M190,0,AL$218+1)-INDEX($E190:$M190,0,AL$218))/(INDEX($E$185:$M$185,0,AL$218+1)-INDEX($E$185:$M$185,0,AL$218))+AK223)))</f>
        <v>8.1774308369837492</v>
      </c>
      <c r="AM223" s="3" cm="1">
        <f t="array" ref="AM223">IF(AM$218=-1,AO223,IF(AM$218=99,AL223,IF(AM$218=0,INDEX($E190:$M190,0,AM$216),(INDEX($E190:$M190,0,AM$218+1)-INDEX($E190:$M190,0,AM$218))/(INDEX($E$185:$M$185,0,AM$218+1)-INDEX($E$185:$M$185,0,AM$218))+AL223)))</f>
        <v>8.1977776236270188</v>
      </c>
      <c r="AN223" s="3" cm="1">
        <f t="array" ref="AN223">IF(AN$218=-1,AP223,IF(AN$218=99,AL223,IF(AN$218=0,INDEX($E190:$M190,0,AN$216),(INDEX($E190:$M190,0,AN$218+1)-INDEX($E190:$M190,0,AN$218))/(INDEX($E$185:$M$185,0,AN$218+1)-INDEX($E$185:$M$185,0,AN$218))+AL223)))</f>
        <v>8.1977776236270188</v>
      </c>
      <c r="AO223" s="3" cm="1">
        <f t="array" ref="AO223">IF(AO$218=-1,AQ223,IF(AO$218=99,AM223,IF(AO$218=0,INDEX($E190:$M190,0,AO$216),(INDEX($E190:$M190,0,AO$218+1)-INDEX($E190:$M190,0,AO$218))/(INDEX($E$185:$M$185,0,AO$218+1)-INDEX($E$185:$M$185,0,AO$218))+AM223)))</f>
        <v>8.2181244102702884</v>
      </c>
      <c r="AP223" s="3" cm="1">
        <f t="array" ref="AP223">IF(AP$218=-1,AR223,IF(AP$218=99,AO223,IF(AP$218=0,INDEX($E190:$M190,0,AP$216),(INDEX($E190:$M190,0,AP$218+1)-INDEX($E190:$M190,0,AP$218))/(INDEX($E$185:$M$185,0,AP$218+1)-INDEX($E$185:$M$185,0,AP$218))+AO223)))</f>
        <v>8.2384711969135651</v>
      </c>
      <c r="AQ223" s="3" cm="1">
        <f t="array" ref="AQ223">IF(AQ$218=-1,AR223,IF(AQ$218=99,AO223,IF(AQ$218=0,INDEX($E190:$M190,0,AQ$216),(INDEX($E190:$M190,0,AQ$218+1)-INDEX($E190:$M190,0,AQ$218))/(INDEX($E$185:$M$185,0,AQ$218+1)-INDEX($E$185:$M$185,0,AQ$218))+AO223)))</f>
        <v>8.2384711969135651</v>
      </c>
      <c r="AR223" s="245">
        <f t="shared" si="532"/>
        <v>8.1860273754533601</v>
      </c>
      <c r="AS223" s="3" cm="1">
        <f t="array" ref="AS223">IF(AS$218=-1,AT223,IF(AS$218=99,AR223,IF(AS$218=0,INDEX($E190:$M190,0,AS$216),(INDEX($E190:$M190,0,AS$218+1)-INDEX($E190:$M190,0,AS$218))/(INDEX($E$185:$M$185,0,AS$218+1)-INDEX($E$185:$M$185,0,AS$218))+AR223)))</f>
        <v>8.1335835539931569</v>
      </c>
      <c r="AT223" s="3" cm="1">
        <f t="array" ref="AT223">IF(AT$218=-1,AU223,IF(AT$218=99,AS223,IF(AT$218=0,INDEX($E190:$M190,0,AT$216),(INDEX($E190:$M190,0,AT$218+1)-INDEX($E190:$M190,0,AT$218))/(INDEX($E$185:$M$185,0,AT$218+1)-INDEX($E$185:$M$185,0,AT$218))+AS223)))</f>
        <v>8.0564949934721035</v>
      </c>
      <c r="AU223" s="3" cm="1">
        <f t="array" ref="AU223">IF(AU$218=-1,#REF!,IF(AU$218=99,AT223,IF(AU$218=0,INDEX($E190:$M190,0,AU$216),(INDEX($E190:$M190,0,AU$218+1)-INDEX($E190:$M190,0,AU$218))/(INDEX($E$185:$M$185,0,AU$218+1)-INDEX($E$185:$M$185,0,AU$218))+AT223)))</f>
        <v>8.1696057124894956</v>
      </c>
      <c r="AV223" s="3"/>
      <c r="AY223" s="3"/>
      <c r="AZ223" s="3"/>
      <c r="BJ223" s="3"/>
      <c r="BK223" s="92"/>
    </row>
    <row r="224" spans="1:63">
      <c r="F224" s="15" t="str">
        <f t="shared" si="527"/>
        <v>COM_PROJ</v>
      </c>
      <c r="G224" s="16" t="str">
        <f t="shared" si="528"/>
        <v>-</v>
      </c>
      <c r="H224" s="43" t="str">
        <f t="shared" si="529"/>
        <v>TPPUBRT</v>
      </c>
      <c r="I224" s="16" t="str">
        <f t="shared" si="530"/>
        <v>-</v>
      </c>
      <c r="J224" s="16" t="str">
        <f t="shared" si="530"/>
        <v>-</v>
      </c>
      <c r="K224" s="16" t="str">
        <f t="shared" si="530"/>
        <v>-</v>
      </c>
      <c r="L224" s="16" t="str">
        <f t="shared" si="530"/>
        <v>-</v>
      </c>
      <c r="M224" s="15">
        <f t="shared" si="531"/>
        <v>0</v>
      </c>
      <c r="N224" s="3" cm="1">
        <f t="array" ref="N224">IF(N$218=-1,O224,IF(N$218=99,#REF!,IF(N$218=0,INDEX($E191:$M191,0,N$216),(INDEX($E191:$M191,0,N$218+1)-INDEX($E191:$M191,0,N$218))/(INDEX($E$185:$M$185,0,N$218+1)-INDEX($E$185:$M$185,0,N$218))+#REF!)))</f>
        <v>7.2799982901224303E-2</v>
      </c>
      <c r="O224" s="3" cm="1">
        <f t="array" ref="O224">IF(O$218=-1,P224,IF(O$218=99,N224,IF(O$218=0,INDEX($E191:$M191,0,O$216),(INDEX($E191:$M191,0,O$218+1)-INDEX($E191:$M191,0,O$218))/(INDEX($E$185:$M$185,0,O$218+1)-INDEX($E$185:$M$185,0,O$218))+N224)))</f>
        <v>9.2054765383727061E-2</v>
      </c>
      <c r="P224" s="3" cm="1">
        <f t="array" ref="P224">IF(P$218=-1,Q224,IF(P$218=99,O224,IF(P$218=0,INDEX($E191:$M191,0,P$216),(INDEX($E191:$M191,0,P$218+1)-INDEX($E191:$M191,0,P$218))/(INDEX($E$185:$M$185,0,P$218+1)-INDEX($E$185:$M$185,0,P$218))+O224)))</f>
        <v>0.1113095478662298</v>
      </c>
      <c r="Q224" s="3" cm="1">
        <f t="array" ref="Q224">IF(Q$218=-1,R224,IF(Q$218=99,P224,IF(Q$218=0,INDEX($E191:$M191,0,Q$216),(INDEX($E191:$M191,0,Q$218+1)-INDEX($E191:$M191,0,Q$218))/(INDEX($E$185:$M$185,0,Q$218+1)-INDEX($E$185:$M$185,0,Q$218))+P224)))</f>
        <v>0.11091277099762989</v>
      </c>
      <c r="R224" s="3" cm="1">
        <f t="array" ref="R224">IF(R$218=-1,S224,IF(R$218=99,Q224,IF(R$218=0,INDEX($E191:$M191,0,R$216),(INDEX($E191:$M191,0,R$218+1)-INDEX($E191:$M191,0,R$218))/(INDEX($E$185:$M$185,0,R$218+1)-INDEX($E$185:$M$185,0,R$218))+Q224)))</f>
        <v>0.11324882528963676</v>
      </c>
      <c r="S224" s="3" cm="1">
        <f t="array" ref="S224">IF(S$218=-1,T224,IF(S$218=99,R224,IF(S$218=0,INDEX($E191:$M191,0,S$216),(INDEX($E191:$M191,0,S$218+1)-INDEX($E191:$M191,0,S$218))/(INDEX($E$185:$M$185,0,S$218+1)-INDEX($E$185:$M$185,0,S$218))+R224)))</f>
        <v>0.11271362139902404</v>
      </c>
      <c r="T224" s="3" cm="1">
        <f t="array" ref="T224">IF(T$218=-1,W224,IF(T$218=99,S224,IF(T$218=0,INDEX($E191:$M191,0,T$216),(INDEX($E191:$M191,0,T$218+1)-INDEX($E191:$M191,0,T$218))/(INDEX($E$185:$M$185,0,T$218+1)-INDEX($E$185:$M$185,0,T$218))+S224)))</f>
        <v>0.11217841750841132</v>
      </c>
      <c r="U224" s="3" cm="1">
        <f t="array" ref="U224">IF(U$218=-1,W224,IF(U$218=99,S224,IF(U$218=0,INDEX($E191:$M191,0,U$216),(INDEX($E191:$M191,0,U$218+1)-INDEX($E191:$M191,0,U$218))/(INDEX($E$185:$M$185,0,U$218+1)-INDEX($E$185:$M$185,0,U$218))+S224)))</f>
        <v>0.11217841750841132</v>
      </c>
      <c r="V224" s="3" cm="1">
        <f t="array" ref="V224">IF(V$218=-1,W224,IF(V$218=99,S224,IF(V$218=0,INDEX($E191:$M191,0,V$216),(INDEX($E191:$M191,0,V$218+1)-INDEX($E191:$M191,0,V$218))/(INDEX($E$185:$M$185,0,V$218+1)-INDEX($E$185:$M$185,0,V$218))+S224)))</f>
        <v>0.11217841750841132</v>
      </c>
      <c r="W224" s="3" cm="1">
        <f t="array" ref="W224">IF(W$218=-1,X224,IF(W$218=99,T224,IF(W$218=0,INDEX($E191:$M191,0,W$216),(INDEX($E191:$M191,0,W$218+1)-INDEX($E191:$M191,0,W$218))/(INDEX($E$185:$M$185,0,W$218+1)-INDEX($E$185:$M$185,0,W$218))+T224)))</f>
        <v>0.1116432136177986</v>
      </c>
      <c r="X224" s="3" cm="1">
        <f t="array" ref="X224">IF(X$218=-1,Y224,IF(X$218=99,W224,IF(X$218=0,INDEX($E191:$M191,0,X$216),(INDEX($E191:$M191,0,X$218+1)-INDEX($E191:$M191,0,X$218))/(INDEX($E$185:$M$185,0,X$218+1)-INDEX($E$185:$M$185,0,X$218))+W224)))</f>
        <v>0.11110800972718587</v>
      </c>
      <c r="Y224" s="3" cm="1">
        <f t="array" ref="Y224">IF(Y$218=-1,Z224,IF(Y$218=99,X224,IF(Y$218=0,INDEX($E191:$M191,0,Y$216),(INDEX($E191:$M191,0,Y$218+1)-INDEX($E191:$M191,0,Y$218))/(INDEX($E$185:$M$185,0,Y$218+1)-INDEX($E$185:$M$185,0,Y$218))+X224)))</f>
        <v>0.11057280583657315</v>
      </c>
      <c r="Z224" s="3" cm="1">
        <f t="array" ref="Z224">IF(Z$218=-1,AA224,IF(Z$218=99,Y224,IF(Z$218=0,INDEX($E191:$M191,0,Z$216),(INDEX($E191:$M191,0,Z$218+1)-INDEX($E191:$M191,0,Z$218))/(INDEX($E$185:$M$185,0,Z$218+1)-INDEX($E$185:$M$185,0,Z$218))+Y224)))</f>
        <v>0.11003760194596043</v>
      </c>
      <c r="AA224" s="3" cm="1">
        <f t="array" ref="AA224">IF(AA$218=-1,AB224,IF(AA$218=99,Z224,IF(AA$218=0,INDEX($E191:$M191,0,AA$216),(INDEX($E191:$M191,0,AA$218+1)-INDEX($E191:$M191,0,AA$218))/(INDEX($E$185:$M$185,0,AA$218+1)-INDEX($E$185:$M$185,0,AA$218))+Z224)))</f>
        <v>0.10950239805534771</v>
      </c>
      <c r="AB224" s="3" cm="1">
        <f t="array" ref="AB224">IF(AB$218=-1,AC224,IF(AB$218=99,AA224,IF(AB$218=0,INDEX($E191:$M191,0,AB$216),(INDEX($E191:$M191,0,AB$218+1)-INDEX($E191:$M191,0,AB$218))/(INDEX($E$185:$M$185,0,AB$218+1)-INDEX($E$185:$M$185,0,AB$218))+AA224)))</f>
        <v>0.10896719416473499</v>
      </c>
      <c r="AC224" s="3" cm="1">
        <f t="array" ref="AC224">IF(AC$218=-1,AD224,IF(AC$218=99,AB224,IF(AC$218=0,INDEX($E191:$M191,0,AC$216),(INDEX($E191:$M191,0,AC$218+1)-INDEX($E191:$M191,0,AC$218))/(INDEX($E$185:$M$185,0,AC$218+1)-INDEX($E$185:$M$185,0,AC$218))+AB224)))</f>
        <v>0.10843199027412222</v>
      </c>
      <c r="AD224" s="3" cm="1">
        <f t="array" ref="AD224">IF(AD$218=-1,AE224,IF(AD$218=99,AC224,IF(AD$218=0,INDEX($E191:$M191,0,AD$216),(INDEX($E191:$M191,0,AD$218+1)-INDEX($E191:$M191,0,AD$218))/(INDEX($E$185:$M$185,0,AD$218+1)-INDEX($E$185:$M$185,0,AD$218))+AC224)))</f>
        <v>0.10928770473741774</v>
      </c>
      <c r="AE224" s="3" cm="1">
        <f t="array" ref="AE224">IF(AE$218=-1,AH224,IF(AE$218=99,AD224,IF(AE$218=0,INDEX($E191:$M191,0,AE$216),(INDEX($E191:$M191,0,AE$218+1)-INDEX($E191:$M191,0,AE$218))/(INDEX($E$185:$M$185,0,AE$218+1)-INDEX($E$185:$M$185,0,AE$218))+AD224)))</f>
        <v>0.11014341920071326</v>
      </c>
      <c r="AF224" s="3" cm="1">
        <f t="array" ref="AF224">IF(AF$218=-1,AH224,IF(AF$218=99,AD224,IF(AF$218=0,INDEX($E191:$M191,0,AF$216),(INDEX($E191:$M191,0,AF$218+1)-INDEX($E191:$M191,0,AF$218))/(INDEX($E$185:$M$185,0,AF$218+1)-INDEX($E$185:$M$185,0,AF$218))+AD224)))</f>
        <v>0.11014341920071326</v>
      </c>
      <c r="AG224" s="3" cm="1">
        <f t="array" ref="AG224">IF(AG$218=-1,AH224,IF(AG$218=99,AD224,IF(AG$218=0,INDEX($E191:$M191,0,AG$216),(INDEX($E191:$M191,0,AG$218+1)-INDEX($E191:$M191,0,AG$218))/(INDEX($E$185:$M$185,0,AG$218+1)-INDEX($E$185:$M$185,0,AG$218))+AD224)))</f>
        <v>0.11014341920071326</v>
      </c>
      <c r="AH224" s="3" cm="1">
        <f t="array" ref="AH224">IF(AH$218=-1,AI224,IF(AH$218=99,AE224,IF(AH$218=0,INDEX($E191:$M191,0,AH$216),(INDEX($E191:$M191,0,AH$218+1)-INDEX($E191:$M191,0,AH$218))/(INDEX($E$185:$M$185,0,AH$218+1)-INDEX($E$185:$M$185,0,AH$218))+AE224)))</f>
        <v>0.11099913366400878</v>
      </c>
      <c r="AI224" s="3" cm="1">
        <f t="array" ref="AI224">IF(AI$218=-1,AJ224,IF(AI$218=99,AH224,IF(AI$218=0,INDEX($E191:$M191,0,AI$216),(INDEX($E191:$M191,0,AI$218+1)-INDEX($E191:$M191,0,AI$218))/(INDEX($E$185:$M$185,0,AI$218+1)-INDEX($E$185:$M$185,0,AI$218))+AH224)))</f>
        <v>0.1118548481273043</v>
      </c>
      <c r="AJ224" s="3" cm="1">
        <f t="array" ref="AJ224">IF(AJ$218=-1,AK224,IF(AJ$218=99,AI224,IF(AJ$218=0,INDEX($E191:$M191,0,AJ$216),(INDEX($E191:$M191,0,AJ$218+1)-INDEX($E191:$M191,0,AJ$218))/(INDEX($E$185:$M$185,0,AJ$218+1)-INDEX($E$185:$M$185,0,AJ$218))+AI224)))</f>
        <v>0.11271056259059982</v>
      </c>
      <c r="AK224" s="3" cm="1">
        <f t="array" ref="AK224">IF(AK$218=-1,AL224,IF(AK$218=99,AJ224,IF(AK$218=0,INDEX($E191:$M191,0,AK$216),(INDEX($E191:$M191,0,AK$218+1)-INDEX($E191:$M191,0,AK$218))/(INDEX($E$185:$M$185,0,AK$218+1)-INDEX($E$185:$M$185,0,AK$218))+AJ224)))</f>
        <v>0.11356627705389534</v>
      </c>
      <c r="AL224" s="3" cm="1">
        <f t="array" ref="AL224">IF(AL$218=-1,AM224,IF(AL$218=99,AK224,IF(AL$218=0,INDEX($E191:$M191,0,AL$216),(INDEX($E191:$M191,0,AL$218+1)-INDEX($E191:$M191,0,AL$218))/(INDEX($E$185:$M$185,0,AL$218+1)-INDEX($E$185:$M$185,0,AL$218))+AK224)))</f>
        <v>0.11442199151719086</v>
      </c>
      <c r="AM224" s="3" cm="1">
        <f t="array" ref="AM224">IF(AM$218=-1,AO224,IF(AM$218=99,AL224,IF(AM$218=0,INDEX($E191:$M191,0,AM$216),(INDEX($E191:$M191,0,AM$218+1)-INDEX($E191:$M191,0,AM$218))/(INDEX($E$185:$M$185,0,AM$218+1)-INDEX($E$185:$M$185,0,AM$218))+AL224)))</f>
        <v>0.11527770598048638</v>
      </c>
      <c r="AN224" s="3" cm="1">
        <f t="array" ref="AN224">IF(AN$218=-1,AP224,IF(AN$218=99,AL224,IF(AN$218=0,INDEX($E191:$M191,0,AN$216),(INDEX($E191:$M191,0,AN$218+1)-INDEX($E191:$M191,0,AN$218))/(INDEX($E$185:$M$185,0,AN$218+1)-INDEX($E$185:$M$185,0,AN$218))+AL224)))</f>
        <v>0.11527770598048638</v>
      </c>
      <c r="AO224" s="3" cm="1">
        <f t="array" ref="AO224">IF(AO$218=-1,AQ224,IF(AO$218=99,AM224,IF(AO$218=0,INDEX($E191:$M191,0,AO$216),(INDEX($E191:$M191,0,AO$218+1)-INDEX($E191:$M191,0,AO$218))/(INDEX($E$185:$M$185,0,AO$218+1)-INDEX($E$185:$M$185,0,AO$218))+AM224)))</f>
        <v>0.1161334204437819</v>
      </c>
      <c r="AP224" s="3" cm="1">
        <f t="array" ref="AP224">IF(AP$218=-1,AR224,IF(AP$218=99,AO224,IF(AP$218=0,INDEX($E191:$M191,0,AP$216),(INDEX($E191:$M191,0,AP$218+1)-INDEX($E191:$M191,0,AP$218))/(INDEX($E$185:$M$185,0,AP$218+1)-INDEX($E$185:$M$185,0,AP$218))+AO224)))</f>
        <v>0.11698913490707746</v>
      </c>
      <c r="AQ224" s="3" cm="1">
        <f t="array" ref="AQ224">IF(AQ$218=-1,AR224,IF(AQ$218=99,AO224,IF(AQ$218=0,INDEX($E191:$M191,0,AQ$216),(INDEX($E191:$M191,0,AQ$218+1)-INDEX($E191:$M191,0,AQ$218))/(INDEX($E$185:$M$185,0,AQ$218+1)-INDEX($E$185:$M$185,0,AQ$218))+AO224)))</f>
        <v>0.11698913490707746</v>
      </c>
      <c r="AR224" s="245">
        <f t="shared" si="532"/>
        <v>0.12023348355867683</v>
      </c>
      <c r="AS224" s="3" cm="1">
        <f t="array" ref="AS224">IF(AS$218=-1,AT224,IF(AS$218=99,AR224,IF(AS$218=0,INDEX($E191:$M191,0,AS$216),(INDEX($E191:$M191,0,AS$218+1)-INDEX($E191:$M191,0,AS$218))/(INDEX($E$185:$M$185,0,AS$218+1)-INDEX($E$185:$M$185,0,AS$218))+AR224)))</f>
        <v>0.12347783221027619</v>
      </c>
      <c r="AT224" s="3" cm="1">
        <f t="array" ref="AT224">IF(AT$218=-1,AU224,IF(AT$218=99,AS224,IF(AT$218=0,INDEX($E191:$M191,0,AT$216),(INDEX($E191:$M191,0,AT$218+1)-INDEX($E191:$M191,0,AT$218))/(INDEX($E$185:$M$185,0,AT$218+1)-INDEX($E$185:$M$185,0,AT$218))+AS224)))</f>
        <v>0.12714609186757148</v>
      </c>
      <c r="AU224" s="3" cm="1">
        <f t="array" ref="AU224">IF(AU$218=-1,#REF!,IF(AU$218=99,AT224,IF(AU$218=0,INDEX($E191:$M191,0,AU$216),(INDEX($E191:$M191,0,AU$218+1)-INDEX($E191:$M191,0,AU$218))/(INDEX($E$185:$M$185,0,AU$218+1)-INDEX($E$185:$M$185,0,AU$218))+AT224)))</f>
        <v>0.12864270203435063</v>
      </c>
      <c r="AV224" s="3"/>
      <c r="AY224" s="3"/>
      <c r="AZ224" s="3"/>
      <c r="BJ224" s="3"/>
      <c r="BK224" s="92"/>
    </row>
    <row r="225" spans="5:70">
      <c r="F225" s="15" t="str">
        <f t="shared" si="527"/>
        <v>COM_PROJ</v>
      </c>
      <c r="G225" s="16" t="str">
        <f t="shared" si="528"/>
        <v>-</v>
      </c>
      <c r="H225" s="43" t="str">
        <f t="shared" si="529"/>
        <v>TPPUMER</v>
      </c>
      <c r="I225" s="16" t="str">
        <f t="shared" si="530"/>
        <v>-</v>
      </c>
      <c r="J225" s="16" t="str">
        <f t="shared" si="530"/>
        <v>-</v>
      </c>
      <c r="K225" s="16" t="str">
        <f t="shared" si="530"/>
        <v>-</v>
      </c>
      <c r="L225" s="16" t="str">
        <f t="shared" si="530"/>
        <v>-</v>
      </c>
      <c r="M225" s="15">
        <f t="shared" si="531"/>
        <v>0</v>
      </c>
      <c r="N225" s="3" cm="1">
        <f t="array" ref="N225">IF(N$218=-1,O225,IF(N$218=99,#REF!,IF(N$218=0,INDEX($E192:$M192,0,N$216),(INDEX($E192:$M192,0,N$218+1)-INDEX($E192:$M192,0,N$218))/(INDEX($E$185:$M$185,0,N$218+1)-INDEX($E$185:$M$185,0,N$218))+#REF!)))</f>
        <v>8.7048317578401608</v>
      </c>
      <c r="O225" s="3" cm="1">
        <f t="array" ref="O225">IF(O$218=-1,P225,IF(O$218=99,N225,IF(O$218=0,INDEX($E192:$M192,0,O$216),(INDEX($E192:$M192,0,O$218+1)-INDEX($E192:$M192,0,O$218))/(INDEX($E$185:$M$185,0,O$218+1)-INDEX($E$185:$M$185,0,O$218))+N225)))</f>
        <v>8.7898700606728966</v>
      </c>
      <c r="P225" s="3" cm="1">
        <f t="array" ref="P225">IF(P$218=-1,Q225,IF(P$218=99,O225,IF(P$218=0,INDEX($E192:$M192,0,P$216),(INDEX($E192:$M192,0,P$218+1)-INDEX($E192:$M192,0,P$218))/(INDEX($E$185:$M$185,0,P$218+1)-INDEX($E$185:$M$185,0,P$218))+O225)))</f>
        <v>8.8749083635056305</v>
      </c>
      <c r="Q225" s="3" cm="1">
        <f t="array" ref="Q225">IF(Q$218=-1,R225,IF(Q$218=99,P225,IF(Q$218=0,INDEX($E192:$M192,0,Q$216),(INDEX($E192:$M192,0,Q$218+1)-INDEX($E192:$M192,0,Q$218))/(INDEX($E$185:$M$185,0,Q$218+1)-INDEX($E$185:$M$185,0,Q$218))+P225)))</f>
        <v>9.0239745751619225</v>
      </c>
      <c r="R225" s="3" cm="1">
        <f t="array" ref="R225">IF(R$218=-1,S225,IF(R$218=99,Q225,IF(R$218=0,INDEX($E192:$M192,0,R$216),(INDEX($E192:$M192,0,R$218+1)-INDEX($E192:$M192,0,R$218))/(INDEX($E$185:$M$185,0,R$218+1)-INDEX($E$185:$M$185,0,R$218))+Q225)))</f>
        <v>9.1197012950280598</v>
      </c>
      <c r="S225" s="3" cm="1">
        <f t="array" ref="S225">IF(S$218=-1,T225,IF(S$218=99,R225,IF(S$218=0,INDEX($E192:$M192,0,S$216),(INDEX($E192:$M192,0,S$218+1)-INDEX($E192:$M192,0,S$218))/(INDEX($E$185:$M$185,0,S$218+1)-INDEX($E$185:$M$185,0,S$218))+R225)))</f>
        <v>9.6341867103428278</v>
      </c>
      <c r="T225" s="3" cm="1">
        <f t="array" ref="T225">IF(T$218=-1,W225,IF(T$218=99,S225,IF(T$218=0,INDEX($E192:$M192,0,T$216),(INDEX($E192:$M192,0,T$218+1)-INDEX($E192:$M192,0,T$218))/(INDEX($E$185:$M$185,0,T$218+1)-INDEX($E$185:$M$185,0,T$218))+S225)))</f>
        <v>10.148672125657596</v>
      </c>
      <c r="U225" s="3" cm="1">
        <f t="array" ref="U225">IF(U$218=-1,W225,IF(U$218=99,S225,IF(U$218=0,INDEX($E192:$M192,0,U$216),(INDEX($E192:$M192,0,U$218+1)-INDEX($E192:$M192,0,U$218))/(INDEX($E$185:$M$185,0,U$218+1)-INDEX($E$185:$M$185,0,U$218))+S225)))</f>
        <v>10.148672125657596</v>
      </c>
      <c r="V225" s="3" cm="1">
        <f t="array" ref="V225">IF(V$218=-1,W225,IF(V$218=99,S225,IF(V$218=0,INDEX($E192:$M192,0,V$216),(INDEX($E192:$M192,0,V$218+1)-INDEX($E192:$M192,0,V$218))/(INDEX($E$185:$M$185,0,V$218+1)-INDEX($E$185:$M$185,0,V$218))+S225)))</f>
        <v>10.148672125657596</v>
      </c>
      <c r="W225" s="3" cm="1">
        <f t="array" ref="W225">IF(W$218=-1,X225,IF(W$218=99,T225,IF(W$218=0,INDEX($E192:$M192,0,W$216),(INDEX($E192:$M192,0,W$218+1)-INDEX($E192:$M192,0,W$218))/(INDEX($E$185:$M$185,0,W$218+1)-INDEX($E$185:$M$185,0,W$218))+T225)))</f>
        <v>10.663157540972364</v>
      </c>
      <c r="X225" s="3" cm="1">
        <f t="array" ref="X225">IF(X$218=-1,Y225,IF(X$218=99,W225,IF(X$218=0,INDEX($E192:$M192,0,X$216),(INDEX($E192:$M192,0,X$218+1)-INDEX($E192:$M192,0,X$218))/(INDEX($E$185:$M$185,0,X$218+1)-INDEX($E$185:$M$185,0,X$218))+W225)))</f>
        <v>11.177642956287132</v>
      </c>
      <c r="Y225" s="3" cm="1">
        <f t="array" ref="Y225">IF(Y$218=-1,Z225,IF(Y$218=99,X225,IF(Y$218=0,INDEX($E192:$M192,0,Y$216),(INDEX($E192:$M192,0,Y$218+1)-INDEX($E192:$M192,0,Y$218))/(INDEX($E$185:$M$185,0,Y$218+1)-INDEX($E$185:$M$185,0,Y$218))+X225)))</f>
        <v>11.6921283716019</v>
      </c>
      <c r="Z225" s="3" cm="1">
        <f t="array" ref="Z225">IF(Z$218=-1,AA225,IF(Z$218=99,Y225,IF(Z$218=0,INDEX($E192:$M192,0,Z$216),(INDEX($E192:$M192,0,Z$218+1)-INDEX($E192:$M192,0,Z$218))/(INDEX($E$185:$M$185,0,Z$218+1)-INDEX($E$185:$M$185,0,Z$218))+Y225)))</f>
        <v>12.206613786916668</v>
      </c>
      <c r="AA225" s="3" cm="1">
        <f t="array" ref="AA225">IF(AA$218=-1,AB225,IF(AA$218=99,Z225,IF(AA$218=0,INDEX($E192:$M192,0,AA$216),(INDEX($E192:$M192,0,AA$218+1)-INDEX($E192:$M192,0,AA$218))/(INDEX($E$185:$M$185,0,AA$218+1)-INDEX($E$185:$M$185,0,AA$218))+Z225)))</f>
        <v>12.721099202231436</v>
      </c>
      <c r="AB225" s="3" cm="1">
        <f t="array" ref="AB225">IF(AB$218=-1,AC225,IF(AB$218=99,AA225,IF(AB$218=0,INDEX($E192:$M192,0,AB$216),(INDEX($E192:$M192,0,AB$218+1)-INDEX($E192:$M192,0,AB$218))/(INDEX($E$185:$M$185,0,AB$218+1)-INDEX($E$185:$M$185,0,AB$218))+AA225)))</f>
        <v>13.235584617546204</v>
      </c>
      <c r="AC225" s="3" cm="1">
        <f t="array" ref="AC225">IF(AC$218=-1,AD225,IF(AC$218=99,AB225,IF(AC$218=0,INDEX($E192:$M192,0,AC$216),(INDEX($E192:$M192,0,AC$218+1)-INDEX($E192:$M192,0,AC$218))/(INDEX($E$185:$M$185,0,AC$218+1)-INDEX($E$185:$M$185,0,AC$218))+AB225)))</f>
        <v>13.75007003286097</v>
      </c>
      <c r="AD225" s="3" cm="1">
        <f t="array" ref="AD225">IF(AD$218=-1,AE225,IF(AD$218=99,AC225,IF(AD$218=0,INDEX($E192:$M192,0,AD$216),(INDEX($E192:$M192,0,AD$218+1)-INDEX($E192:$M192,0,AD$218))/(INDEX($E$185:$M$185,0,AD$218+1)-INDEX($E$185:$M$185,0,AD$218))+AC225)))</f>
        <v>14.126771775881112</v>
      </c>
      <c r="AE225" s="3" cm="1">
        <f t="array" ref="AE225">IF(AE$218=-1,AH225,IF(AE$218=99,AD225,IF(AE$218=0,INDEX($E192:$M192,0,AE$216),(INDEX($E192:$M192,0,AE$218+1)-INDEX($E192:$M192,0,AE$218))/(INDEX($E$185:$M$185,0,AE$218+1)-INDEX($E$185:$M$185,0,AE$218))+AD225)))</f>
        <v>14.503473518901254</v>
      </c>
      <c r="AF225" s="3" cm="1">
        <f t="array" ref="AF225">IF(AF$218=-1,AH225,IF(AF$218=99,AD225,IF(AF$218=0,INDEX($E192:$M192,0,AF$216),(INDEX($E192:$M192,0,AF$218+1)-INDEX($E192:$M192,0,AF$218))/(INDEX($E$185:$M$185,0,AF$218+1)-INDEX($E$185:$M$185,0,AF$218))+AD225)))</f>
        <v>14.503473518901254</v>
      </c>
      <c r="AG225" s="3" cm="1">
        <f t="array" ref="AG225">IF(AG$218=-1,AH225,IF(AG$218=99,AD225,IF(AG$218=0,INDEX($E192:$M192,0,AG$216),(INDEX($E192:$M192,0,AG$218+1)-INDEX($E192:$M192,0,AG$218))/(INDEX($E$185:$M$185,0,AG$218+1)-INDEX($E$185:$M$185,0,AG$218))+AD225)))</f>
        <v>14.503473518901254</v>
      </c>
      <c r="AH225" s="3" cm="1">
        <f t="array" ref="AH225">IF(AH$218=-1,AI225,IF(AH$218=99,AE225,IF(AH$218=0,INDEX($E192:$M192,0,AH$216),(INDEX($E192:$M192,0,AH$218+1)-INDEX($E192:$M192,0,AH$218))/(INDEX($E$185:$M$185,0,AH$218+1)-INDEX($E$185:$M$185,0,AH$218))+AE225)))</f>
        <v>14.880175261921396</v>
      </c>
      <c r="AI225" s="3" cm="1">
        <f t="array" ref="AI225">IF(AI$218=-1,AJ225,IF(AI$218=99,AH225,IF(AI$218=0,INDEX($E192:$M192,0,AI$216),(INDEX($E192:$M192,0,AI$218+1)-INDEX($E192:$M192,0,AI$218))/(INDEX($E$185:$M$185,0,AI$218+1)-INDEX($E$185:$M$185,0,AI$218))+AH225)))</f>
        <v>15.256877004941538</v>
      </c>
      <c r="AJ225" s="3" cm="1">
        <f t="array" ref="AJ225">IF(AJ$218=-1,AK225,IF(AJ$218=99,AI225,IF(AJ$218=0,INDEX($E192:$M192,0,AJ$216),(INDEX($E192:$M192,0,AJ$218+1)-INDEX($E192:$M192,0,AJ$218))/(INDEX($E$185:$M$185,0,AJ$218+1)-INDEX($E$185:$M$185,0,AJ$218))+AI225)))</f>
        <v>15.63357874796168</v>
      </c>
      <c r="AK225" s="3" cm="1">
        <f t="array" ref="AK225">IF(AK$218=-1,AL225,IF(AK$218=99,AJ225,IF(AK$218=0,INDEX($E192:$M192,0,AK$216),(INDEX($E192:$M192,0,AK$218+1)-INDEX($E192:$M192,0,AK$218))/(INDEX($E$185:$M$185,0,AK$218+1)-INDEX($E$185:$M$185,0,AK$218))+AJ225)))</f>
        <v>16.01028049098182</v>
      </c>
      <c r="AL225" s="3" cm="1">
        <f t="array" ref="AL225">IF(AL$218=-1,AM225,IF(AL$218=99,AK225,IF(AL$218=0,INDEX($E192:$M192,0,AL$216),(INDEX($E192:$M192,0,AL$218+1)-INDEX($E192:$M192,0,AL$218))/(INDEX($E$185:$M$185,0,AL$218+1)-INDEX($E$185:$M$185,0,AL$218))+AK225)))</f>
        <v>16.386982234001962</v>
      </c>
      <c r="AM225" s="3" cm="1">
        <f t="array" ref="AM225">IF(AM$218=-1,AO225,IF(AM$218=99,AL225,IF(AM$218=0,INDEX($E192:$M192,0,AM$216),(INDEX($E192:$M192,0,AM$218+1)-INDEX($E192:$M192,0,AM$218))/(INDEX($E$185:$M$185,0,AM$218+1)-INDEX($E$185:$M$185,0,AM$218))+AL225)))</f>
        <v>16.763683977022104</v>
      </c>
      <c r="AN225" s="3" cm="1">
        <f t="array" ref="AN225">IF(AN$218=-1,AP225,IF(AN$218=99,AL225,IF(AN$218=0,INDEX($E192:$M192,0,AN$216),(INDEX($E192:$M192,0,AN$218+1)-INDEX($E192:$M192,0,AN$218))/(INDEX($E$185:$M$185,0,AN$218+1)-INDEX($E$185:$M$185,0,AN$218))+AL225)))</f>
        <v>16.763683977022104</v>
      </c>
      <c r="AO225" s="3" cm="1">
        <f t="array" ref="AO225">IF(AO$218=-1,AQ225,IF(AO$218=99,AM225,IF(AO$218=0,INDEX($E192:$M192,0,AO$216),(INDEX($E192:$M192,0,AO$218+1)-INDEX($E192:$M192,0,AO$218))/(INDEX($E$185:$M$185,0,AO$218+1)-INDEX($E$185:$M$185,0,AO$218))+AM225)))</f>
        <v>17.140385720042246</v>
      </c>
      <c r="AP225" s="3" cm="1">
        <f t="array" ref="AP225">IF(AP$218=-1,AR225,IF(AP$218=99,AO225,IF(AP$218=0,INDEX($E192:$M192,0,AP$216),(INDEX($E192:$M192,0,AP$218+1)-INDEX($E192:$M192,0,AP$218))/(INDEX($E$185:$M$185,0,AP$218+1)-INDEX($E$185:$M$185,0,AP$218))+AO225)))</f>
        <v>17.517087463062389</v>
      </c>
      <c r="AQ225" s="3" cm="1">
        <f t="array" ref="AQ225">IF(AQ$218=-1,AR225,IF(AQ$218=99,AO225,IF(AQ$218=0,INDEX($E192:$M192,0,AQ$216),(INDEX($E192:$M192,0,AQ$218+1)-INDEX($E192:$M192,0,AQ$218))/(INDEX($E$185:$M$185,0,AQ$218+1)-INDEX($E$185:$M$185,0,AQ$218))+AO225)))</f>
        <v>17.517087463062389</v>
      </c>
      <c r="AR225" s="245">
        <f t="shared" si="532"/>
        <v>17.405578545271936</v>
      </c>
      <c r="AS225" s="3" cm="1">
        <f t="array" ref="AS225">IF(AS$218=-1,AT225,IF(AS$218=99,AR225,IF(AS$218=0,INDEX($E192:$M192,0,AS$216),(INDEX($E192:$M192,0,AS$218+1)-INDEX($E192:$M192,0,AS$218))/(INDEX($E$185:$M$185,0,AS$218+1)-INDEX($E$185:$M$185,0,AS$218))+AR225)))</f>
        <v>17.294069627481488</v>
      </c>
      <c r="AT225" s="3" cm="1">
        <f t="array" ref="AT225">IF(AT$218=-1,AU225,IF(AT$218=99,AS225,IF(AT$218=0,INDEX($E192:$M192,0,AT$216),(INDEX($E192:$M192,0,AT$218+1)-INDEX($E192:$M192,0,AT$218))/(INDEX($E$185:$M$185,0,AT$218+1)-INDEX($E$185:$M$185,0,AT$218))+AS225)))</f>
        <v>17.130159719347713</v>
      </c>
      <c r="AU225" s="3" cm="1">
        <f t="array" ref="AU225">IF(AU$218=-1,#REF!,IF(AU$218=99,AT225,IF(AU$218=0,INDEX($E192:$M192,0,AU$216),(INDEX($E192:$M192,0,AU$218+1)-INDEX($E192:$M192,0,AU$218))/(INDEX($E$185:$M$185,0,AU$218+1)-INDEX($E$185:$M$185,0,AU$218))+AT225)))</f>
        <v>17.370661908489286</v>
      </c>
      <c r="AV225" s="3"/>
      <c r="AY225" s="3"/>
      <c r="AZ225" s="3"/>
      <c r="BJ225" s="3"/>
      <c r="BK225" s="92"/>
    </row>
    <row r="226" spans="5:70">
      <c r="F226" s="15" t="str">
        <f t="shared" si="527"/>
        <v>COM_PROJ</v>
      </c>
      <c r="G226" s="16" t="str">
        <f t="shared" si="528"/>
        <v>-</v>
      </c>
      <c r="H226" s="43" t="str">
        <f t="shared" si="529"/>
        <v>TPPUGAT</v>
      </c>
      <c r="I226" s="16" t="str">
        <f t="shared" si="530"/>
        <v>-</v>
      </c>
      <c r="J226" s="16" t="str">
        <f t="shared" si="530"/>
        <v>-</v>
      </c>
      <c r="K226" s="16" t="str">
        <f t="shared" si="530"/>
        <v>-</v>
      </c>
      <c r="L226" s="16" t="str">
        <f t="shared" si="530"/>
        <v>-</v>
      </c>
      <c r="M226" s="15">
        <f t="shared" si="531"/>
        <v>0</v>
      </c>
      <c r="N226" s="3" cm="1">
        <f t="array" ref="N226">IF(N$218=-1,O226,IF(N$218=99,#REF!,IF(N$218=0,INDEX($E193:$M193,0,N$216),(INDEX($E193:$M193,0,N$218+1)-INDEX($E193:$M193,0,N$218))/(INDEX($E$185:$M$185,0,N$218+1)-INDEX($E$185:$M$185,0,N$218))+#REF!)))</f>
        <v>0.64854136839212595</v>
      </c>
      <c r="O226" s="3" cm="1">
        <f t="array" ref="O226">IF(O$218=-1,P226,IF(O$218=99,N226,IF(O$218=0,INDEX($E193:$M193,0,O$216),(INDEX($E193:$M193,0,O$218+1)-INDEX($E193:$M193,0,O$218))/(INDEX($E$185:$M$185,0,O$218+1)-INDEX($E$185:$M$185,0,O$218))+N226)))</f>
        <v>0.67405613843991108</v>
      </c>
      <c r="P226" s="3" cm="1">
        <f t="array" ref="P226">IF(P$218=-1,Q226,IF(P$218=99,O226,IF(P$218=0,INDEX($E193:$M193,0,P$216),(INDEX($E193:$M193,0,P$218+1)-INDEX($E193:$M193,0,P$218))/(INDEX($E$185:$M$185,0,P$218+1)-INDEX($E$185:$M$185,0,P$218))+O226)))</f>
        <v>0.6995709084876961</v>
      </c>
      <c r="Q226" s="3" cm="1">
        <f t="array" ref="Q226">IF(Q$218=-1,R226,IF(Q$218=99,P226,IF(Q$218=0,INDEX($E193:$M193,0,Q$216),(INDEX($E193:$M193,0,Q$218+1)-INDEX($E193:$M193,0,Q$218))/(INDEX($E$185:$M$185,0,Q$218+1)-INDEX($E$185:$M$185,0,Q$218))+P226)))</f>
        <v>0.64248252977129328</v>
      </c>
      <c r="R226" s="3" cm="1">
        <f t="array" ref="R226">IF(R$218=-1,S226,IF(R$218=99,Q226,IF(R$218=0,INDEX($E193:$M193,0,R$216),(INDEX($E193:$M193,0,R$218+1)-INDEX($E193:$M193,0,R$218))/(INDEX($E$185:$M$185,0,R$218+1)-INDEX($E$185:$M$185,0,R$218))+Q226)))</f>
        <v>0.68522387738371804</v>
      </c>
      <c r="S226" s="3" cm="1">
        <f t="array" ref="S226">IF(S$218=-1,T226,IF(S$218=99,R226,IF(S$218=0,INDEX($E193:$M193,0,S$216),(INDEX($E193:$M193,0,S$218+1)-INDEX($E193:$M193,0,S$218))/(INDEX($E$185:$M$185,0,S$218+1)-INDEX($E$185:$M$185,0,S$218))+R226)))</f>
        <v>0.77236302620910391</v>
      </c>
      <c r="T226" s="3" cm="1">
        <f t="array" ref="T226">IF(T$218=-1,W226,IF(T$218=99,S226,IF(T$218=0,INDEX($E193:$M193,0,T$216),(INDEX($E193:$M193,0,T$218+1)-INDEX($E193:$M193,0,T$218))/(INDEX($E$185:$M$185,0,T$218+1)-INDEX($E$185:$M$185,0,T$218))+S226)))</f>
        <v>0.85950217503448978</v>
      </c>
      <c r="U226" s="3" cm="1">
        <f t="array" ref="U226">IF(U$218=-1,W226,IF(U$218=99,S226,IF(U$218=0,INDEX($E193:$M193,0,U$216),(INDEX($E193:$M193,0,U$218+1)-INDEX($E193:$M193,0,U$218))/(INDEX($E$185:$M$185,0,U$218+1)-INDEX($E$185:$M$185,0,U$218))+S226)))</f>
        <v>0.85950217503448978</v>
      </c>
      <c r="V226" s="3" cm="1">
        <f t="array" ref="V226">IF(V$218=-1,W226,IF(V$218=99,S226,IF(V$218=0,INDEX($E193:$M193,0,V$216),(INDEX($E193:$M193,0,V$218+1)-INDEX($E193:$M193,0,V$218))/(INDEX($E$185:$M$185,0,V$218+1)-INDEX($E$185:$M$185,0,V$218))+S226)))</f>
        <v>0.85950217503448978</v>
      </c>
      <c r="W226" s="3" cm="1">
        <f t="array" ref="W226">IF(W$218=-1,X226,IF(W$218=99,T226,IF(W$218=0,INDEX($E193:$M193,0,W$216),(INDEX($E193:$M193,0,W$218+1)-INDEX($E193:$M193,0,W$218))/(INDEX($E$185:$M$185,0,W$218+1)-INDEX($E$185:$M$185,0,W$218))+T226)))</f>
        <v>0.94664132385987565</v>
      </c>
      <c r="X226" s="3" cm="1">
        <f t="array" ref="X226">IF(X$218=-1,Y226,IF(X$218=99,W226,IF(X$218=0,INDEX($E193:$M193,0,X$216),(INDEX($E193:$M193,0,X$218+1)-INDEX($E193:$M193,0,X$218))/(INDEX($E$185:$M$185,0,X$218+1)-INDEX($E$185:$M$185,0,X$218))+W226)))</f>
        <v>1.0337804726852615</v>
      </c>
      <c r="Y226" s="3" cm="1">
        <f t="array" ref="Y226">IF(Y$218=-1,Z226,IF(Y$218=99,X226,IF(Y$218=0,INDEX($E193:$M193,0,Y$216),(INDEX($E193:$M193,0,Y$218+1)-INDEX($E193:$M193,0,Y$218))/(INDEX($E$185:$M$185,0,Y$218+1)-INDEX($E$185:$M$185,0,Y$218))+X226)))</f>
        <v>1.1209196215106474</v>
      </c>
      <c r="Z226" s="3" cm="1">
        <f t="array" ref="Z226">IF(Z$218=-1,AA226,IF(Z$218=99,Y226,IF(Z$218=0,INDEX($E193:$M193,0,Z$216),(INDEX($E193:$M193,0,Z$218+1)-INDEX($E193:$M193,0,Z$218))/(INDEX($E$185:$M$185,0,Z$218+1)-INDEX($E$185:$M$185,0,Z$218))+Y226)))</f>
        <v>1.2080587703360333</v>
      </c>
      <c r="AA226" s="3" cm="1">
        <f t="array" ref="AA226">IF(AA$218=-1,AB226,IF(AA$218=99,Z226,IF(AA$218=0,INDEX($E193:$M193,0,AA$216),(INDEX($E193:$M193,0,AA$218+1)-INDEX($E193:$M193,0,AA$218))/(INDEX($E$185:$M$185,0,AA$218+1)-INDEX($E$185:$M$185,0,AA$218))+Z226)))</f>
        <v>1.2951979191614191</v>
      </c>
      <c r="AB226" s="3" cm="1">
        <f t="array" ref="AB226">IF(AB$218=-1,AC226,IF(AB$218=99,AA226,IF(AB$218=0,INDEX($E193:$M193,0,AB$216),(INDEX($E193:$M193,0,AB$218+1)-INDEX($E193:$M193,0,AB$218))/(INDEX($E$185:$M$185,0,AB$218+1)-INDEX($E$185:$M$185,0,AB$218))+AA226)))</f>
        <v>1.382337067986805</v>
      </c>
      <c r="AC226" s="3" cm="1">
        <f t="array" ref="AC226">IF(AC$218=-1,AD226,IF(AC$218=99,AB226,IF(AC$218=0,INDEX($E193:$M193,0,AC$216),(INDEX($E193:$M193,0,AC$218+1)-INDEX($E193:$M193,0,AC$218))/(INDEX($E$185:$M$185,0,AC$218+1)-INDEX($E$185:$M$185,0,AC$218))+AB226)))</f>
        <v>1.4694762168121909</v>
      </c>
      <c r="AD226" s="3" cm="1">
        <f t="array" ref="AD226">IF(AD$218=-1,AE226,IF(AD$218=99,AC226,IF(AD$218=0,INDEX($E193:$M193,0,AD$216),(INDEX($E193:$M193,0,AD$218+1)-INDEX($E193:$M193,0,AD$218))/(INDEX($E$185:$M$185,0,AD$218+1)-INDEX($E$185:$M$185,0,AD$218))+AC226)))</f>
        <v>1.5712807158053483</v>
      </c>
      <c r="AE226" s="3" cm="1">
        <f t="array" ref="AE226">IF(AE$218=-1,AH226,IF(AE$218=99,AD226,IF(AE$218=0,INDEX($E193:$M193,0,AE$216),(INDEX($E193:$M193,0,AE$218+1)-INDEX($E193:$M193,0,AE$218))/(INDEX($E$185:$M$185,0,AE$218+1)-INDEX($E$185:$M$185,0,AE$218))+AD226)))</f>
        <v>1.6730852147985058</v>
      </c>
      <c r="AF226" s="3" cm="1">
        <f t="array" ref="AF226">IF(AF$218=-1,AH226,IF(AF$218=99,AD226,IF(AF$218=0,INDEX($E193:$M193,0,AF$216),(INDEX($E193:$M193,0,AF$218+1)-INDEX($E193:$M193,0,AF$218))/(INDEX($E$185:$M$185,0,AF$218+1)-INDEX($E$185:$M$185,0,AF$218))+AD226)))</f>
        <v>1.6730852147985058</v>
      </c>
      <c r="AG226" s="3" cm="1">
        <f t="array" ref="AG226">IF(AG$218=-1,AH226,IF(AG$218=99,AD226,IF(AG$218=0,INDEX($E193:$M193,0,AG$216),(INDEX($E193:$M193,0,AG$218+1)-INDEX($E193:$M193,0,AG$218))/(INDEX($E$185:$M$185,0,AG$218+1)-INDEX($E$185:$M$185,0,AG$218))+AD226)))</f>
        <v>1.6730852147985058</v>
      </c>
      <c r="AH226" s="3" cm="1">
        <f t="array" ref="AH226">IF(AH$218=-1,AI226,IF(AH$218=99,AE226,IF(AH$218=0,INDEX($E193:$M193,0,AH$216),(INDEX($E193:$M193,0,AH$218+1)-INDEX($E193:$M193,0,AH$218))/(INDEX($E$185:$M$185,0,AH$218+1)-INDEX($E$185:$M$185,0,AH$218))+AE226)))</f>
        <v>1.7748897137916633</v>
      </c>
      <c r="AI226" s="3" cm="1">
        <f t="array" ref="AI226">IF(AI$218=-1,AJ226,IF(AI$218=99,AH226,IF(AI$218=0,INDEX($E193:$M193,0,AI$216),(INDEX($E193:$M193,0,AI$218+1)-INDEX($E193:$M193,0,AI$218))/(INDEX($E$185:$M$185,0,AI$218+1)-INDEX($E$185:$M$185,0,AI$218))+AH226)))</f>
        <v>1.8766942127848207</v>
      </c>
      <c r="AJ226" s="3" cm="1">
        <f t="array" ref="AJ226">IF(AJ$218=-1,AK226,IF(AJ$218=99,AI226,IF(AJ$218=0,INDEX($E193:$M193,0,AJ$216),(INDEX($E193:$M193,0,AJ$218+1)-INDEX($E193:$M193,0,AJ$218))/(INDEX($E$185:$M$185,0,AJ$218+1)-INDEX($E$185:$M$185,0,AJ$218))+AI226)))</f>
        <v>1.9784987117779782</v>
      </c>
      <c r="AK226" s="3" cm="1">
        <f t="array" ref="AK226">IF(AK$218=-1,AL226,IF(AK$218=99,AJ226,IF(AK$218=0,INDEX($E193:$M193,0,AK$216),(INDEX($E193:$M193,0,AK$218+1)-INDEX($E193:$M193,0,AK$218))/(INDEX($E$185:$M$185,0,AK$218+1)-INDEX($E$185:$M$185,0,AK$218))+AJ226)))</f>
        <v>2.0803032107711359</v>
      </c>
      <c r="AL226" s="3" cm="1">
        <f t="array" ref="AL226">IF(AL$218=-1,AM226,IF(AL$218=99,AK226,IF(AL$218=0,INDEX($E193:$M193,0,AL$216),(INDEX($E193:$M193,0,AL$218+1)-INDEX($E193:$M193,0,AL$218))/(INDEX($E$185:$M$185,0,AL$218+1)-INDEX($E$185:$M$185,0,AL$218))+AK226)))</f>
        <v>2.1821077097642934</v>
      </c>
      <c r="AM226" s="3" cm="1">
        <f t="array" ref="AM226">IF(AM$218=-1,AO226,IF(AM$218=99,AL226,IF(AM$218=0,INDEX($E193:$M193,0,AM$216),(INDEX($E193:$M193,0,AM$218+1)-INDEX($E193:$M193,0,AM$218))/(INDEX($E$185:$M$185,0,AM$218+1)-INDEX($E$185:$M$185,0,AM$218))+AL226)))</f>
        <v>2.2839122087574508</v>
      </c>
      <c r="AN226" s="3" cm="1">
        <f t="array" ref="AN226">IF(AN$218=-1,AP226,IF(AN$218=99,AL226,IF(AN$218=0,INDEX($E193:$M193,0,AN$216),(INDEX($E193:$M193,0,AN$218+1)-INDEX($E193:$M193,0,AN$218))/(INDEX($E$185:$M$185,0,AN$218+1)-INDEX($E$185:$M$185,0,AN$218))+AL226)))</f>
        <v>2.2839122087574508</v>
      </c>
      <c r="AO226" s="3" cm="1">
        <f t="array" ref="AO226">IF(AO$218=-1,AQ226,IF(AO$218=99,AM226,IF(AO$218=0,INDEX($E193:$M193,0,AO$216),(INDEX($E193:$M193,0,AO$218+1)-INDEX($E193:$M193,0,AO$218))/(INDEX($E$185:$M$185,0,AO$218+1)-INDEX($E$185:$M$185,0,AO$218))+AM226)))</f>
        <v>2.3857167077506083</v>
      </c>
      <c r="AP226" s="3" cm="1">
        <f t="array" ref="AP226">IF(AP$218=-1,AR226,IF(AP$218=99,AO226,IF(AP$218=0,INDEX($E193:$M193,0,AP$216),(INDEX($E193:$M193,0,AP$218+1)-INDEX($E193:$M193,0,AP$218))/(INDEX($E$185:$M$185,0,AP$218+1)-INDEX($E$185:$M$185,0,AP$218))+AO226)))</f>
        <v>2.4875212067437662</v>
      </c>
      <c r="AQ226" s="3" cm="1">
        <f t="array" ref="AQ226">IF(AQ$218=-1,AR226,IF(AQ$218=99,AO226,IF(AQ$218=0,INDEX($E193:$M193,0,AQ$216),(INDEX($E193:$M193,0,AQ$218+1)-INDEX($E193:$M193,0,AQ$218))/(INDEX($E$185:$M$185,0,AQ$218+1)-INDEX($E$185:$M$185,0,AQ$218))+AO226)))</f>
        <v>2.4875212067437662</v>
      </c>
      <c r="AR226" s="245">
        <f t="shared" si="532"/>
        <v>3.3725538357024973</v>
      </c>
      <c r="AS226" s="3" cm="1">
        <f t="array" ref="AS226">IF(AS$218=-1,AT226,IF(AS$218=99,AR226,IF(AS$218=0,INDEX($E193:$M193,0,AS$216),(INDEX($E193:$M193,0,AS$218+1)-INDEX($E193:$M193,0,AS$218))/(INDEX($E$185:$M$185,0,AS$218+1)-INDEX($E$185:$M$185,0,AS$218))+AR226)))</f>
        <v>4.2575864646612285</v>
      </c>
      <c r="AT226" s="3" cm="1">
        <f t="array" ref="AT226">IF(AT$218=-1,AU226,IF(AT$218=99,AS226,IF(AT$218=0,INDEX($E193:$M193,0,AT$216),(INDEX($E193:$M193,0,AT$218+1)-INDEX($E193:$M193,0,AT$218))/(INDEX($E$185:$M$185,0,AT$218+1)-INDEX($E$185:$M$185,0,AT$218))+AS226)))</f>
        <v>5.5494308972229671</v>
      </c>
      <c r="AU226" s="3" cm="1">
        <f t="array" ref="AU226">IF(AU$218=-1,#REF!,IF(AU$218=99,AT226,IF(AU$218=0,INDEX($E193:$M193,0,AU$216),(INDEX($E193:$M193,0,AU$218+1)-INDEX($E193:$M193,0,AU$218))/(INDEX($E$185:$M$185,0,AU$218+1)-INDEX($E$185:$M$185,0,AU$218))+AT226)))</f>
        <v>6.5688265757783757</v>
      </c>
      <c r="AV226" s="3"/>
      <c r="AY226" s="3"/>
      <c r="AZ226" s="3"/>
      <c r="BJ226" s="3"/>
      <c r="BK226" s="92"/>
    </row>
    <row r="227" spans="5:70">
      <c r="E227" t="s">
        <v>16</v>
      </c>
      <c r="J227"/>
      <c r="U227" s="31"/>
    </row>
    <row r="228" spans="5:70" s="98" customFormat="1">
      <c r="E228" s="97" t="s">
        <v>16</v>
      </c>
      <c r="F228" s="98" t="s">
        <v>376</v>
      </c>
      <c r="G228" s="98">
        <v>1</v>
      </c>
      <c r="H228" s="98">
        <v>2006</v>
      </c>
      <c r="I228" s="98" t="e">
        <f>#REF!</f>
        <v>#REF!</v>
      </c>
      <c r="J228" s="98">
        <v>2017</v>
      </c>
      <c r="K228" s="98">
        <v>2020</v>
      </c>
      <c r="L228" s="98">
        <v>2030</v>
      </c>
      <c r="M228" s="98">
        <v>2040</v>
      </c>
      <c r="N228" s="103"/>
      <c r="O228" s="97"/>
      <c r="U228" s="98" t="e">
        <f t="shared" ref="U228:BK228" si="533">MATCH(T$232,$H$228:$N$228,$G228)</f>
        <v>#N/A</v>
      </c>
      <c r="V228" s="98">
        <f t="shared" si="533"/>
        <v>3</v>
      </c>
      <c r="W228" s="98">
        <f t="shared" si="533"/>
        <v>3</v>
      </c>
      <c r="X228" s="98">
        <f t="shared" si="533"/>
        <v>3</v>
      </c>
      <c r="Y228" s="98">
        <f t="shared" si="533"/>
        <v>4</v>
      </c>
      <c r="Z228" s="98">
        <f t="shared" si="533"/>
        <v>4</v>
      </c>
      <c r="AA228" s="98">
        <f t="shared" si="533"/>
        <v>4</v>
      </c>
      <c r="AB228" s="98">
        <f>MATCH(Z$232,$H$228:$N$228,$G228)</f>
        <v>4</v>
      </c>
      <c r="AC228" s="98">
        <f>MATCH(Z$232,$H$228:$N$228,$G228)</f>
        <v>4</v>
      </c>
      <c r="AD228" s="98">
        <f>MATCH(AA$232,$H$228:$N$228,$G228)</f>
        <v>4</v>
      </c>
      <c r="AE228" s="98">
        <f t="shared" si="533"/>
        <v>4</v>
      </c>
      <c r="AF228" s="98">
        <f t="shared" si="533"/>
        <v>4</v>
      </c>
      <c r="AG228" s="98">
        <f t="shared" si="533"/>
        <v>4</v>
      </c>
      <c r="AH228" s="98">
        <f t="shared" si="533"/>
        <v>4</v>
      </c>
      <c r="AI228" s="98">
        <f t="shared" si="533"/>
        <v>4</v>
      </c>
      <c r="AJ228" s="98">
        <f t="shared" si="533"/>
        <v>4</v>
      </c>
      <c r="AK228" s="98">
        <f t="shared" si="533"/>
        <v>5</v>
      </c>
      <c r="AL228" s="98">
        <f t="shared" si="533"/>
        <v>5</v>
      </c>
      <c r="AM228" s="98">
        <f>MATCH(AK$232,$H$228:$N$228,$G228)</f>
        <v>5</v>
      </c>
      <c r="AN228" s="98">
        <f>MATCH(AK$232,$H$228:$N$228,$G228)</f>
        <v>5</v>
      </c>
      <c r="AO228" s="98">
        <f>MATCH(AL$232,$H$228:$N$228,$G228)</f>
        <v>5</v>
      </c>
      <c r="AP228" s="98">
        <f t="shared" si="533"/>
        <v>5</v>
      </c>
      <c r="AQ228" s="98">
        <f t="shared" si="533"/>
        <v>5</v>
      </c>
      <c r="AR228" s="98">
        <f t="shared" si="533"/>
        <v>5</v>
      </c>
      <c r="AS228" s="98">
        <f t="shared" si="533"/>
        <v>5</v>
      </c>
      <c r="AT228" s="98">
        <f t="shared" si="533"/>
        <v>5</v>
      </c>
      <c r="AU228" s="98">
        <f>MATCH(AS$232,$H$228:$N$228,$G228)</f>
        <v>5</v>
      </c>
      <c r="AV228" s="98">
        <f>MATCH(AT$232,$H$228:$N$228,$G228)</f>
        <v>5</v>
      </c>
      <c r="AW228" s="98">
        <f t="shared" si="533"/>
        <v>5</v>
      </c>
      <c r="AX228" s="98">
        <f>MATCH(AV$232,$H$228:$N$228,$G228)</f>
        <v>5</v>
      </c>
      <c r="AY228" s="98">
        <f t="shared" si="533"/>
        <v>6</v>
      </c>
      <c r="AZ228" s="98">
        <f t="shared" si="533"/>
        <v>6</v>
      </c>
      <c r="BA228" s="98">
        <f t="shared" si="533"/>
        <v>6</v>
      </c>
      <c r="BB228" s="98">
        <f t="shared" si="533"/>
        <v>6</v>
      </c>
      <c r="BC228" s="98">
        <f t="shared" si="533"/>
        <v>6</v>
      </c>
      <c r="BD228" s="98">
        <f t="shared" si="533"/>
        <v>6</v>
      </c>
      <c r="BE228" s="98">
        <f t="shared" si="533"/>
        <v>6</v>
      </c>
      <c r="BF228" s="98">
        <f t="shared" si="533"/>
        <v>6</v>
      </c>
      <c r="BG228" s="98">
        <f t="shared" si="533"/>
        <v>6</v>
      </c>
      <c r="BH228" s="98">
        <f t="shared" si="533"/>
        <v>6</v>
      </c>
      <c r="BI228" s="98">
        <f t="shared" si="533"/>
        <v>6</v>
      </c>
      <c r="BJ228" s="98">
        <f t="shared" si="533"/>
        <v>6</v>
      </c>
      <c r="BK228" s="98">
        <f t="shared" si="533"/>
        <v>6</v>
      </c>
    </row>
    <row r="229" spans="5:70">
      <c r="E229" s="31" t="s">
        <v>16</v>
      </c>
      <c r="F229" t="s">
        <v>377</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1">
        <v>2017</v>
      </c>
      <c r="P229">
        <v>2020</v>
      </c>
      <c r="Q229">
        <v>2030</v>
      </c>
      <c r="R229">
        <v>2040</v>
      </c>
      <c r="S229">
        <v>0</v>
      </c>
      <c r="U229" t="e">
        <f t="shared" ref="U229:BK229" si="534">MATCH(T$232,$H$228:$N$228,$G229)</f>
        <v>#N/A</v>
      </c>
      <c r="V229">
        <f t="shared" si="534"/>
        <v>3</v>
      </c>
      <c r="W229" t="e">
        <f t="shared" si="534"/>
        <v>#N/A</v>
      </c>
      <c r="X229" t="e">
        <f t="shared" si="534"/>
        <v>#N/A</v>
      </c>
      <c r="Y229">
        <f t="shared" si="534"/>
        <v>4</v>
      </c>
      <c r="Z229" t="e">
        <f t="shared" si="534"/>
        <v>#N/A</v>
      </c>
      <c r="AA229" t="e">
        <f t="shared" si="534"/>
        <v>#N/A</v>
      </c>
      <c r="AB229" t="e">
        <f>MATCH(Z$232,$H$228:$N$228,$G229)</f>
        <v>#N/A</v>
      </c>
      <c r="AC229" t="e">
        <f>MATCH(Z$232,$H$228:$N$228,$G229)</f>
        <v>#N/A</v>
      </c>
      <c r="AD229" t="e">
        <f>MATCH(AA$232,$H$228:$N$228,$G229)</f>
        <v>#N/A</v>
      </c>
      <c r="AE229" t="e">
        <f t="shared" si="534"/>
        <v>#N/A</v>
      </c>
      <c r="AF229" t="e">
        <f t="shared" si="534"/>
        <v>#N/A</v>
      </c>
      <c r="AG229" t="e">
        <f t="shared" si="534"/>
        <v>#N/A</v>
      </c>
      <c r="AH229" t="e">
        <f t="shared" si="534"/>
        <v>#N/A</v>
      </c>
      <c r="AI229" t="e">
        <f t="shared" si="534"/>
        <v>#N/A</v>
      </c>
      <c r="AJ229" t="e">
        <f t="shared" si="534"/>
        <v>#N/A</v>
      </c>
      <c r="AK229">
        <f t="shared" si="534"/>
        <v>5</v>
      </c>
      <c r="AL229" t="e">
        <f t="shared" si="534"/>
        <v>#N/A</v>
      </c>
      <c r="AM229" t="e">
        <f>MATCH(AK$232,$H$228:$N$228,$G229)</f>
        <v>#N/A</v>
      </c>
      <c r="AN229" t="e">
        <f>MATCH(AK$232,$H$228:$N$228,$G229)</f>
        <v>#N/A</v>
      </c>
      <c r="AO229" t="e">
        <f>MATCH(AL$232,$H$228:$N$228,$G229)</f>
        <v>#N/A</v>
      </c>
      <c r="AP229" t="e">
        <f t="shared" si="534"/>
        <v>#N/A</v>
      </c>
      <c r="AQ229" t="e">
        <f t="shared" si="534"/>
        <v>#N/A</v>
      </c>
      <c r="AR229" t="e">
        <f t="shared" si="534"/>
        <v>#N/A</v>
      </c>
      <c r="AS229" t="e">
        <f t="shared" si="534"/>
        <v>#N/A</v>
      </c>
      <c r="AT229" t="e">
        <f t="shared" si="534"/>
        <v>#N/A</v>
      </c>
      <c r="AU229" t="e">
        <f>MATCH(AS$232,$H$228:$N$228,$G229)</f>
        <v>#N/A</v>
      </c>
      <c r="AV229" t="e">
        <f>MATCH(AT$232,$H$228:$N$228,$G229)</f>
        <v>#N/A</v>
      </c>
      <c r="AW229" t="e">
        <f t="shared" si="534"/>
        <v>#N/A</v>
      </c>
      <c r="AX229" t="e">
        <f>MATCH(AV$232,$H$228:$N$228,$G229)</f>
        <v>#N/A</v>
      </c>
      <c r="AY229">
        <f t="shared" si="534"/>
        <v>6</v>
      </c>
      <c r="AZ229" t="e">
        <f t="shared" si="534"/>
        <v>#N/A</v>
      </c>
      <c r="BA229" t="e">
        <f t="shared" si="534"/>
        <v>#N/A</v>
      </c>
      <c r="BB229" t="e">
        <f t="shared" si="534"/>
        <v>#N/A</v>
      </c>
      <c r="BC229" t="e">
        <f t="shared" si="534"/>
        <v>#N/A</v>
      </c>
      <c r="BD229" t="e">
        <f t="shared" si="534"/>
        <v>#N/A</v>
      </c>
      <c r="BE229" t="e">
        <f t="shared" si="534"/>
        <v>#N/A</v>
      </c>
      <c r="BF229" t="e">
        <f t="shared" si="534"/>
        <v>#N/A</v>
      </c>
      <c r="BG229" t="e">
        <f t="shared" si="534"/>
        <v>#N/A</v>
      </c>
      <c r="BH229" t="e">
        <f t="shared" si="534"/>
        <v>#N/A</v>
      </c>
      <c r="BI229" t="e">
        <f t="shared" si="534"/>
        <v>#N/A</v>
      </c>
      <c r="BJ229" t="e">
        <f t="shared" si="534"/>
        <v>#N/A</v>
      </c>
      <c r="BK229" t="e">
        <f t="shared" si="534"/>
        <v>#N/A</v>
      </c>
    </row>
    <row r="230" spans="5:70">
      <c r="E230" s="31" t="s">
        <v>16</v>
      </c>
      <c r="F230" t="s">
        <v>375</v>
      </c>
      <c r="G230">
        <v>-1</v>
      </c>
      <c r="H230">
        <v>0</v>
      </c>
      <c r="I230">
        <v>1</v>
      </c>
      <c r="J230">
        <v>2</v>
      </c>
      <c r="K230">
        <v>3</v>
      </c>
      <c r="L230">
        <v>4</v>
      </c>
      <c r="M230">
        <v>5</v>
      </c>
      <c r="U230">
        <f t="shared" ref="U230:BK230" si="535">MATCH(T$232,$H$229:$N$229,$G230)</f>
        <v>6</v>
      </c>
      <c r="V230">
        <f t="shared" si="535"/>
        <v>3</v>
      </c>
      <c r="W230">
        <f t="shared" si="535"/>
        <v>2</v>
      </c>
      <c r="X230">
        <f t="shared" si="535"/>
        <v>2</v>
      </c>
      <c r="Y230">
        <f t="shared" si="535"/>
        <v>2</v>
      </c>
      <c r="Z230">
        <f t="shared" si="535"/>
        <v>1</v>
      </c>
      <c r="AA230">
        <f t="shared" si="535"/>
        <v>1</v>
      </c>
      <c r="AB230">
        <f>MATCH(Z$232,$H$229:$N$229,$G230)</f>
        <v>1</v>
      </c>
      <c r="AC230">
        <f>MATCH(Z$232,$H$229:$N$229,$G230)</f>
        <v>1</v>
      </c>
      <c r="AD230">
        <f>MATCH(AA$232,$H$229:$N$229,$G230)</f>
        <v>1</v>
      </c>
      <c r="AE230">
        <f t="shared" si="535"/>
        <v>1</v>
      </c>
      <c r="AF230">
        <f t="shared" si="535"/>
        <v>1</v>
      </c>
      <c r="AG230">
        <f t="shared" si="535"/>
        <v>1</v>
      </c>
      <c r="AH230">
        <f t="shared" si="535"/>
        <v>1</v>
      </c>
      <c r="AI230">
        <f t="shared" si="535"/>
        <v>1</v>
      </c>
      <c r="AJ230">
        <f t="shared" si="535"/>
        <v>1</v>
      </c>
      <c r="AK230">
        <f t="shared" si="535"/>
        <v>1</v>
      </c>
      <c r="AL230" t="e">
        <f t="shared" si="535"/>
        <v>#N/A</v>
      </c>
      <c r="AM230" t="e">
        <f>MATCH(AK$232,$H$229:$N$229,$G230)</f>
        <v>#N/A</v>
      </c>
      <c r="AN230" t="e">
        <f>MATCH(AK$232,$H$229:$N$229,$G230)</f>
        <v>#N/A</v>
      </c>
      <c r="AO230" t="e">
        <f>MATCH(AL$232,$H$229:$N$229,$G230)</f>
        <v>#N/A</v>
      </c>
      <c r="AP230" t="e">
        <f t="shared" si="535"/>
        <v>#N/A</v>
      </c>
      <c r="AQ230" t="e">
        <f t="shared" si="535"/>
        <v>#N/A</v>
      </c>
      <c r="AR230" t="e">
        <f t="shared" si="535"/>
        <v>#N/A</v>
      </c>
      <c r="AS230" t="e">
        <f t="shared" si="535"/>
        <v>#N/A</v>
      </c>
      <c r="AT230" t="e">
        <f t="shared" si="535"/>
        <v>#N/A</v>
      </c>
      <c r="AU230" t="e">
        <f>MATCH(AS$232,$H$229:$N$229,$G230)</f>
        <v>#N/A</v>
      </c>
      <c r="AV230" t="e">
        <f>MATCH(AT$232,$H$229:$N$229,$G230)</f>
        <v>#N/A</v>
      </c>
      <c r="AW230" t="e">
        <f t="shared" si="535"/>
        <v>#N/A</v>
      </c>
      <c r="AX230" t="e">
        <f>MATCH(AV$232,$H$229:$N$229,$G230)</f>
        <v>#N/A</v>
      </c>
      <c r="AY230" t="e">
        <f t="shared" si="535"/>
        <v>#N/A</v>
      </c>
      <c r="AZ230" t="e">
        <f t="shared" si="535"/>
        <v>#N/A</v>
      </c>
      <c r="BA230" t="e">
        <f t="shared" si="535"/>
        <v>#N/A</v>
      </c>
      <c r="BB230" t="e">
        <f t="shared" si="535"/>
        <v>#N/A</v>
      </c>
      <c r="BC230" t="e">
        <f t="shared" si="535"/>
        <v>#N/A</v>
      </c>
      <c r="BD230" t="e">
        <f t="shared" si="535"/>
        <v>#N/A</v>
      </c>
      <c r="BE230" t="e">
        <f t="shared" si="535"/>
        <v>#N/A</v>
      </c>
      <c r="BF230" t="e">
        <f t="shared" si="535"/>
        <v>#N/A</v>
      </c>
      <c r="BG230" t="e">
        <f t="shared" si="535"/>
        <v>#N/A</v>
      </c>
      <c r="BH230" t="e">
        <f t="shared" si="535"/>
        <v>#N/A</v>
      </c>
      <c r="BI230" t="e">
        <f t="shared" si="535"/>
        <v>#N/A</v>
      </c>
      <c r="BJ230" t="e">
        <f t="shared" si="535"/>
        <v>#N/A</v>
      </c>
      <c r="BK230" t="e">
        <f t="shared" si="535"/>
        <v>#N/A</v>
      </c>
    </row>
    <row r="231" spans="5:70" s="100" customFormat="1">
      <c r="E231" s="99" t="s">
        <v>16</v>
      </c>
      <c r="F231" s="100" t="s">
        <v>378</v>
      </c>
      <c r="O231" s="66"/>
      <c r="P231" s="66"/>
      <c r="Q231" s="66"/>
      <c r="R231" s="66"/>
      <c r="S231" s="66"/>
      <c r="T231" s="66"/>
      <c r="U231" s="66">
        <f t="shared" ref="U231:BK231" si="536">IF(ISNA(U228),-1,IF(ISNA(U230),99,IF(ISNA(U229),U228,0)))</f>
        <v>-1</v>
      </c>
      <c r="V231" s="66">
        <f t="shared" si="536"/>
        <v>0</v>
      </c>
      <c r="W231" s="66">
        <f t="shared" si="536"/>
        <v>3</v>
      </c>
      <c r="X231" s="66">
        <f t="shared" si="536"/>
        <v>3</v>
      </c>
      <c r="Y231" s="66">
        <f t="shared" si="536"/>
        <v>0</v>
      </c>
      <c r="Z231" s="66">
        <f t="shared" si="536"/>
        <v>4</v>
      </c>
      <c r="AA231" s="66">
        <f t="shared" si="536"/>
        <v>4</v>
      </c>
      <c r="AB231" s="66">
        <f t="shared" ref="AB231:AC231" si="537">IF(ISNA(AB228),-1,IF(ISNA(AB230),99,IF(ISNA(AB229),AB228,0)))</f>
        <v>4</v>
      </c>
      <c r="AC231" s="66">
        <f t="shared" si="537"/>
        <v>4</v>
      </c>
      <c r="AD231" s="66">
        <f t="shared" si="536"/>
        <v>4</v>
      </c>
      <c r="AE231" s="66">
        <f t="shared" si="536"/>
        <v>4</v>
      </c>
      <c r="AF231" s="66">
        <f t="shared" si="536"/>
        <v>4</v>
      </c>
      <c r="AG231" s="66">
        <f t="shared" si="536"/>
        <v>4</v>
      </c>
      <c r="AH231" s="66">
        <f t="shared" si="536"/>
        <v>4</v>
      </c>
      <c r="AI231" s="66">
        <f t="shared" si="536"/>
        <v>4</v>
      </c>
      <c r="AJ231" s="66">
        <f t="shared" si="536"/>
        <v>4</v>
      </c>
      <c r="AK231" s="66">
        <f t="shared" si="536"/>
        <v>0</v>
      </c>
      <c r="AL231" s="66">
        <f t="shared" si="536"/>
        <v>99</v>
      </c>
      <c r="AM231" s="66">
        <f t="shared" ref="AM231:AN231" si="538">IF(ISNA(AM228),-1,IF(ISNA(AM230),99,IF(ISNA(AM229),AM228,0)))</f>
        <v>99</v>
      </c>
      <c r="AN231" s="66">
        <f t="shared" si="538"/>
        <v>99</v>
      </c>
      <c r="AO231" s="66">
        <f t="shared" si="536"/>
        <v>99</v>
      </c>
      <c r="AP231" s="66">
        <f t="shared" si="536"/>
        <v>99</v>
      </c>
      <c r="AQ231" s="66">
        <f t="shared" si="536"/>
        <v>99</v>
      </c>
      <c r="AR231" s="66">
        <f t="shared" si="536"/>
        <v>99</v>
      </c>
      <c r="AS231" s="66">
        <f t="shared" si="536"/>
        <v>99</v>
      </c>
      <c r="AT231" s="66">
        <f t="shared" si="536"/>
        <v>99</v>
      </c>
      <c r="AU231" s="66">
        <f t="shared" ref="AU231" si="539">IF(ISNA(AU228),-1,IF(ISNA(AU230),99,IF(ISNA(AU229),AU228,0)))</f>
        <v>99</v>
      </c>
      <c r="AV231" s="66">
        <f t="shared" si="536"/>
        <v>99</v>
      </c>
      <c r="AW231" s="66">
        <f t="shared" ref="AW231" si="540">IF(ISNA(AW228),-1,IF(ISNA(AW230),99,IF(ISNA(AW229),AW228,0)))</f>
        <v>99</v>
      </c>
      <c r="AX231" s="66">
        <f t="shared" si="536"/>
        <v>99</v>
      </c>
      <c r="AY231" s="66">
        <f t="shared" si="536"/>
        <v>99</v>
      </c>
      <c r="AZ231" s="66">
        <f t="shared" si="536"/>
        <v>99</v>
      </c>
      <c r="BA231" s="66">
        <f t="shared" si="536"/>
        <v>99</v>
      </c>
      <c r="BB231" s="66">
        <f t="shared" si="536"/>
        <v>99</v>
      </c>
      <c r="BC231" s="66">
        <f t="shared" si="536"/>
        <v>99</v>
      </c>
      <c r="BD231" s="66">
        <f t="shared" si="536"/>
        <v>99</v>
      </c>
      <c r="BE231" s="66">
        <f t="shared" si="536"/>
        <v>99</v>
      </c>
      <c r="BF231" s="66">
        <f t="shared" si="536"/>
        <v>99</v>
      </c>
      <c r="BG231" s="66">
        <f t="shared" si="536"/>
        <v>99</v>
      </c>
      <c r="BH231" s="66">
        <f t="shared" si="536"/>
        <v>99</v>
      </c>
      <c r="BI231" s="66">
        <f t="shared" si="536"/>
        <v>99</v>
      </c>
      <c r="BJ231" s="66">
        <f t="shared" si="536"/>
        <v>99</v>
      </c>
      <c r="BK231" s="66">
        <f t="shared" si="536"/>
        <v>99</v>
      </c>
      <c r="BM231" s="66"/>
      <c r="BN231" s="66"/>
      <c r="BO231" s="66"/>
      <c r="BP231" s="66"/>
      <c r="BQ231" s="66"/>
      <c r="BR231" s="66"/>
    </row>
    <row r="232" spans="5:70">
      <c r="E232" t="s">
        <v>16</v>
      </c>
      <c r="G232" s="10"/>
      <c r="H232" s="10"/>
      <c r="I232" s="10"/>
      <c r="J232" s="10"/>
      <c r="K232" s="10"/>
      <c r="L232" s="10" t="s">
        <v>418</v>
      </c>
      <c r="M232" s="10"/>
      <c r="N232" s="12"/>
      <c r="O232" s="12"/>
      <c r="P232" s="12"/>
      <c r="Q232" s="12"/>
      <c r="R232" s="12"/>
      <c r="S232" s="12"/>
      <c r="T232" s="12"/>
      <c r="U232" s="12">
        <v>2017</v>
      </c>
      <c r="V232" s="12">
        <f t="shared" ref="V232:BH232" si="541">1+U232</f>
        <v>2018</v>
      </c>
      <c r="W232" s="12">
        <f t="shared" si="541"/>
        <v>2019</v>
      </c>
      <c r="X232" s="12">
        <f t="shared" si="541"/>
        <v>2020</v>
      </c>
      <c r="Y232" s="12">
        <f t="shared" si="541"/>
        <v>2021</v>
      </c>
      <c r="Z232" s="12">
        <f t="shared" si="541"/>
        <v>2022</v>
      </c>
      <c r="AA232" s="12">
        <f t="shared" si="541"/>
        <v>2023</v>
      </c>
      <c r="AB232" s="12">
        <f>1+Z232</f>
        <v>2023</v>
      </c>
      <c r="AC232" s="12">
        <f>1+Z232</f>
        <v>2023</v>
      </c>
      <c r="AD232" s="12">
        <f>1+AA232</f>
        <v>2024</v>
      </c>
      <c r="AE232" s="12">
        <f t="shared" si="541"/>
        <v>2025</v>
      </c>
      <c r="AF232" s="12">
        <f t="shared" si="541"/>
        <v>2026</v>
      </c>
      <c r="AG232" s="12">
        <f t="shared" si="541"/>
        <v>2027</v>
      </c>
      <c r="AH232" s="12">
        <f t="shared" si="541"/>
        <v>2028</v>
      </c>
      <c r="AI232" s="12">
        <f t="shared" si="541"/>
        <v>2029</v>
      </c>
      <c r="AJ232" s="12">
        <f t="shared" si="541"/>
        <v>2030</v>
      </c>
      <c r="AK232" s="12">
        <f t="shared" si="541"/>
        <v>2031</v>
      </c>
      <c r="AL232" s="12">
        <f t="shared" si="541"/>
        <v>2032</v>
      </c>
      <c r="AM232" s="12">
        <f>1+AK232</f>
        <v>2032</v>
      </c>
      <c r="AN232" s="12">
        <f>1+AK232</f>
        <v>2032</v>
      </c>
      <c r="AO232" s="12">
        <f>1+AL232</f>
        <v>2033</v>
      </c>
      <c r="AP232" s="12">
        <f t="shared" si="541"/>
        <v>2034</v>
      </c>
      <c r="AQ232" s="12">
        <f t="shared" si="541"/>
        <v>2035</v>
      </c>
      <c r="AR232" s="12">
        <f t="shared" si="541"/>
        <v>2036</v>
      </c>
      <c r="AS232" s="12">
        <f t="shared" si="541"/>
        <v>2037</v>
      </c>
      <c r="AT232" s="12">
        <f t="shared" si="541"/>
        <v>2038</v>
      </c>
      <c r="AU232" s="12">
        <f>1+AS232</f>
        <v>2038</v>
      </c>
      <c r="AV232" s="12">
        <f>1+AT232</f>
        <v>2039</v>
      </c>
      <c r="AW232" s="12">
        <f t="shared" si="541"/>
        <v>2040</v>
      </c>
      <c r="AX232" s="12">
        <f>1+AV232</f>
        <v>2040</v>
      </c>
      <c r="AY232" s="12">
        <f t="shared" si="541"/>
        <v>2041</v>
      </c>
      <c r="AZ232" s="12">
        <f t="shared" si="541"/>
        <v>2042</v>
      </c>
      <c r="BA232" s="12">
        <f t="shared" si="541"/>
        <v>2043</v>
      </c>
      <c r="BB232" s="12">
        <f t="shared" si="541"/>
        <v>2044</v>
      </c>
      <c r="BC232" s="12">
        <f t="shared" si="541"/>
        <v>2045</v>
      </c>
      <c r="BD232" s="12">
        <f t="shared" si="541"/>
        <v>2046</v>
      </c>
      <c r="BE232" s="12">
        <f t="shared" si="541"/>
        <v>2047</v>
      </c>
      <c r="BF232" s="12">
        <f t="shared" si="541"/>
        <v>2048</v>
      </c>
      <c r="BG232" s="12">
        <f t="shared" si="541"/>
        <v>2049</v>
      </c>
      <c r="BH232" s="12">
        <f t="shared" si="541"/>
        <v>2050</v>
      </c>
      <c r="BI232" s="12">
        <v>2060</v>
      </c>
      <c r="BJ232" s="12">
        <v>2070</v>
      </c>
      <c r="BL232" s="12"/>
      <c r="BM232" s="12"/>
      <c r="BN232" s="12"/>
      <c r="BO232" s="12"/>
      <c r="BP232" s="12"/>
      <c r="BQ232" s="12"/>
    </row>
    <row r="233" spans="5:70">
      <c r="E233" t="s">
        <v>16</v>
      </c>
      <c r="F233" s="15" t="str">
        <f t="shared" ref="F233:F238" si="542">IF(E233="*","","COM_PROJ")</f>
        <v/>
      </c>
      <c r="G233" s="16" t="str">
        <f t="shared" ref="G233:G238" si="543">IF($E233="*","","-")</f>
        <v/>
      </c>
      <c r="I233" s="16" t="str">
        <f t="shared" ref="I233:L238" si="544">IF($E233="*","","-")</f>
        <v/>
      </c>
      <c r="J233" s="16"/>
      <c r="K233" s="16" t="str">
        <f t="shared" si="544"/>
        <v/>
      </c>
      <c r="L233" s="16" t="str">
        <f t="shared" si="544"/>
        <v/>
      </c>
      <c r="M233" s="43" t="str">
        <f t="shared" ref="M233:M240" si="545">B161</f>
        <v>TPPRCAR</v>
      </c>
      <c r="N233" s="3"/>
      <c r="O233" s="3"/>
      <c r="P233" s="3"/>
      <c r="Q233" s="3"/>
      <c r="R233" s="3"/>
      <c r="S233" s="3"/>
      <c r="T233" s="3"/>
      <c r="U233" s="3" cm="1">
        <f t="array" ref="U233">IF(V$231=-1,V233,IF(V$231=99,T233,IF(V$231=0,INDEX($E161:$M161,0,V$229),(INDEX($E161:$M161,0,V$231+1)-INDEX($E161:$M161,0,V$231))/(INDEX($E$160:$M$160,0,V$231+1)-INDEX($E$160:$M$160,0,V$231))+T233)))</f>
        <v>109.6316893111631</v>
      </c>
      <c r="V233" s="3" cm="1">
        <f t="array" ref="V233">IF(W$231=-1,W233,IF(W$231=99,U233,IF(W$231=0,INDEX($E161:$M161,0,W$229),(INDEX($E161:$M161,0,W$231+1)-INDEX($E161:$M161,0,W$231))/(INDEX($E$160:$M$160,0,W$231+1)-INDEX($E$160:$M$160,0,W$231))+U233)))</f>
        <v>116.21592076775832</v>
      </c>
      <c r="W233" s="3" cm="1">
        <f t="array" ref="W233">IF(X$231=-1,X233,IF(X$231=99,V233,IF(X$231=0,INDEX($E161:$M161,0,X$229),(INDEX($E161:$M161,0,X$231+1)-INDEX($E161:$M161,0,X$231))/(INDEX($E$160:$M$160,0,X$231+1)-INDEX($E$160:$M$160,0,X$231))+V233)))</f>
        <v>122.80015222435354</v>
      </c>
      <c r="X233" s="3" cm="1">
        <f t="array" ref="X233">IF(Y$231=-1,Y233,IF(Y$231=99,W233,IF(Y$231=0,INDEX($E161:$M161,0,Y$229),(INDEX($E161:$M161,0,Y$231+1)-INDEX($E161:$M161,0,Y$231))/(INDEX($E$160:$M$160,0,Y$231+1)-INDEX($E$160:$M$160,0,Y$231))+W233)))</f>
        <v>116.21592076775832</v>
      </c>
      <c r="Y233" s="3" cm="1">
        <f t="array" ref="Y233">IF(Z$231=-1,Z233,IF(Z$231=99,X233,IF(Z$231=0,INDEX($E161:$M161,0,Z$229),(INDEX($E161:$M161,0,Z$231+1)-INDEX($E161:$M161,0,Z$231))/(INDEX($E$160:$M$160,0,Z$231+1)-INDEX($E$160:$M$160,0,Z$231))+X233)))</f>
        <v>116.68347521589914</v>
      </c>
      <c r="Z233" s="3" cm="1">
        <f t="array" ref="Z233">IF(AA$231=-1,AA233,IF(AA$231=99,Y233,IF(AA$231=0,INDEX($E161:$M161,0,AA$229),(INDEX($E161:$M161,0,AA$231+1)-INDEX($E161:$M161,0,AA$231))/(INDEX($E$160:$M$160,0,AA$231+1)-INDEX($E$160:$M$160,0,AA$231))+Y233)))</f>
        <v>117.15102966403995</v>
      </c>
      <c r="AA233" s="3" cm="1">
        <f t="array" ref="AA233">IF(AD$231=-1,AD233,IF(AD$231=99,Z233,IF(AD$231=0,INDEX($E161:$M161,0,AD$229),(INDEX($E161:$M161,0,AD$231+1)-INDEX($E161:$M161,0,AD$231))/(INDEX($E$160:$M$160,0,AD$231+1)-INDEX($E$160:$M$160,0,AD$231))+Z233)))</f>
        <v>117.61858411218077</v>
      </c>
      <c r="AB233" s="3" cm="1">
        <f t="array" ref="AB233">IF(AD$231=-1,AD233,IF(AD$231=99,Z233,IF(AD$231=0,INDEX($E161:$M161,0,AD$229),(INDEX($E161:$M161,0,AD$231+1)-INDEX($E161:$M161,0,AD$231))/(INDEX($E$160:$M$160,0,AD$231+1)-INDEX($E$160:$M$160,0,AD$231))+Z233)))</f>
        <v>117.61858411218077</v>
      </c>
      <c r="AC233" s="3" cm="1">
        <f t="array" ref="AC233">IF(AD$231=-1,AD233,IF(AD$231=99,Z233,IF(AD$231=0,INDEX($E161:$M161,0,AD$229),(INDEX($E161:$M161,0,AD$231+1)-INDEX($E161:$M161,0,AD$231))/(INDEX($E$160:$M$160,0,AD$231+1)-INDEX($E$160:$M$160,0,AD$231))+Z233)))</f>
        <v>117.61858411218077</v>
      </c>
      <c r="AD233" s="3" cm="1">
        <f t="array" ref="AD233">IF(AE$231=-1,AE233,IF(AE$231=99,AA233,IF(AE$231=0,INDEX($E161:$M161,0,AE$229),(INDEX($E161:$M161,0,AE$231+1)-INDEX($E161:$M161,0,AE$231))/(INDEX($E$160:$M$160,0,AE$231+1)-INDEX($E$160:$M$160,0,AE$231))+AA233)))</f>
        <v>118.08613856032159</v>
      </c>
      <c r="AE233" s="3" cm="1">
        <f t="array" ref="AE233">IF(AF$231=-1,AF233,IF(AF$231=99,AD233,IF(AF$231=0,INDEX($E161:$M161,0,AF$229),(INDEX($E161:$M161,0,AF$231+1)-INDEX($E161:$M161,0,AF$231))/(INDEX($E$160:$M$160,0,AF$231+1)-INDEX($E$160:$M$160,0,AF$231))+AD233)))</f>
        <v>118.5536930084624</v>
      </c>
      <c r="AF233" s="3" cm="1">
        <f t="array" ref="AF233">IF(AG$231=-1,AG233,IF(AG$231=99,AE233,IF(AG$231=0,INDEX($E161:$M161,0,AG$229),(INDEX($E161:$M161,0,AG$231+1)-INDEX($E161:$M161,0,AG$231))/(INDEX($E$160:$M$160,0,AG$231+1)-INDEX($E$160:$M$160,0,AG$231))+AE233)))</f>
        <v>119.02124745660322</v>
      </c>
      <c r="AG233" s="3" cm="1">
        <f t="array" ref="AG233">IF(AH$231=-1,AH233,IF(AH$231=99,AF233,IF(AH$231=0,INDEX($E161:$M161,0,AH$229),(INDEX($E161:$M161,0,AH$231+1)-INDEX($E161:$M161,0,AH$231))/(INDEX($E$160:$M$160,0,AH$231+1)-INDEX($E$160:$M$160,0,AH$231))+AF233)))</f>
        <v>119.48880190474404</v>
      </c>
      <c r="AH233" s="3" cm="1">
        <f t="array" ref="AH233">IF(AI$231=-1,AI233,IF(AI$231=99,AG233,IF(AI$231=0,INDEX($E161:$M161,0,AI$229),(INDEX($E161:$M161,0,AI$231+1)-INDEX($E161:$M161,0,AI$231))/(INDEX($E$160:$M$160,0,AI$231+1)-INDEX($E$160:$M$160,0,AI$231))+AG233)))</f>
        <v>119.95635635288485</v>
      </c>
      <c r="AI233" s="3" cm="1">
        <f t="array" ref="AI233">IF(AJ$231=-1,AJ233,IF(AJ$231=99,AH233,IF(AJ$231=0,INDEX($E161:$M161,0,AJ$229),(INDEX($E161:$M161,0,AJ$231+1)-INDEX($E161:$M161,0,AJ$231))/(INDEX($E$160:$M$160,0,AJ$231+1)-INDEX($E$160:$M$160,0,AJ$231))+AH233)))</f>
        <v>120.42391080102567</v>
      </c>
      <c r="AJ233" s="3" cm="1">
        <f t="array" ref="AJ233">IF(AK$231=-1,AK233,IF(AK$231=99,AI233,IF(AK$231=0,INDEX($E161:$M161,0,AK$229),(INDEX($E161:$M161,0,AK$231+1)-INDEX($E161:$M161,0,AK$231))/(INDEX($E$160:$M$160,0,AK$231+1)-INDEX($E$160:$M$160,0,AK$231))+AI233)))</f>
        <v>120.4239108010257</v>
      </c>
      <c r="AK233" s="3" cm="1">
        <f t="array" ref="AK233">IF(AL$231=-1,AL233,IF(AL$231=99,AJ233,IF(AL$231=0,INDEX($E161:$M161,0,AL$229),(INDEX($E161:$M161,0,AL$231+1)-INDEX($E161:$M161,0,AL$231))/(INDEX($E$160:$M$160,0,AL$231+1)-INDEX($E$160:$M$160,0,AL$231))+AJ233)))</f>
        <v>120.4239108010257</v>
      </c>
      <c r="AL233" s="3" cm="1">
        <f t="array" ref="AL233">IF(AO$231=-1,AO233,IF(AO$231=99,AK233,IF(AO$231=0,INDEX($E161:$M161,0,AO$229),(INDEX($E161:$M161,0,AO$231+1)-INDEX($E161:$M161,0,AO$231))/(INDEX($E$160:$M$160,0,AO$231+1)-INDEX($E$160:$M$160,0,AO$231))+AK233)))</f>
        <v>120.4239108010257</v>
      </c>
      <c r="AM233" s="3" cm="1">
        <f t="array" ref="AM233">IF(AO$231=-1,AO233,IF(AO$231=99,AK233,IF(AO$231=0,INDEX($E161:$M161,0,AO$229),(INDEX($E161:$M161,0,AO$231+1)-INDEX($E161:$M161,0,AO$231))/(INDEX($E$160:$M$160,0,AO$231+1)-INDEX($E$160:$M$160,0,AO$231))+AK233)))</f>
        <v>120.4239108010257</v>
      </c>
      <c r="AN233" s="3" cm="1">
        <f t="array" ref="AN233">IF(AO$231=-1,AO233,IF(AO$231=99,AK233,IF(AO$231=0,INDEX($E161:$M161,0,AO$229),(INDEX($E161:$M161,0,AO$231+1)-INDEX($E161:$M161,0,AO$231))/(INDEX($E$160:$M$160,0,AO$231+1)-INDEX($E$160:$M$160,0,AO$231))+AK233)))</f>
        <v>120.4239108010257</v>
      </c>
      <c r="AO233" s="3" cm="1">
        <f t="array" ref="AO233">IF(AP$231=-1,AP233,IF(AP$231=99,AL233,IF(AP$231=0,INDEX($E161:$M161,0,AP$229),(INDEX($E161:$M161,0,AP$231+1)-INDEX($E161:$M161,0,AP$231))/(INDEX($E$160:$M$160,0,AP$231+1)-INDEX($E$160:$M$160,0,AP$231))+AL233)))</f>
        <v>120.4239108010257</v>
      </c>
      <c r="AP233" s="3" cm="1">
        <f t="array" ref="AP233">IF(AQ$231=-1,AQ233,IF(AQ$231=99,AO233,IF(AQ$231=0,INDEX($E161:$M161,0,AQ$229),(INDEX($E161:$M161,0,AQ$231+1)-INDEX($E161:$M161,0,AQ$231))/(INDEX($E$160:$M$160,0,AQ$231+1)-INDEX($E$160:$M$160,0,AQ$231))+AO233)))</f>
        <v>120.4239108010257</v>
      </c>
      <c r="AQ233" s="3" cm="1">
        <f t="array" ref="AQ233">IF(AR$231=-1,AR233,IF(AR$231=99,AP233,IF(AR$231=0,INDEX($E161:$M161,0,AR$229),(INDEX($E161:$M161,0,AR$231+1)-INDEX($E161:$M161,0,AR$231))/(INDEX($E$160:$M$160,0,AR$231+1)-INDEX($E$160:$M$160,0,AR$231))+AP233)))</f>
        <v>120.4239108010257</v>
      </c>
      <c r="AR233" s="3" cm="1">
        <f t="array" ref="AR233">IF(AS$231=-1,AS233,IF(AS$231=99,AQ233,IF(AS$231=0,INDEX($E161:$M161,0,AS$229),(INDEX($E161:$M161,0,AS$231+1)-INDEX($E161:$M161,0,AS$231))/(INDEX($E$160:$M$160,0,AS$231+1)-INDEX($E$160:$M$160,0,AS$231))+AQ233)))</f>
        <v>120.4239108010257</v>
      </c>
      <c r="AS233" s="3" cm="1">
        <f t="array" ref="AS233">IF(AT$231=-1,AT233,IF(AT$231=99,AR233,IF(AT$231=0,INDEX($E161:$M161,0,AT$229),(INDEX($E161:$M161,0,AT$231+1)-INDEX($E161:$M161,0,AT$231))/(INDEX($E$160:$M$160,0,AT$231+1)-INDEX($E$160:$M$160,0,AT$231))+AR233)))</f>
        <v>120.4239108010257</v>
      </c>
      <c r="AT233" s="3" cm="1">
        <f t="array" ref="AT233">IF(AV$231=-1,AV233,IF(AV$231=99,AS233,IF(AV$231=0,INDEX($E161:$M161,0,AV$229),(INDEX($E161:$M161,0,AV$231+1)-INDEX($E161:$M161,0,AV$231))/(INDEX($E$160:$M$160,0,AV$231+1)-INDEX($E$160:$M$160,0,AV$231))+AS233)))</f>
        <v>120.4239108010257</v>
      </c>
      <c r="AU233" s="3" cm="1">
        <f t="array" ref="AU233">IF(AW$231=-1,AW233,IF(AW$231=99,AS233,IF(AW$231=0,INDEX($E161:$M161,0,AW$229),(INDEX($E161:$M161,0,AW$231+1)-INDEX($E161:$M161,0,AW$231))/(INDEX($E$160:$M$160,0,AW$231+1)-INDEX($E$160:$M$160,0,AW$231))+AS233)))</f>
        <v>120.4239108010257</v>
      </c>
      <c r="AV233" s="3" cm="1">
        <f t="array" ref="AV233">IF(AX$231=-1,AX233,IF(AX$231=99,AT233,IF(AX$231=0,INDEX($E161:$M161,0,AX$229),(INDEX($E161:$M161,0,AX$231+1)-INDEX($E161:$M161,0,AX$231))/(INDEX($E$160:$M$160,0,AX$231+1)-INDEX($E$160:$M$160,0,AX$231))+AT233)))</f>
        <v>120.4239108010257</v>
      </c>
      <c r="AW233" s="3" cm="1">
        <f t="array" ref="AW233">IF(AY$231=-1,AY233,IF(AY$231=99,AV233,IF(AY$231=0,INDEX($E161:$M161,0,AY$229),(INDEX($E161:$M161,0,AY$231+1)-INDEX($E161:$M161,0,AY$231))/(INDEX($E$160:$M$160,0,AY$231+1)-INDEX($E$160:$M$160,0,AY$231))+AV233)))</f>
        <v>120.4239108010257</v>
      </c>
      <c r="AX233" s="3" cm="1">
        <f t="array" ref="AX233">IF(AY$231=-1,AY233,IF(AY$231=99,AV233,IF(AY$231=0,INDEX($E161:$M161,0,AY$229),(INDEX($E161:$M161,0,AY$231+1)-INDEX($E161:$M161,0,AY$231))/(INDEX($E$160:$M$160,0,AY$231+1)-INDEX($E$160:$M$160,0,AY$231))+AV233)))</f>
        <v>120.4239108010257</v>
      </c>
      <c r="AY233" s="3" cm="1">
        <f t="array" ref="AY233">IF(AZ$231=-1,AZ233,IF(AZ$231=99,AX233,IF(AZ$231=0,INDEX($E161:$M161,0,AZ$229),(INDEX($E161:$M161,0,AZ$231+1)-INDEX($E161:$M161,0,AZ$231))/(INDEX($E$160:$M$160,0,AZ$231+1)-INDEX($E$160:$M$160,0,AZ$231))+AX233)))</f>
        <v>120.4239108010257</v>
      </c>
      <c r="AZ233" s="3" cm="1">
        <f t="array" ref="AZ233">IF(BA$231=-1,BA233,IF(BA$231=99,AY233,IF(BA$231=0,INDEX($E161:$M161,0,BA$229),(INDEX($E161:$M161,0,BA$231+1)-INDEX($E161:$M161,0,BA$231))/(INDEX($E$160:$M$160,0,BA$231+1)-INDEX($E$160:$M$160,0,BA$231))+AY233)))</f>
        <v>120.4239108010257</v>
      </c>
      <c r="BA233" s="3" cm="1">
        <f t="array" ref="BA233">IF(BB$231=-1,BB233,IF(BB$231=99,AZ233,IF(BB$231=0,INDEX($E161:$M161,0,BB$229),(INDEX($E161:$M161,0,BB$231+1)-INDEX($E161:$M161,0,BB$231))/(INDEX($E$160:$M$160,0,BB$231+1)-INDEX($E$160:$M$160,0,BB$231))+AZ233)))</f>
        <v>120.4239108010257</v>
      </c>
      <c r="BB233" s="3" cm="1">
        <f t="array" ref="BB233">IF(BC$231=-1,BC233,IF(BC$231=99,BA233,IF(BC$231=0,INDEX($E161:$M161,0,BC$229),(INDEX($E161:$M161,0,BC$231+1)-INDEX($E161:$M161,0,BC$231))/(INDEX($E$160:$M$160,0,BC$231+1)-INDEX($E$160:$M$160,0,BC$231))+BA233)))</f>
        <v>120.4239108010257</v>
      </c>
      <c r="BC233" s="3" cm="1">
        <f t="array" ref="BC233">IF(BD$231=-1,BD233,IF(BD$231=99,BB233,IF(BD$231=0,INDEX($E161:$M161,0,BD$229),(INDEX($E161:$M161,0,BD$231+1)-INDEX($E161:$M161,0,BD$231))/(INDEX($E$160:$M$160,0,BD$231+1)-INDEX($E$160:$M$160,0,BD$231))+BB233)))</f>
        <v>120.4239108010257</v>
      </c>
      <c r="BD233" s="3" cm="1">
        <f t="array" ref="BD233">IF(BE$231=-1,BE233,IF(BE$231=99,BC233,IF(BE$231=0,INDEX($E161:$M161,0,BE$229),(INDEX($E161:$M161,0,BE$231+1)-INDEX($E161:$M161,0,BE$231))/(INDEX($E$160:$M$160,0,BE$231+1)-INDEX($E$160:$M$160,0,BE$231))+BC233)))</f>
        <v>120.4239108010257</v>
      </c>
      <c r="BE233" s="3" cm="1">
        <f t="array" ref="BE233">IF(BF$231=-1,BF233,IF(BF$231=99,BD233,IF(BF$231=0,INDEX($E161:$M161,0,BF$229),(INDEX($E161:$M161,0,BF$231+1)-INDEX($E161:$M161,0,BF$231))/(INDEX($E$160:$M$160,0,BF$231+1)-INDEX($E$160:$M$160,0,BF$231))+BD233)))</f>
        <v>120.4239108010257</v>
      </c>
      <c r="BF233" s="3" cm="1">
        <f t="array" ref="BF233">IF(BG$231=-1,BG233,IF(BG$231=99,BE233,IF(BG$231=0,INDEX($E161:$M161,0,BG$229),(INDEX($E161:$M161,0,BG$231+1)-INDEX($E161:$M161,0,BG$231))/(INDEX($E$160:$M$160,0,BG$231+1)-INDEX($E$160:$M$160,0,BG$231))+BE233)))</f>
        <v>120.4239108010257</v>
      </c>
      <c r="BG233" s="3" cm="1">
        <f t="array" ref="BG233">IF(BH$231=-1,BH233,IF(BH$231=99,BF233,IF(BH$231=0,INDEX($E161:$M161,0,BH$229),(INDEX($E161:$M161,0,BH$231+1)-INDEX($E161:$M161,0,BH$231))/(INDEX($E$160:$M$160,0,BH$231+1)-INDEX($E$160:$M$160,0,BH$231))+BF233)))</f>
        <v>120.4239108010257</v>
      </c>
      <c r="BH233" s="3" cm="1">
        <f t="array" ref="BH233">IF(BI$231=-1,BI233,IF(BI$231=99,BG233,IF(BI$231=0,INDEX($E161:$M161,0,BI$229),(INDEX($E161:$M161,0,BI$231+1)-INDEX($E161:$M161,0,BI$231))/(INDEX($E$160:$M$160,0,BI$231+1)-INDEX($E$160:$M$160,0,BI$231))+BG233)))</f>
        <v>120.4239108010257</v>
      </c>
      <c r="BI233" s="3" cm="1">
        <f t="array" ref="BI233">IF(BJ$231=-1,BJ233,IF(BJ$231=99,BH233,IF(BJ$231=0,INDEX($E161:$M161,0,BJ$229),(INDEX($E161:$M161,0,BJ$231+1)-INDEX($E161:$M161,0,BJ$231))/(INDEX($E$160:$M$160,0,BJ$231+1)-INDEX($E$160:$M$160,0,BJ$231))+BH233)))</f>
        <v>120.4239108010257</v>
      </c>
      <c r="BJ233" s="3" cm="1">
        <f t="array" ref="BJ233">IF(BK$231=-1,BL233,IF(BK$231=99,BI233,IF(BK$231=0,INDEX($E161:$M161,0,BK$229),(INDEX($E161:$M161,0,BK$231+1)-INDEX($E161:$M161,0,BK$231))/(INDEX($E$160:$M$160,0,BK$231+1)-INDEX($E$160:$M$160,0,BK$231))+BI233)))</f>
        <v>120.4239108010257</v>
      </c>
      <c r="BL233" s="3"/>
      <c r="BM233" s="3"/>
      <c r="BN233" s="3"/>
      <c r="BO233" s="3"/>
      <c r="BP233" s="3"/>
      <c r="BQ233" s="3"/>
    </row>
    <row r="234" spans="5:70">
      <c r="E234" t="s">
        <v>16</v>
      </c>
      <c r="F234" s="15" t="str">
        <f t="shared" si="542"/>
        <v/>
      </c>
      <c r="G234" s="16" t="str">
        <f t="shared" si="543"/>
        <v/>
      </c>
      <c r="I234" s="16" t="str">
        <f t="shared" si="544"/>
        <v/>
      </c>
      <c r="J234" s="16"/>
      <c r="K234" s="16" t="str">
        <f t="shared" si="544"/>
        <v/>
      </c>
      <c r="L234" s="16" t="str">
        <f t="shared" si="544"/>
        <v/>
      </c>
      <c r="M234" s="43" t="str">
        <f t="shared" si="545"/>
        <v>TPPRSUV</v>
      </c>
      <c r="N234" s="3"/>
      <c r="O234" s="3"/>
      <c r="P234" s="3"/>
      <c r="Q234" s="3"/>
      <c r="R234" s="3"/>
      <c r="S234" s="3"/>
      <c r="T234" s="3"/>
      <c r="U234" s="3" cm="1">
        <f t="array" ref="U234">IF(V$231=-1,V234,IF(V$231=99,T234,IF(V$231=0,INDEX($E162:$M162,0,V$229),(INDEX($E162:$M162,0,V$231+1)-INDEX($E162:$M162,0,V$231))/(INDEX($E$160:$M$160,0,V$231+1)-INDEX($E$160:$M$160,0,V$231))+T234)))</f>
        <v>23.296733978622161</v>
      </c>
      <c r="V234" s="3" cm="1">
        <f t="array" ref="V234">IF(W$231=-1,W234,IF(W$231=99,U234,IF(W$231=0,INDEX($E162:$M162,0,W$229),(INDEX($E162:$M162,0,W$231+1)-INDEX($E162:$M162,0,W$231))/(INDEX($E$160:$M$160,0,W$231+1)-INDEX($E$160:$M$160,0,W$231))+U234)))</f>
        <v>24.695883163148647</v>
      </c>
      <c r="W234" s="3" cm="1">
        <f t="array" ref="W234">IF(X$231=-1,X234,IF(X$231=99,V234,IF(X$231=0,INDEX($E162:$M162,0,X$229),(INDEX($E162:$M162,0,X$231+1)-INDEX($E162:$M162,0,X$231))/(INDEX($E$160:$M$160,0,X$231+1)-INDEX($E$160:$M$160,0,X$231))+V234)))</f>
        <v>26.095032347675133</v>
      </c>
      <c r="X234" s="3" cm="1">
        <f t="array" ref="X234">IF(Y$231=-1,Y234,IF(Y$231=99,W234,IF(Y$231=0,INDEX($E162:$M162,0,Y$229),(INDEX($E162:$M162,0,Y$231+1)-INDEX($E162:$M162,0,Y$231))/(INDEX($E$160:$M$160,0,Y$231+1)-INDEX($E$160:$M$160,0,Y$231))+W234)))</f>
        <v>24.695883163148647</v>
      </c>
      <c r="Y234" s="3" cm="1">
        <f t="array" ref="Y234">IF(Z$231=-1,Z234,IF(Z$231=99,X234,IF(Z$231=0,INDEX($E162:$M162,0,Z$229),(INDEX($E162:$M162,0,Z$231+1)-INDEX($E162:$M162,0,Z$231))/(INDEX($E$160:$M$160,0,Z$231+1)-INDEX($E$160:$M$160,0,Z$231))+X234)))</f>
        <v>24.795238483378572</v>
      </c>
      <c r="Z234" s="3" cm="1">
        <f t="array" ref="Z234">IF(AA$231=-1,AA234,IF(AA$231=99,Y234,IF(AA$231=0,INDEX($E162:$M162,0,AA$229),(INDEX($E162:$M162,0,AA$231+1)-INDEX($E162:$M162,0,AA$231))/(INDEX($E$160:$M$160,0,AA$231+1)-INDEX($E$160:$M$160,0,AA$231))+Y234)))</f>
        <v>24.894593803608497</v>
      </c>
      <c r="AA234" s="3" cm="1">
        <f t="array" ref="AA234">IF(AD$231=-1,AD234,IF(AD$231=99,Z234,IF(AD$231=0,INDEX($E162:$M162,0,AD$229),(INDEX($E162:$M162,0,AD$231+1)-INDEX($E162:$M162,0,AD$231))/(INDEX($E$160:$M$160,0,AD$231+1)-INDEX($E$160:$M$160,0,AD$231))+Z234)))</f>
        <v>24.993949123838423</v>
      </c>
      <c r="AB234" s="3" cm="1">
        <f t="array" ref="AB234">IF(AD$231=-1,AD234,IF(AD$231=99,Z234,IF(AD$231=0,INDEX($E162:$M162,0,AD$229),(INDEX($E162:$M162,0,AD$231+1)-INDEX($E162:$M162,0,AD$231))/(INDEX($E$160:$M$160,0,AD$231+1)-INDEX($E$160:$M$160,0,AD$231))+Z234)))</f>
        <v>24.993949123838423</v>
      </c>
      <c r="AC234" s="3" cm="1">
        <f t="array" ref="AC234">IF(AD$231=-1,AD234,IF(AD$231=99,Z234,IF(AD$231=0,INDEX($E162:$M162,0,AD$229),(INDEX($E162:$M162,0,AD$231+1)-INDEX($E162:$M162,0,AD$231))/(INDEX($E$160:$M$160,0,AD$231+1)-INDEX($E$160:$M$160,0,AD$231))+Z234)))</f>
        <v>24.993949123838423</v>
      </c>
      <c r="AD234" s="3" cm="1">
        <f t="array" ref="AD234">IF(AE$231=-1,AE234,IF(AE$231=99,AA234,IF(AE$231=0,INDEX($E162:$M162,0,AE$229),(INDEX($E162:$M162,0,AE$231+1)-INDEX($E162:$M162,0,AE$231))/(INDEX($E$160:$M$160,0,AE$231+1)-INDEX($E$160:$M$160,0,AE$231))+AA234)))</f>
        <v>25.093304444068348</v>
      </c>
      <c r="AE234" s="3" cm="1">
        <f t="array" ref="AE234">IF(AF$231=-1,AF234,IF(AF$231=99,AD234,IF(AF$231=0,INDEX($E162:$M162,0,AF$229),(INDEX($E162:$M162,0,AF$231+1)-INDEX($E162:$M162,0,AF$231))/(INDEX($E$160:$M$160,0,AF$231+1)-INDEX($E$160:$M$160,0,AF$231))+AD234)))</f>
        <v>25.192659764298273</v>
      </c>
      <c r="AF234" s="3" cm="1">
        <f t="array" ref="AF234">IF(AG$231=-1,AG234,IF(AG$231=99,AE234,IF(AG$231=0,INDEX($E162:$M162,0,AG$229),(INDEX($E162:$M162,0,AG$231+1)-INDEX($E162:$M162,0,AG$231))/(INDEX($E$160:$M$160,0,AG$231+1)-INDEX($E$160:$M$160,0,AG$231))+AE234)))</f>
        <v>25.292015084528199</v>
      </c>
      <c r="AG234" s="3" cm="1">
        <f t="array" ref="AG234">IF(AH$231=-1,AH234,IF(AH$231=99,AF234,IF(AH$231=0,INDEX($E162:$M162,0,AH$229),(INDEX($E162:$M162,0,AH$231+1)-INDEX($E162:$M162,0,AH$231))/(INDEX($E$160:$M$160,0,AH$231+1)-INDEX($E$160:$M$160,0,AH$231))+AF234)))</f>
        <v>25.391370404758124</v>
      </c>
      <c r="AH234" s="3" cm="1">
        <f t="array" ref="AH234">IF(AI$231=-1,AI234,IF(AI$231=99,AG234,IF(AI$231=0,INDEX($E162:$M162,0,AI$229),(INDEX($E162:$M162,0,AI$231+1)-INDEX($E162:$M162,0,AI$231))/(INDEX($E$160:$M$160,0,AI$231+1)-INDEX($E$160:$M$160,0,AI$231))+AG234)))</f>
        <v>25.490725724988049</v>
      </c>
      <c r="AI234" s="3" cm="1">
        <f t="array" ref="AI234">IF(AJ$231=-1,AJ234,IF(AJ$231=99,AH234,IF(AJ$231=0,INDEX($E162:$M162,0,AJ$229),(INDEX($E162:$M162,0,AJ$231+1)-INDEX($E162:$M162,0,AJ$231))/(INDEX($E$160:$M$160,0,AJ$231+1)-INDEX($E$160:$M$160,0,AJ$231))+AH234)))</f>
        <v>25.590081045217975</v>
      </c>
      <c r="AJ234" s="3" cm="1">
        <f t="array" ref="AJ234">IF(AK$231=-1,AK234,IF(AK$231=99,AI234,IF(AK$231=0,INDEX($E162:$M162,0,AK$229),(INDEX($E162:$M162,0,AK$231+1)-INDEX($E162:$M162,0,AK$231))/(INDEX($E$160:$M$160,0,AK$231+1)-INDEX($E$160:$M$160,0,AK$231))+AI234)))</f>
        <v>25.590081045217964</v>
      </c>
      <c r="AK234" s="3" cm="1">
        <f t="array" ref="AK234">IF(AL$231=-1,AL234,IF(AL$231=99,AJ234,IF(AL$231=0,INDEX($E162:$M162,0,AL$229),(INDEX($E162:$M162,0,AL$231+1)-INDEX($E162:$M162,0,AL$231))/(INDEX($E$160:$M$160,0,AL$231+1)-INDEX($E$160:$M$160,0,AL$231))+AJ234)))</f>
        <v>25.590081045217964</v>
      </c>
      <c r="AL234" s="3" cm="1">
        <f t="array" ref="AL234">IF(AO$231=-1,AO234,IF(AO$231=99,AK234,IF(AO$231=0,INDEX($E162:$M162,0,AO$229),(INDEX($E162:$M162,0,AO$231+1)-INDEX($E162:$M162,0,AO$231))/(INDEX($E$160:$M$160,0,AO$231+1)-INDEX($E$160:$M$160,0,AO$231))+AK234)))</f>
        <v>25.590081045217964</v>
      </c>
      <c r="AM234" s="3" cm="1">
        <f t="array" ref="AM234">IF(AO$231=-1,AO234,IF(AO$231=99,AK234,IF(AO$231=0,INDEX($E162:$M162,0,AO$229),(INDEX($E162:$M162,0,AO$231+1)-INDEX($E162:$M162,0,AO$231))/(INDEX($E$160:$M$160,0,AO$231+1)-INDEX($E$160:$M$160,0,AO$231))+AK234)))</f>
        <v>25.590081045217964</v>
      </c>
      <c r="AN234" s="3" cm="1">
        <f t="array" ref="AN234">IF(AO$231=-1,AO234,IF(AO$231=99,AK234,IF(AO$231=0,INDEX($E162:$M162,0,AO$229),(INDEX($E162:$M162,0,AO$231+1)-INDEX($E162:$M162,0,AO$231))/(INDEX($E$160:$M$160,0,AO$231+1)-INDEX($E$160:$M$160,0,AO$231))+AK234)))</f>
        <v>25.590081045217964</v>
      </c>
      <c r="AO234" s="3" cm="1">
        <f t="array" ref="AO234">IF(AP$231=-1,AP234,IF(AP$231=99,AL234,IF(AP$231=0,INDEX($E162:$M162,0,AP$229),(INDEX($E162:$M162,0,AP$231+1)-INDEX($E162:$M162,0,AP$231))/(INDEX($E$160:$M$160,0,AP$231+1)-INDEX($E$160:$M$160,0,AP$231))+AL234)))</f>
        <v>25.590081045217964</v>
      </c>
      <c r="AP234" s="3" cm="1">
        <f t="array" ref="AP234">IF(AQ$231=-1,AQ234,IF(AQ$231=99,AO234,IF(AQ$231=0,INDEX($E162:$M162,0,AQ$229),(INDEX($E162:$M162,0,AQ$231+1)-INDEX($E162:$M162,0,AQ$231))/(INDEX($E$160:$M$160,0,AQ$231+1)-INDEX($E$160:$M$160,0,AQ$231))+AO234)))</f>
        <v>25.590081045217964</v>
      </c>
      <c r="AQ234" s="3" cm="1">
        <f t="array" ref="AQ234">IF(AR$231=-1,AR234,IF(AR$231=99,AP234,IF(AR$231=0,INDEX($E162:$M162,0,AR$229),(INDEX($E162:$M162,0,AR$231+1)-INDEX($E162:$M162,0,AR$231))/(INDEX($E$160:$M$160,0,AR$231+1)-INDEX($E$160:$M$160,0,AR$231))+AP234)))</f>
        <v>25.590081045217964</v>
      </c>
      <c r="AR234" s="3" cm="1">
        <f t="array" ref="AR234">IF(AS$231=-1,AS234,IF(AS$231=99,AQ234,IF(AS$231=0,INDEX($E162:$M162,0,AS$229),(INDEX($E162:$M162,0,AS$231+1)-INDEX($E162:$M162,0,AS$231))/(INDEX($E$160:$M$160,0,AS$231+1)-INDEX($E$160:$M$160,0,AS$231))+AQ234)))</f>
        <v>25.590081045217964</v>
      </c>
      <c r="AS234" s="3" cm="1">
        <f t="array" ref="AS234">IF(AT$231=-1,AT234,IF(AT$231=99,AR234,IF(AT$231=0,INDEX($E162:$M162,0,AT$229),(INDEX($E162:$M162,0,AT$231+1)-INDEX($E162:$M162,0,AT$231))/(INDEX($E$160:$M$160,0,AT$231+1)-INDEX($E$160:$M$160,0,AT$231))+AR234)))</f>
        <v>25.590081045217964</v>
      </c>
      <c r="AT234" s="3" cm="1">
        <f t="array" ref="AT234">IF(AV$231=-1,AV234,IF(AV$231=99,AS234,IF(AV$231=0,INDEX($E162:$M162,0,AV$229),(INDEX($E162:$M162,0,AV$231+1)-INDEX($E162:$M162,0,AV$231))/(INDEX($E$160:$M$160,0,AV$231+1)-INDEX($E$160:$M$160,0,AV$231))+AS234)))</f>
        <v>25.590081045217964</v>
      </c>
      <c r="AU234" s="3" cm="1">
        <f t="array" ref="AU234">IF(AW$231=-1,AW234,IF(AW$231=99,AS234,IF(AW$231=0,INDEX($E162:$M162,0,AW$229),(INDEX($E162:$M162,0,AW$231+1)-INDEX($E162:$M162,0,AW$231))/(INDEX($E$160:$M$160,0,AW$231+1)-INDEX($E$160:$M$160,0,AW$231))+AS234)))</f>
        <v>25.590081045217964</v>
      </c>
      <c r="AV234" s="3" cm="1">
        <f t="array" ref="AV234">IF(AX$231=-1,AX234,IF(AX$231=99,AT234,IF(AX$231=0,INDEX($E162:$M162,0,AX$229),(INDEX($E162:$M162,0,AX$231+1)-INDEX($E162:$M162,0,AX$231))/(INDEX($E$160:$M$160,0,AX$231+1)-INDEX($E$160:$M$160,0,AX$231))+AT234)))</f>
        <v>25.590081045217964</v>
      </c>
      <c r="AW234" s="3" cm="1">
        <f t="array" ref="AW234">IF(AY$231=-1,AY234,IF(AY$231=99,AV234,IF(AY$231=0,INDEX($E162:$M162,0,AY$229),(INDEX($E162:$M162,0,AY$231+1)-INDEX($E162:$M162,0,AY$231))/(INDEX($E$160:$M$160,0,AY$231+1)-INDEX($E$160:$M$160,0,AY$231))+AV234)))</f>
        <v>25.590081045217964</v>
      </c>
      <c r="AX234" s="3" cm="1">
        <f t="array" ref="AX234">IF(AY$231=-1,AY234,IF(AY$231=99,AV234,IF(AY$231=0,INDEX($E162:$M162,0,AY$229),(INDEX($E162:$M162,0,AY$231+1)-INDEX($E162:$M162,0,AY$231))/(INDEX($E$160:$M$160,0,AY$231+1)-INDEX($E$160:$M$160,0,AY$231))+AV234)))</f>
        <v>25.590081045217964</v>
      </c>
      <c r="AY234" s="3" cm="1">
        <f t="array" ref="AY234">IF(AZ$231=-1,AZ234,IF(AZ$231=99,AX234,IF(AZ$231=0,INDEX($E162:$M162,0,AZ$229),(INDEX($E162:$M162,0,AZ$231+1)-INDEX($E162:$M162,0,AZ$231))/(INDEX($E$160:$M$160,0,AZ$231+1)-INDEX($E$160:$M$160,0,AZ$231))+AX234)))</f>
        <v>25.590081045217964</v>
      </c>
      <c r="AZ234" s="3" cm="1">
        <f t="array" ref="AZ234">IF(BA$231=-1,BA234,IF(BA$231=99,AY234,IF(BA$231=0,INDEX($E162:$M162,0,BA$229),(INDEX($E162:$M162,0,BA$231+1)-INDEX($E162:$M162,0,BA$231))/(INDEX($E$160:$M$160,0,BA$231+1)-INDEX($E$160:$M$160,0,BA$231))+AY234)))</f>
        <v>25.590081045217964</v>
      </c>
      <c r="BA234" s="3" cm="1">
        <f t="array" ref="BA234">IF(BB$231=-1,BB234,IF(BB$231=99,AZ234,IF(BB$231=0,INDEX($E162:$M162,0,BB$229),(INDEX($E162:$M162,0,BB$231+1)-INDEX($E162:$M162,0,BB$231))/(INDEX($E$160:$M$160,0,BB$231+1)-INDEX($E$160:$M$160,0,BB$231))+AZ234)))</f>
        <v>25.590081045217964</v>
      </c>
      <c r="BB234" s="3" cm="1">
        <f t="array" ref="BB234">IF(BC$231=-1,BC234,IF(BC$231=99,BA234,IF(BC$231=0,INDEX($E162:$M162,0,BC$229),(INDEX($E162:$M162,0,BC$231+1)-INDEX($E162:$M162,0,BC$231))/(INDEX($E$160:$M$160,0,BC$231+1)-INDEX($E$160:$M$160,0,BC$231))+BA234)))</f>
        <v>25.590081045217964</v>
      </c>
      <c r="BC234" s="3" cm="1">
        <f t="array" ref="BC234">IF(BD$231=-1,BD234,IF(BD$231=99,BB234,IF(BD$231=0,INDEX($E162:$M162,0,BD$229),(INDEX($E162:$M162,0,BD$231+1)-INDEX($E162:$M162,0,BD$231))/(INDEX($E$160:$M$160,0,BD$231+1)-INDEX($E$160:$M$160,0,BD$231))+BB234)))</f>
        <v>25.590081045217964</v>
      </c>
      <c r="BD234" s="3" cm="1">
        <f t="array" ref="BD234">IF(BE$231=-1,BE234,IF(BE$231=99,BC234,IF(BE$231=0,INDEX($E162:$M162,0,BE$229),(INDEX($E162:$M162,0,BE$231+1)-INDEX($E162:$M162,0,BE$231))/(INDEX($E$160:$M$160,0,BE$231+1)-INDEX($E$160:$M$160,0,BE$231))+BC234)))</f>
        <v>25.590081045217964</v>
      </c>
      <c r="BE234" s="3" cm="1">
        <f t="array" ref="BE234">IF(BF$231=-1,BF234,IF(BF$231=99,BD234,IF(BF$231=0,INDEX($E162:$M162,0,BF$229),(INDEX($E162:$M162,0,BF$231+1)-INDEX($E162:$M162,0,BF$231))/(INDEX($E$160:$M$160,0,BF$231+1)-INDEX($E$160:$M$160,0,BF$231))+BD234)))</f>
        <v>25.590081045217964</v>
      </c>
      <c r="BF234" s="3" cm="1">
        <f t="array" ref="BF234">IF(BG$231=-1,BG234,IF(BG$231=99,BE234,IF(BG$231=0,INDEX($E162:$M162,0,BG$229),(INDEX($E162:$M162,0,BG$231+1)-INDEX($E162:$M162,0,BG$231))/(INDEX($E$160:$M$160,0,BG$231+1)-INDEX($E$160:$M$160,0,BG$231))+BE234)))</f>
        <v>25.590081045217964</v>
      </c>
      <c r="BG234" s="3" cm="1">
        <f t="array" ref="BG234">IF(BH$231=-1,BH234,IF(BH$231=99,BF234,IF(BH$231=0,INDEX($E162:$M162,0,BH$229),(INDEX($E162:$M162,0,BH$231+1)-INDEX($E162:$M162,0,BH$231))/(INDEX($E$160:$M$160,0,BH$231+1)-INDEX($E$160:$M$160,0,BH$231))+BF234)))</f>
        <v>25.590081045217964</v>
      </c>
      <c r="BH234" s="3" cm="1">
        <f t="array" ref="BH234">IF(BI$231=-1,BI234,IF(BI$231=99,BG234,IF(BI$231=0,INDEX($E162:$M162,0,BI$229),(INDEX($E162:$M162,0,BI$231+1)-INDEX($E162:$M162,0,BI$231))/(INDEX($E$160:$M$160,0,BI$231+1)-INDEX($E$160:$M$160,0,BI$231))+BG234)))</f>
        <v>25.590081045217964</v>
      </c>
      <c r="BI234" s="3" cm="1">
        <f t="array" ref="BI234">IF(BJ$231=-1,BJ234,IF(BJ$231=99,BH234,IF(BJ$231=0,INDEX($E162:$M162,0,BJ$229),(INDEX($E162:$M162,0,BJ$231+1)-INDEX($E162:$M162,0,BJ$231))/(INDEX($E$160:$M$160,0,BJ$231+1)-INDEX($E$160:$M$160,0,BJ$231))+BH234)))</f>
        <v>25.590081045217964</v>
      </c>
      <c r="BJ234" s="3" cm="1">
        <f t="array" ref="BJ234">IF(BK$231=-1,BL234,IF(BK$231=99,BI234,IF(BK$231=0,INDEX($E162:$M162,0,BK$229),(INDEX($E162:$M162,0,BK$231+1)-INDEX($E162:$M162,0,BK$231))/(INDEX($E$160:$M$160,0,BK$231+1)-INDEX($E$160:$M$160,0,BK$231))+BI234)))</f>
        <v>25.590081045217964</v>
      </c>
      <c r="BL234" s="3"/>
      <c r="BM234" s="3"/>
      <c r="BN234" s="3"/>
      <c r="BO234" s="3"/>
      <c r="BP234" s="3"/>
      <c r="BQ234" s="3"/>
    </row>
    <row r="235" spans="5:70">
      <c r="E235" t="s">
        <v>16</v>
      </c>
      <c r="F235" s="15" t="str">
        <f t="shared" si="542"/>
        <v/>
      </c>
      <c r="G235" s="16" t="str">
        <f t="shared" si="543"/>
        <v/>
      </c>
      <c r="I235" s="16" t="str">
        <f t="shared" si="544"/>
        <v/>
      </c>
      <c r="J235" s="16"/>
      <c r="K235" s="16" t="str">
        <f t="shared" si="544"/>
        <v/>
      </c>
      <c r="L235" s="16" t="str">
        <f t="shared" si="544"/>
        <v/>
      </c>
      <c r="M235" s="43" t="str">
        <f t="shared" si="545"/>
        <v>TPPRMOT</v>
      </c>
      <c r="N235" s="3"/>
      <c r="O235" s="3"/>
      <c r="P235" s="3"/>
      <c r="Q235" s="3"/>
      <c r="R235" s="3"/>
      <c r="S235" s="3"/>
      <c r="T235" s="3"/>
      <c r="U235" s="3" cm="1">
        <f t="array" ref="U235">IF(V$231=-1,V235,IF(V$231=99,T235,IF(V$231=0,INDEX($E163:$M163,0,V$229),(INDEX($E163:$M163,0,V$231+1)-INDEX($E163:$M163,0,V$231))/(INDEX($E$160:$M$160,0,V$231+1)-INDEX($E$160:$M$160,0,V$231))+T235)))</f>
        <v>4.1111883491686161</v>
      </c>
      <c r="V235" s="3" cm="1">
        <f t="array" ref="V235">IF(W$231=-1,W235,IF(W$231=99,U235,IF(W$231=0,INDEX($E163:$M163,0,W$229),(INDEX($E163:$M163,0,W$231+1)-INDEX($E163:$M163,0,W$231))/(INDEX($E$160:$M$160,0,W$231+1)-INDEX($E$160:$M$160,0,W$231))+U235)))</f>
        <v>4.3580970287909366</v>
      </c>
      <c r="W235" s="3" cm="1">
        <f t="array" ref="W235">IF(X$231=-1,X235,IF(X$231=99,V235,IF(X$231=0,INDEX($E163:$M163,0,X$229),(INDEX($E163:$M163,0,X$231+1)-INDEX($E163:$M163,0,X$231))/(INDEX($E$160:$M$160,0,X$231+1)-INDEX($E$160:$M$160,0,X$231))+V235)))</f>
        <v>4.6050057084132572</v>
      </c>
      <c r="X235" s="3" cm="1">
        <f t="array" ref="X235">IF(Y$231=-1,Y235,IF(Y$231=99,W235,IF(Y$231=0,INDEX($E163:$M163,0,Y$229),(INDEX($E163:$M163,0,Y$231+1)-INDEX($E163:$M163,0,Y$231))/(INDEX($E$160:$M$160,0,Y$231+1)-INDEX($E$160:$M$160,0,Y$231))+W235)))</f>
        <v>4.3580970287909366</v>
      </c>
      <c r="Y235" s="3" cm="1">
        <f t="array" ref="Y235">IF(Z$231=-1,Z235,IF(Z$231=99,X235,IF(Z$231=0,INDEX($E163:$M163,0,Z$229),(INDEX($E163:$M163,0,Z$231+1)-INDEX($E163:$M163,0,Z$231))/(INDEX($E$160:$M$160,0,Z$231+1)-INDEX($E$160:$M$160,0,Z$231))+X235)))</f>
        <v>4.3756303205962173</v>
      </c>
      <c r="Z235" s="3" cm="1">
        <f t="array" ref="Z235">IF(AA$231=-1,AA235,IF(AA$231=99,Y235,IF(AA$231=0,INDEX($E163:$M163,0,AA$229),(INDEX($E163:$M163,0,AA$231+1)-INDEX($E163:$M163,0,AA$231))/(INDEX($E$160:$M$160,0,AA$231+1)-INDEX($E$160:$M$160,0,AA$231))+Y235)))</f>
        <v>4.3931636124014979</v>
      </c>
      <c r="AA235" s="3" cm="1">
        <f t="array" ref="AA235">IF(AD$231=-1,AD235,IF(AD$231=99,Z235,IF(AD$231=0,INDEX($E163:$M163,0,AD$229),(INDEX($E163:$M163,0,AD$231+1)-INDEX($E163:$M163,0,AD$231))/(INDEX($E$160:$M$160,0,AD$231+1)-INDEX($E$160:$M$160,0,AD$231))+Z235)))</f>
        <v>4.4106969042067785</v>
      </c>
      <c r="AB235" s="3" cm="1">
        <f t="array" ref="AB235">IF(AD$231=-1,AD235,IF(AD$231=99,Z235,IF(AD$231=0,INDEX($E163:$M163,0,AD$229),(INDEX($E163:$M163,0,AD$231+1)-INDEX($E163:$M163,0,AD$231))/(INDEX($E$160:$M$160,0,AD$231+1)-INDEX($E$160:$M$160,0,AD$231))+Z235)))</f>
        <v>4.4106969042067785</v>
      </c>
      <c r="AC235" s="3" cm="1">
        <f t="array" ref="AC235">IF(AD$231=-1,AD235,IF(AD$231=99,Z235,IF(AD$231=0,INDEX($E163:$M163,0,AD$229),(INDEX($E163:$M163,0,AD$231+1)-INDEX($E163:$M163,0,AD$231))/(INDEX($E$160:$M$160,0,AD$231+1)-INDEX($E$160:$M$160,0,AD$231))+Z235)))</f>
        <v>4.4106969042067785</v>
      </c>
      <c r="AD235" s="3" cm="1">
        <f t="array" ref="AD235">IF(AE$231=-1,AE235,IF(AE$231=99,AA235,IF(AE$231=0,INDEX($E163:$M163,0,AE$229),(INDEX($E163:$M163,0,AE$231+1)-INDEX($E163:$M163,0,AE$231))/(INDEX($E$160:$M$160,0,AE$231+1)-INDEX($E$160:$M$160,0,AE$231))+AA235)))</f>
        <v>4.4282301960120591</v>
      </c>
      <c r="AE235" s="3" cm="1">
        <f t="array" ref="AE235">IF(AF$231=-1,AF235,IF(AF$231=99,AD235,IF(AF$231=0,INDEX($E163:$M163,0,AF$229),(INDEX($E163:$M163,0,AF$231+1)-INDEX($E163:$M163,0,AF$231))/(INDEX($E$160:$M$160,0,AF$231+1)-INDEX($E$160:$M$160,0,AF$231))+AD235)))</f>
        <v>4.4457634878173398</v>
      </c>
      <c r="AF235" s="3" cm="1">
        <f t="array" ref="AF235">IF(AG$231=-1,AG235,IF(AG$231=99,AE235,IF(AG$231=0,INDEX($E163:$M163,0,AG$229),(INDEX($E163:$M163,0,AG$231+1)-INDEX($E163:$M163,0,AG$231))/(INDEX($E$160:$M$160,0,AG$231+1)-INDEX($E$160:$M$160,0,AG$231))+AE235)))</f>
        <v>4.4632967796226204</v>
      </c>
      <c r="AG235" s="3" cm="1">
        <f t="array" ref="AG235">IF(AH$231=-1,AH235,IF(AH$231=99,AF235,IF(AH$231=0,INDEX($E163:$M163,0,AH$229),(INDEX($E163:$M163,0,AH$231+1)-INDEX($E163:$M163,0,AH$231))/(INDEX($E$160:$M$160,0,AH$231+1)-INDEX($E$160:$M$160,0,AH$231))+AF235)))</f>
        <v>4.480830071427901</v>
      </c>
      <c r="AH235" s="3" cm="1">
        <f t="array" ref="AH235">IF(AI$231=-1,AI235,IF(AI$231=99,AG235,IF(AI$231=0,INDEX($E163:$M163,0,AI$229),(INDEX($E163:$M163,0,AI$231+1)-INDEX($E163:$M163,0,AI$231))/(INDEX($E$160:$M$160,0,AI$231+1)-INDEX($E$160:$M$160,0,AI$231))+AG235)))</f>
        <v>4.4983633632331816</v>
      </c>
      <c r="AI235" s="3" cm="1">
        <f t="array" ref="AI235">IF(AJ$231=-1,AJ235,IF(AJ$231=99,AH235,IF(AJ$231=0,INDEX($E163:$M163,0,AJ$229),(INDEX($E163:$M163,0,AJ$231+1)-INDEX($E163:$M163,0,AJ$231))/(INDEX($E$160:$M$160,0,AJ$231+1)-INDEX($E$160:$M$160,0,AJ$231))+AH235)))</f>
        <v>4.5158966550384623</v>
      </c>
      <c r="AJ235" s="3" cm="1">
        <f t="array" ref="AJ235">IF(AK$231=-1,AK235,IF(AK$231=99,AI235,IF(AK$231=0,INDEX($E163:$M163,0,AK$229),(INDEX($E163:$M163,0,AK$231+1)-INDEX($E163:$M163,0,AK$231))/(INDEX($E$160:$M$160,0,AK$231+1)-INDEX($E$160:$M$160,0,AK$231))+AI235)))</f>
        <v>4.515896655038464</v>
      </c>
      <c r="AK235" s="3" cm="1">
        <f t="array" ref="AK235">IF(AL$231=-1,AL235,IF(AL$231=99,AJ235,IF(AL$231=0,INDEX($E163:$M163,0,AL$229),(INDEX($E163:$M163,0,AL$231+1)-INDEX($E163:$M163,0,AL$231))/(INDEX($E$160:$M$160,0,AL$231+1)-INDEX($E$160:$M$160,0,AL$231))+AJ235)))</f>
        <v>4.515896655038464</v>
      </c>
      <c r="AL235" s="3" cm="1">
        <f t="array" ref="AL235">IF(AO$231=-1,AO235,IF(AO$231=99,AK235,IF(AO$231=0,INDEX($E163:$M163,0,AO$229),(INDEX($E163:$M163,0,AO$231+1)-INDEX($E163:$M163,0,AO$231))/(INDEX($E$160:$M$160,0,AO$231+1)-INDEX($E$160:$M$160,0,AO$231))+AK235)))</f>
        <v>4.515896655038464</v>
      </c>
      <c r="AM235" s="3" cm="1">
        <f t="array" ref="AM235">IF(AO$231=-1,AO235,IF(AO$231=99,AK235,IF(AO$231=0,INDEX($E163:$M163,0,AO$229),(INDEX($E163:$M163,0,AO$231+1)-INDEX($E163:$M163,0,AO$231))/(INDEX($E$160:$M$160,0,AO$231+1)-INDEX($E$160:$M$160,0,AO$231))+AK235)))</f>
        <v>4.515896655038464</v>
      </c>
      <c r="AN235" s="3" cm="1">
        <f t="array" ref="AN235">IF(AO$231=-1,AO235,IF(AO$231=99,AK235,IF(AO$231=0,INDEX($E163:$M163,0,AO$229),(INDEX($E163:$M163,0,AO$231+1)-INDEX($E163:$M163,0,AO$231))/(INDEX($E$160:$M$160,0,AO$231+1)-INDEX($E$160:$M$160,0,AO$231))+AK235)))</f>
        <v>4.515896655038464</v>
      </c>
      <c r="AO235" s="3" cm="1">
        <f t="array" ref="AO235">IF(AP$231=-1,AP235,IF(AP$231=99,AL235,IF(AP$231=0,INDEX($E163:$M163,0,AP$229),(INDEX($E163:$M163,0,AP$231+1)-INDEX($E163:$M163,0,AP$231))/(INDEX($E$160:$M$160,0,AP$231+1)-INDEX($E$160:$M$160,0,AP$231))+AL235)))</f>
        <v>4.515896655038464</v>
      </c>
      <c r="AP235" s="3" cm="1">
        <f t="array" ref="AP235">IF(AQ$231=-1,AQ235,IF(AQ$231=99,AO235,IF(AQ$231=0,INDEX($E163:$M163,0,AQ$229),(INDEX($E163:$M163,0,AQ$231+1)-INDEX($E163:$M163,0,AQ$231))/(INDEX($E$160:$M$160,0,AQ$231+1)-INDEX($E$160:$M$160,0,AQ$231))+AO235)))</f>
        <v>4.515896655038464</v>
      </c>
      <c r="AQ235" s="3" cm="1">
        <f t="array" ref="AQ235">IF(AR$231=-1,AR235,IF(AR$231=99,AP235,IF(AR$231=0,INDEX($E163:$M163,0,AR$229),(INDEX($E163:$M163,0,AR$231+1)-INDEX($E163:$M163,0,AR$231))/(INDEX($E$160:$M$160,0,AR$231+1)-INDEX($E$160:$M$160,0,AR$231))+AP235)))</f>
        <v>4.515896655038464</v>
      </c>
      <c r="AR235" s="3" cm="1">
        <f t="array" ref="AR235">IF(AS$231=-1,AS235,IF(AS$231=99,AQ235,IF(AS$231=0,INDEX($E163:$M163,0,AS$229),(INDEX($E163:$M163,0,AS$231+1)-INDEX($E163:$M163,0,AS$231))/(INDEX($E$160:$M$160,0,AS$231+1)-INDEX($E$160:$M$160,0,AS$231))+AQ235)))</f>
        <v>4.515896655038464</v>
      </c>
      <c r="AS235" s="3" cm="1">
        <f t="array" ref="AS235">IF(AT$231=-1,AT235,IF(AT$231=99,AR235,IF(AT$231=0,INDEX($E163:$M163,0,AT$229),(INDEX($E163:$M163,0,AT$231+1)-INDEX($E163:$M163,0,AT$231))/(INDEX($E$160:$M$160,0,AT$231+1)-INDEX($E$160:$M$160,0,AT$231))+AR235)))</f>
        <v>4.515896655038464</v>
      </c>
      <c r="AT235" s="3" cm="1">
        <f t="array" ref="AT235">IF(AV$231=-1,AV235,IF(AV$231=99,AS235,IF(AV$231=0,INDEX($E163:$M163,0,AV$229),(INDEX($E163:$M163,0,AV$231+1)-INDEX($E163:$M163,0,AV$231))/(INDEX($E$160:$M$160,0,AV$231+1)-INDEX($E$160:$M$160,0,AV$231))+AS235)))</f>
        <v>4.515896655038464</v>
      </c>
      <c r="AU235" s="3" cm="1">
        <f t="array" ref="AU235">IF(AW$231=-1,AW235,IF(AW$231=99,AS235,IF(AW$231=0,INDEX($E163:$M163,0,AW$229),(INDEX($E163:$M163,0,AW$231+1)-INDEX($E163:$M163,0,AW$231))/(INDEX($E$160:$M$160,0,AW$231+1)-INDEX($E$160:$M$160,0,AW$231))+AS235)))</f>
        <v>4.515896655038464</v>
      </c>
      <c r="AV235" s="3" cm="1">
        <f t="array" ref="AV235">IF(AX$231=-1,AX235,IF(AX$231=99,AT235,IF(AX$231=0,INDEX($E163:$M163,0,AX$229),(INDEX($E163:$M163,0,AX$231+1)-INDEX($E163:$M163,0,AX$231))/(INDEX($E$160:$M$160,0,AX$231+1)-INDEX($E$160:$M$160,0,AX$231))+AT235)))</f>
        <v>4.515896655038464</v>
      </c>
      <c r="AW235" s="3" cm="1">
        <f t="array" ref="AW235">IF(AY$231=-1,AY235,IF(AY$231=99,AV235,IF(AY$231=0,INDEX($E163:$M163,0,AY$229),(INDEX($E163:$M163,0,AY$231+1)-INDEX($E163:$M163,0,AY$231))/(INDEX($E$160:$M$160,0,AY$231+1)-INDEX($E$160:$M$160,0,AY$231))+AV235)))</f>
        <v>4.515896655038464</v>
      </c>
      <c r="AX235" s="3" cm="1">
        <f t="array" ref="AX235">IF(AY$231=-1,AY235,IF(AY$231=99,AV235,IF(AY$231=0,INDEX($E163:$M163,0,AY$229),(INDEX($E163:$M163,0,AY$231+1)-INDEX($E163:$M163,0,AY$231))/(INDEX($E$160:$M$160,0,AY$231+1)-INDEX($E$160:$M$160,0,AY$231))+AV235)))</f>
        <v>4.515896655038464</v>
      </c>
      <c r="AY235" s="3" cm="1">
        <f t="array" ref="AY235">IF(AZ$231=-1,AZ235,IF(AZ$231=99,AX235,IF(AZ$231=0,INDEX($E163:$M163,0,AZ$229),(INDEX($E163:$M163,0,AZ$231+1)-INDEX($E163:$M163,0,AZ$231))/(INDEX($E$160:$M$160,0,AZ$231+1)-INDEX($E$160:$M$160,0,AZ$231))+AX235)))</f>
        <v>4.515896655038464</v>
      </c>
      <c r="AZ235" s="3" cm="1">
        <f t="array" ref="AZ235">IF(BA$231=-1,BA235,IF(BA$231=99,AY235,IF(BA$231=0,INDEX($E163:$M163,0,BA$229),(INDEX($E163:$M163,0,BA$231+1)-INDEX($E163:$M163,0,BA$231))/(INDEX($E$160:$M$160,0,BA$231+1)-INDEX($E$160:$M$160,0,BA$231))+AY235)))</f>
        <v>4.515896655038464</v>
      </c>
      <c r="BA235" s="3" cm="1">
        <f t="array" ref="BA235">IF(BB$231=-1,BB235,IF(BB$231=99,AZ235,IF(BB$231=0,INDEX($E163:$M163,0,BB$229),(INDEX($E163:$M163,0,BB$231+1)-INDEX($E163:$M163,0,BB$231))/(INDEX($E$160:$M$160,0,BB$231+1)-INDEX($E$160:$M$160,0,BB$231))+AZ235)))</f>
        <v>4.515896655038464</v>
      </c>
      <c r="BB235" s="3" cm="1">
        <f t="array" ref="BB235">IF(BC$231=-1,BC235,IF(BC$231=99,BA235,IF(BC$231=0,INDEX($E163:$M163,0,BC$229),(INDEX($E163:$M163,0,BC$231+1)-INDEX($E163:$M163,0,BC$231))/(INDEX($E$160:$M$160,0,BC$231+1)-INDEX($E$160:$M$160,0,BC$231))+BA235)))</f>
        <v>4.515896655038464</v>
      </c>
      <c r="BC235" s="3" cm="1">
        <f t="array" ref="BC235">IF(BD$231=-1,BD235,IF(BD$231=99,BB235,IF(BD$231=0,INDEX($E163:$M163,0,BD$229),(INDEX($E163:$M163,0,BD$231+1)-INDEX($E163:$M163,0,BD$231))/(INDEX($E$160:$M$160,0,BD$231+1)-INDEX($E$160:$M$160,0,BD$231))+BB235)))</f>
        <v>4.515896655038464</v>
      </c>
      <c r="BD235" s="3" cm="1">
        <f t="array" ref="BD235">IF(BE$231=-1,BE235,IF(BE$231=99,BC235,IF(BE$231=0,INDEX($E163:$M163,0,BE$229),(INDEX($E163:$M163,0,BE$231+1)-INDEX($E163:$M163,0,BE$231))/(INDEX($E$160:$M$160,0,BE$231+1)-INDEX($E$160:$M$160,0,BE$231))+BC235)))</f>
        <v>4.515896655038464</v>
      </c>
      <c r="BE235" s="3" cm="1">
        <f t="array" ref="BE235">IF(BF$231=-1,BF235,IF(BF$231=99,BD235,IF(BF$231=0,INDEX($E163:$M163,0,BF$229),(INDEX($E163:$M163,0,BF$231+1)-INDEX($E163:$M163,0,BF$231))/(INDEX($E$160:$M$160,0,BF$231+1)-INDEX($E$160:$M$160,0,BF$231))+BD235)))</f>
        <v>4.515896655038464</v>
      </c>
      <c r="BF235" s="3" cm="1">
        <f t="array" ref="BF235">IF(BG$231=-1,BG235,IF(BG$231=99,BE235,IF(BG$231=0,INDEX($E163:$M163,0,BG$229),(INDEX($E163:$M163,0,BG$231+1)-INDEX($E163:$M163,0,BG$231))/(INDEX($E$160:$M$160,0,BG$231+1)-INDEX($E$160:$M$160,0,BG$231))+BE235)))</f>
        <v>4.515896655038464</v>
      </c>
      <c r="BG235" s="3" cm="1">
        <f t="array" ref="BG235">IF(BH$231=-1,BH235,IF(BH$231=99,BF235,IF(BH$231=0,INDEX($E163:$M163,0,BH$229),(INDEX($E163:$M163,0,BH$231+1)-INDEX($E163:$M163,0,BH$231))/(INDEX($E$160:$M$160,0,BH$231+1)-INDEX($E$160:$M$160,0,BH$231))+BF235)))</f>
        <v>4.515896655038464</v>
      </c>
      <c r="BH235" s="3" cm="1">
        <f t="array" ref="BH235">IF(BI$231=-1,BI235,IF(BI$231=99,BG235,IF(BI$231=0,INDEX($E163:$M163,0,BI$229),(INDEX($E163:$M163,0,BI$231+1)-INDEX($E163:$M163,0,BI$231))/(INDEX($E$160:$M$160,0,BI$231+1)-INDEX($E$160:$M$160,0,BI$231))+BG235)))</f>
        <v>4.515896655038464</v>
      </c>
      <c r="BI235" s="3" cm="1">
        <f t="array" ref="BI235">IF(BJ$231=-1,BJ235,IF(BJ$231=99,BH235,IF(BJ$231=0,INDEX($E163:$M163,0,BJ$229),(INDEX($E163:$M163,0,BJ$231+1)-INDEX($E163:$M163,0,BJ$231))/(INDEX($E$160:$M$160,0,BJ$231+1)-INDEX($E$160:$M$160,0,BJ$231))+BH235)))</f>
        <v>4.515896655038464</v>
      </c>
      <c r="BJ235" s="3" cm="1">
        <f t="array" ref="BJ235">IF(BK$231=-1,BL235,IF(BK$231=99,BI235,IF(BK$231=0,INDEX($E163:$M163,0,BK$229),(INDEX($E163:$M163,0,BK$231+1)-INDEX($E163:$M163,0,BK$231))/(INDEX($E$160:$M$160,0,BK$231+1)-INDEX($E$160:$M$160,0,BK$231))+BI235)))</f>
        <v>4.515896655038464</v>
      </c>
      <c r="BL235" s="3"/>
      <c r="BM235" s="3"/>
      <c r="BN235" s="3"/>
      <c r="BO235" s="3"/>
      <c r="BP235" s="3"/>
      <c r="BQ235" s="3"/>
    </row>
    <row r="236" spans="5:70">
      <c r="E236" t="s">
        <v>16</v>
      </c>
      <c r="F236" s="15" t="str">
        <f t="shared" si="542"/>
        <v/>
      </c>
      <c r="G236" s="16" t="str">
        <f t="shared" si="543"/>
        <v/>
      </c>
      <c r="I236" s="16" t="str">
        <f t="shared" si="544"/>
        <v/>
      </c>
      <c r="J236" s="16"/>
      <c r="K236" s="16" t="str">
        <f t="shared" si="544"/>
        <v/>
      </c>
      <c r="L236" s="16" t="str">
        <f t="shared" si="544"/>
        <v/>
      </c>
      <c r="M236" s="43" t="str">
        <f t="shared" si="545"/>
        <v>TPPUBUS</v>
      </c>
      <c r="N236" s="3"/>
      <c r="O236" s="3"/>
      <c r="P236" s="3"/>
      <c r="Q236" s="3"/>
      <c r="R236" s="3"/>
      <c r="S236" s="3"/>
      <c r="T236" s="3"/>
      <c r="U236" s="3" cm="1">
        <f t="array" ref="U236">IF(V$231=-1,V236,IF(V$231=99,T236,IF(V$231=0,INDEX($E164:$M164,0,V$229),(INDEX($E164:$M164,0,V$231+1)-INDEX($E164:$M164,0,V$231))/(INDEX($E$160:$M$160,0,V$231+1)-INDEX($E$160:$M$160,0,V$231))+T236)))</f>
        <v>16.665664027538941</v>
      </c>
      <c r="V236" s="3" cm="1">
        <f t="array" ref="V236">IF(W$231=-1,W236,IF(W$231=99,U236,IF(W$231=0,INDEX($E164:$M164,0,W$229),(INDEX($E164:$M164,0,W$231+1)-INDEX($E164:$M164,0,W$231))/(INDEX($E$160:$M$160,0,W$231+1)-INDEX($E$160:$M$160,0,W$231))+U236)))</f>
        <v>16.842454125788834</v>
      </c>
      <c r="W236" s="3" cm="1">
        <f t="array" ref="W236">IF(X$231=-1,X236,IF(X$231=99,V236,IF(X$231=0,INDEX($E164:$M164,0,X$229),(INDEX($E164:$M164,0,X$231+1)-INDEX($E164:$M164,0,X$231))/(INDEX($E$160:$M$160,0,X$231+1)-INDEX($E$160:$M$160,0,X$231))+V236)))</f>
        <v>17.019244224038726</v>
      </c>
      <c r="X236" s="3" cm="1">
        <f t="array" ref="X236">IF(Y$231=-1,Y236,IF(Y$231=99,W236,IF(Y$231=0,INDEX($E164:$M164,0,Y$229),(INDEX($E164:$M164,0,Y$231+1)-INDEX($E164:$M164,0,Y$231))/(INDEX($E$160:$M$160,0,Y$231+1)-INDEX($E$160:$M$160,0,Y$231))+W236)))</f>
        <v>16.842454125788834</v>
      </c>
      <c r="Y236" s="3" cm="1">
        <f t="array" ref="Y236">IF(Z$231=-1,Z236,IF(Z$231=99,X236,IF(Z$231=0,INDEX($E164:$M164,0,Z$229),(INDEX($E164:$M164,0,Z$231+1)-INDEX($E164:$M164,0,Z$231))/(INDEX($E$160:$M$160,0,Z$231+1)-INDEX($E$160:$M$160,0,Z$231))+X236)))</f>
        <v>17.026343959999</v>
      </c>
      <c r="Z236" s="3" cm="1">
        <f t="array" ref="Z236">IF(AA$231=-1,AA236,IF(AA$231=99,Y236,IF(AA$231=0,INDEX($E164:$M164,0,AA$229),(INDEX($E164:$M164,0,AA$231+1)-INDEX($E164:$M164,0,AA$231))/(INDEX($E$160:$M$160,0,AA$231+1)-INDEX($E$160:$M$160,0,AA$231))+Y236)))</f>
        <v>17.210233794209167</v>
      </c>
      <c r="AA236" s="3" cm="1">
        <f t="array" ref="AA236">IF(AD$231=-1,AD236,IF(AD$231=99,Z236,IF(AD$231=0,INDEX($E164:$M164,0,AD$229),(INDEX($E164:$M164,0,AD$231+1)-INDEX($E164:$M164,0,AD$231))/(INDEX($E$160:$M$160,0,AD$231+1)-INDEX($E$160:$M$160,0,AD$231))+Z236)))</f>
        <v>17.394123628419333</v>
      </c>
      <c r="AB236" s="3" cm="1">
        <f t="array" ref="AB236">IF(AD$231=-1,AD236,IF(AD$231=99,Z236,IF(AD$231=0,INDEX($E164:$M164,0,AD$229),(INDEX($E164:$M164,0,AD$231+1)-INDEX($E164:$M164,0,AD$231))/(INDEX($E$160:$M$160,0,AD$231+1)-INDEX($E$160:$M$160,0,AD$231))+Z236)))</f>
        <v>17.394123628419333</v>
      </c>
      <c r="AC236" s="3" cm="1">
        <f t="array" ref="AC236">IF(AD$231=-1,AD236,IF(AD$231=99,Z236,IF(AD$231=0,INDEX($E164:$M164,0,AD$229),(INDEX($E164:$M164,0,AD$231+1)-INDEX($E164:$M164,0,AD$231))/(INDEX($E$160:$M$160,0,AD$231+1)-INDEX($E$160:$M$160,0,AD$231))+Z236)))</f>
        <v>17.394123628419333</v>
      </c>
      <c r="AD236" s="3" cm="1">
        <f t="array" ref="AD236">IF(AE$231=-1,AE236,IF(AE$231=99,AA236,IF(AE$231=0,INDEX($E164:$M164,0,AE$229),(INDEX($E164:$M164,0,AE$231+1)-INDEX($E164:$M164,0,AE$231))/(INDEX($E$160:$M$160,0,AE$231+1)-INDEX($E$160:$M$160,0,AE$231))+AA236)))</f>
        <v>17.578013462629499</v>
      </c>
      <c r="AE236" s="3" cm="1">
        <f t="array" ref="AE236">IF(AF$231=-1,AF236,IF(AF$231=99,AD236,IF(AF$231=0,INDEX($E164:$M164,0,AF$229),(INDEX($E164:$M164,0,AF$231+1)-INDEX($E164:$M164,0,AF$231))/(INDEX($E$160:$M$160,0,AF$231+1)-INDEX($E$160:$M$160,0,AF$231))+AD236)))</f>
        <v>17.761903296839666</v>
      </c>
      <c r="AF236" s="3" cm="1">
        <f t="array" ref="AF236">IF(AG$231=-1,AG236,IF(AG$231=99,AE236,IF(AG$231=0,INDEX($E164:$M164,0,AG$229),(INDEX($E164:$M164,0,AG$231+1)-INDEX($E164:$M164,0,AG$231))/(INDEX($E$160:$M$160,0,AG$231+1)-INDEX($E$160:$M$160,0,AG$231))+AE236)))</f>
        <v>17.945793131049832</v>
      </c>
      <c r="AG236" s="3" cm="1">
        <f t="array" ref="AG236">IF(AH$231=-1,AH236,IF(AH$231=99,AF236,IF(AH$231=0,INDEX($E164:$M164,0,AH$229),(INDEX($E164:$M164,0,AH$231+1)-INDEX($E164:$M164,0,AH$231))/(INDEX($E$160:$M$160,0,AH$231+1)-INDEX($E$160:$M$160,0,AH$231))+AF236)))</f>
        <v>18.129682965259999</v>
      </c>
      <c r="AH236" s="3" cm="1">
        <f t="array" ref="AH236">IF(AI$231=-1,AI236,IF(AI$231=99,AG236,IF(AI$231=0,INDEX($E164:$M164,0,AI$229),(INDEX($E164:$M164,0,AI$231+1)-INDEX($E164:$M164,0,AI$231))/(INDEX($E$160:$M$160,0,AI$231+1)-INDEX($E$160:$M$160,0,AI$231))+AG236)))</f>
        <v>18.313572799470165</v>
      </c>
      <c r="AI236" s="3" cm="1">
        <f t="array" ref="AI236">IF(AJ$231=-1,AJ236,IF(AJ$231=99,AH236,IF(AJ$231=0,INDEX($E164:$M164,0,AJ$229),(INDEX($E164:$M164,0,AJ$231+1)-INDEX($E164:$M164,0,AJ$231))/(INDEX($E$160:$M$160,0,AJ$231+1)-INDEX($E$160:$M$160,0,AJ$231))+AH236)))</f>
        <v>18.497462633680332</v>
      </c>
      <c r="AJ236" s="3" cm="1">
        <f t="array" ref="AJ236">IF(AK$231=-1,AK236,IF(AK$231=99,AI236,IF(AK$231=0,INDEX($E164:$M164,0,AK$229),(INDEX($E164:$M164,0,AK$231+1)-INDEX($E164:$M164,0,AK$231))/(INDEX($E$160:$M$160,0,AK$231+1)-INDEX($E$160:$M$160,0,AK$231))+AI236)))</f>
        <v>18.497462633680335</v>
      </c>
      <c r="AK236" s="3" cm="1">
        <f t="array" ref="AK236">IF(AL$231=-1,AL236,IF(AL$231=99,AJ236,IF(AL$231=0,INDEX($E164:$M164,0,AL$229),(INDEX($E164:$M164,0,AL$231+1)-INDEX($E164:$M164,0,AL$231))/(INDEX($E$160:$M$160,0,AL$231+1)-INDEX($E$160:$M$160,0,AL$231))+AJ236)))</f>
        <v>18.497462633680335</v>
      </c>
      <c r="AL236" s="3" cm="1">
        <f t="array" ref="AL236">IF(AO$231=-1,AO236,IF(AO$231=99,AK236,IF(AO$231=0,INDEX($E164:$M164,0,AO$229),(INDEX($E164:$M164,0,AO$231+1)-INDEX($E164:$M164,0,AO$231))/(INDEX($E$160:$M$160,0,AO$231+1)-INDEX($E$160:$M$160,0,AO$231))+AK236)))</f>
        <v>18.497462633680335</v>
      </c>
      <c r="AM236" s="3" cm="1">
        <f t="array" ref="AM236">IF(AO$231=-1,AO236,IF(AO$231=99,AK236,IF(AO$231=0,INDEX($E164:$M164,0,AO$229),(INDEX($E164:$M164,0,AO$231+1)-INDEX($E164:$M164,0,AO$231))/(INDEX($E$160:$M$160,0,AO$231+1)-INDEX($E$160:$M$160,0,AO$231))+AK236)))</f>
        <v>18.497462633680335</v>
      </c>
      <c r="AN236" s="3" cm="1">
        <f t="array" ref="AN236">IF(AO$231=-1,AO236,IF(AO$231=99,AK236,IF(AO$231=0,INDEX($E164:$M164,0,AO$229),(INDEX($E164:$M164,0,AO$231+1)-INDEX($E164:$M164,0,AO$231))/(INDEX($E$160:$M$160,0,AO$231+1)-INDEX($E$160:$M$160,0,AO$231))+AK236)))</f>
        <v>18.497462633680335</v>
      </c>
      <c r="AO236" s="3" cm="1">
        <f t="array" ref="AO236">IF(AP$231=-1,AP236,IF(AP$231=99,AL236,IF(AP$231=0,INDEX($E164:$M164,0,AP$229),(INDEX($E164:$M164,0,AP$231+1)-INDEX($E164:$M164,0,AP$231))/(INDEX($E$160:$M$160,0,AP$231+1)-INDEX($E$160:$M$160,0,AP$231))+AL236)))</f>
        <v>18.497462633680335</v>
      </c>
      <c r="AP236" s="3" cm="1">
        <f t="array" ref="AP236">IF(AQ$231=-1,AQ236,IF(AQ$231=99,AO236,IF(AQ$231=0,INDEX($E164:$M164,0,AQ$229),(INDEX($E164:$M164,0,AQ$231+1)-INDEX($E164:$M164,0,AQ$231))/(INDEX($E$160:$M$160,0,AQ$231+1)-INDEX($E$160:$M$160,0,AQ$231))+AO236)))</f>
        <v>18.497462633680335</v>
      </c>
      <c r="AQ236" s="3" cm="1">
        <f t="array" ref="AQ236">IF(AR$231=-1,AR236,IF(AR$231=99,AP236,IF(AR$231=0,INDEX($E164:$M164,0,AR$229),(INDEX($E164:$M164,0,AR$231+1)-INDEX($E164:$M164,0,AR$231))/(INDEX($E$160:$M$160,0,AR$231+1)-INDEX($E$160:$M$160,0,AR$231))+AP236)))</f>
        <v>18.497462633680335</v>
      </c>
      <c r="AR236" s="3" cm="1">
        <f t="array" ref="AR236">IF(AS$231=-1,AS236,IF(AS$231=99,AQ236,IF(AS$231=0,INDEX($E164:$M164,0,AS$229),(INDEX($E164:$M164,0,AS$231+1)-INDEX($E164:$M164,0,AS$231))/(INDEX($E$160:$M$160,0,AS$231+1)-INDEX($E$160:$M$160,0,AS$231))+AQ236)))</f>
        <v>18.497462633680335</v>
      </c>
      <c r="AS236" s="3" cm="1">
        <f t="array" ref="AS236">IF(AT$231=-1,AT236,IF(AT$231=99,AR236,IF(AT$231=0,INDEX($E164:$M164,0,AT$229),(INDEX($E164:$M164,0,AT$231+1)-INDEX($E164:$M164,0,AT$231))/(INDEX($E$160:$M$160,0,AT$231+1)-INDEX($E$160:$M$160,0,AT$231))+AR236)))</f>
        <v>18.497462633680335</v>
      </c>
      <c r="AT236" s="3" cm="1">
        <f t="array" ref="AT236">IF(AV$231=-1,AV236,IF(AV$231=99,AS236,IF(AV$231=0,INDEX($E164:$M164,0,AV$229),(INDEX($E164:$M164,0,AV$231+1)-INDEX($E164:$M164,0,AV$231))/(INDEX($E$160:$M$160,0,AV$231+1)-INDEX($E$160:$M$160,0,AV$231))+AS236)))</f>
        <v>18.497462633680335</v>
      </c>
      <c r="AU236" s="3" cm="1">
        <f t="array" ref="AU236">IF(AW$231=-1,AW236,IF(AW$231=99,AS236,IF(AW$231=0,INDEX($E164:$M164,0,AW$229),(INDEX($E164:$M164,0,AW$231+1)-INDEX($E164:$M164,0,AW$231))/(INDEX($E$160:$M$160,0,AW$231+1)-INDEX($E$160:$M$160,0,AW$231))+AS236)))</f>
        <v>18.497462633680335</v>
      </c>
      <c r="AV236" s="3" cm="1">
        <f t="array" ref="AV236">IF(AX$231=-1,AX236,IF(AX$231=99,AT236,IF(AX$231=0,INDEX($E164:$M164,0,AX$229),(INDEX($E164:$M164,0,AX$231+1)-INDEX($E164:$M164,0,AX$231))/(INDEX($E$160:$M$160,0,AX$231+1)-INDEX($E$160:$M$160,0,AX$231))+AT236)))</f>
        <v>18.497462633680335</v>
      </c>
      <c r="AW236" s="3" cm="1">
        <f t="array" ref="AW236">IF(AY$231=-1,AY236,IF(AY$231=99,AV236,IF(AY$231=0,INDEX($E164:$M164,0,AY$229),(INDEX($E164:$M164,0,AY$231+1)-INDEX($E164:$M164,0,AY$231))/(INDEX($E$160:$M$160,0,AY$231+1)-INDEX($E$160:$M$160,0,AY$231))+AV236)))</f>
        <v>18.497462633680335</v>
      </c>
      <c r="AX236" s="3" cm="1">
        <f t="array" ref="AX236">IF(AY$231=-1,AY236,IF(AY$231=99,AV236,IF(AY$231=0,INDEX($E164:$M164,0,AY$229),(INDEX($E164:$M164,0,AY$231+1)-INDEX($E164:$M164,0,AY$231))/(INDEX($E$160:$M$160,0,AY$231+1)-INDEX($E$160:$M$160,0,AY$231))+AV236)))</f>
        <v>18.497462633680335</v>
      </c>
      <c r="AY236" s="3" cm="1">
        <f t="array" ref="AY236">IF(AZ$231=-1,AZ236,IF(AZ$231=99,AX236,IF(AZ$231=0,INDEX($E164:$M164,0,AZ$229),(INDEX($E164:$M164,0,AZ$231+1)-INDEX($E164:$M164,0,AZ$231))/(INDEX($E$160:$M$160,0,AZ$231+1)-INDEX($E$160:$M$160,0,AZ$231))+AX236)))</f>
        <v>18.497462633680335</v>
      </c>
      <c r="AZ236" s="3" cm="1">
        <f t="array" ref="AZ236">IF(BA$231=-1,BA236,IF(BA$231=99,AY236,IF(BA$231=0,INDEX($E164:$M164,0,BA$229),(INDEX($E164:$M164,0,BA$231+1)-INDEX($E164:$M164,0,BA$231))/(INDEX($E$160:$M$160,0,BA$231+1)-INDEX($E$160:$M$160,0,BA$231))+AY236)))</f>
        <v>18.497462633680335</v>
      </c>
      <c r="BA236" s="3" cm="1">
        <f t="array" ref="BA236">IF(BB$231=-1,BB236,IF(BB$231=99,AZ236,IF(BB$231=0,INDEX($E164:$M164,0,BB$229),(INDEX($E164:$M164,0,BB$231+1)-INDEX($E164:$M164,0,BB$231))/(INDEX($E$160:$M$160,0,BB$231+1)-INDEX($E$160:$M$160,0,BB$231))+AZ236)))</f>
        <v>18.497462633680335</v>
      </c>
      <c r="BB236" s="3" cm="1">
        <f t="array" ref="BB236">IF(BC$231=-1,BC236,IF(BC$231=99,BA236,IF(BC$231=0,INDEX($E164:$M164,0,BC$229),(INDEX($E164:$M164,0,BC$231+1)-INDEX($E164:$M164,0,BC$231))/(INDEX($E$160:$M$160,0,BC$231+1)-INDEX($E$160:$M$160,0,BC$231))+BA236)))</f>
        <v>18.497462633680335</v>
      </c>
      <c r="BC236" s="3" cm="1">
        <f t="array" ref="BC236">IF(BD$231=-1,BD236,IF(BD$231=99,BB236,IF(BD$231=0,INDEX($E164:$M164,0,BD$229),(INDEX($E164:$M164,0,BD$231+1)-INDEX($E164:$M164,0,BD$231))/(INDEX($E$160:$M$160,0,BD$231+1)-INDEX($E$160:$M$160,0,BD$231))+BB236)))</f>
        <v>18.497462633680335</v>
      </c>
      <c r="BD236" s="3" cm="1">
        <f t="array" ref="BD236">IF(BE$231=-1,BE236,IF(BE$231=99,BC236,IF(BE$231=0,INDEX($E164:$M164,0,BE$229),(INDEX($E164:$M164,0,BE$231+1)-INDEX($E164:$M164,0,BE$231))/(INDEX($E$160:$M$160,0,BE$231+1)-INDEX($E$160:$M$160,0,BE$231))+BC236)))</f>
        <v>18.497462633680335</v>
      </c>
      <c r="BE236" s="3" cm="1">
        <f t="array" ref="BE236">IF(BF$231=-1,BF236,IF(BF$231=99,BD236,IF(BF$231=0,INDEX($E164:$M164,0,BF$229),(INDEX($E164:$M164,0,BF$231+1)-INDEX($E164:$M164,0,BF$231))/(INDEX($E$160:$M$160,0,BF$231+1)-INDEX($E$160:$M$160,0,BF$231))+BD236)))</f>
        <v>18.497462633680335</v>
      </c>
      <c r="BF236" s="3" cm="1">
        <f t="array" ref="BF236">IF(BG$231=-1,BG236,IF(BG$231=99,BE236,IF(BG$231=0,INDEX($E164:$M164,0,BG$229),(INDEX($E164:$M164,0,BG$231+1)-INDEX($E164:$M164,0,BG$231))/(INDEX($E$160:$M$160,0,BG$231+1)-INDEX($E$160:$M$160,0,BG$231))+BE236)))</f>
        <v>18.497462633680335</v>
      </c>
      <c r="BG236" s="3" cm="1">
        <f t="array" ref="BG236">IF(BH$231=-1,BH236,IF(BH$231=99,BF236,IF(BH$231=0,INDEX($E164:$M164,0,BH$229),(INDEX($E164:$M164,0,BH$231+1)-INDEX($E164:$M164,0,BH$231))/(INDEX($E$160:$M$160,0,BH$231+1)-INDEX($E$160:$M$160,0,BH$231))+BF236)))</f>
        <v>18.497462633680335</v>
      </c>
      <c r="BH236" s="3" cm="1">
        <f t="array" ref="BH236">IF(BI$231=-1,BI236,IF(BI$231=99,BG236,IF(BI$231=0,INDEX($E164:$M164,0,BI$229),(INDEX($E164:$M164,0,BI$231+1)-INDEX($E164:$M164,0,BI$231))/(INDEX($E$160:$M$160,0,BI$231+1)-INDEX($E$160:$M$160,0,BI$231))+BG236)))</f>
        <v>18.497462633680335</v>
      </c>
      <c r="BI236" s="3" cm="1">
        <f t="array" ref="BI236">IF(BJ$231=-1,BJ236,IF(BJ$231=99,BH236,IF(BJ$231=0,INDEX($E164:$M164,0,BJ$229),(INDEX($E164:$M164,0,BJ$231+1)-INDEX($E164:$M164,0,BJ$231))/(INDEX($E$160:$M$160,0,BJ$231+1)-INDEX($E$160:$M$160,0,BJ$231))+BH236)))</f>
        <v>18.497462633680335</v>
      </c>
      <c r="BJ236" s="3" cm="1">
        <f t="array" ref="BJ236">IF(BK$231=-1,BL236,IF(BK$231=99,BI236,IF(BK$231=0,INDEX($E164:$M164,0,BK$229),(INDEX($E164:$M164,0,BK$231+1)-INDEX($E164:$M164,0,BK$231))/(INDEX($E$160:$M$160,0,BK$231+1)-INDEX($E$160:$M$160,0,BK$231))+BI236)))</f>
        <v>18.497462633680335</v>
      </c>
      <c r="BL236" s="3"/>
      <c r="BM236" s="3"/>
      <c r="BN236" s="3"/>
      <c r="BO236" s="3"/>
      <c r="BP236" s="3"/>
      <c r="BQ236" s="3"/>
    </row>
    <row r="237" spans="5:70">
      <c r="E237" t="s">
        <v>16</v>
      </c>
      <c r="F237" s="15" t="str">
        <f t="shared" si="542"/>
        <v/>
      </c>
      <c r="G237" s="16" t="str">
        <f t="shared" si="543"/>
        <v/>
      </c>
      <c r="I237" s="16" t="str">
        <f t="shared" si="544"/>
        <v/>
      </c>
      <c r="J237" s="16"/>
      <c r="K237" s="16" t="str">
        <f t="shared" si="544"/>
        <v/>
      </c>
      <c r="L237" s="16" t="str">
        <f t="shared" si="544"/>
        <v/>
      </c>
      <c r="M237" s="43" t="str">
        <f t="shared" si="545"/>
        <v>TPPUMBT</v>
      </c>
      <c r="N237" s="3"/>
      <c r="O237" s="3"/>
      <c r="P237" s="3"/>
      <c r="Q237" s="3"/>
      <c r="R237" s="3"/>
      <c r="S237" s="3"/>
      <c r="T237" s="3"/>
      <c r="U237" s="3" cm="1">
        <f t="array" ref="U237">IF(V$231=-1,V237,IF(V$231=99,T237,IF(V$231=0,INDEX($E165:$M165,0,V$229),(INDEX($E165:$M165,0,V$231+1)-INDEX($E165:$M165,0,V$231))/(INDEX($E$160:$M$160,0,V$231+1)-INDEX($E$160:$M$160,0,V$231))+T237)))</f>
        <v>104.71461826380103</v>
      </c>
      <c r="V237" s="3" cm="1">
        <f t="array" ref="V237">IF(W$231=-1,W237,IF(W$231=99,U237,IF(W$231=0,INDEX($E165:$M165,0,W$229),(INDEX($E165:$M165,0,W$231+1)-INDEX($E165:$M165,0,W$231))/(INDEX($E$160:$M$160,0,W$231+1)-INDEX($E$160:$M$160,0,W$231))+U237)))</f>
        <v>105.82543554779683</v>
      </c>
      <c r="W237" s="3" cm="1">
        <f t="array" ref="W237">IF(X$231=-1,X237,IF(X$231=99,V237,IF(X$231=0,INDEX($E165:$M165,0,X$229),(INDEX($E165:$M165,0,X$231+1)-INDEX($E165:$M165,0,X$231))/(INDEX($E$160:$M$160,0,X$231+1)-INDEX($E$160:$M$160,0,X$231))+V237)))</f>
        <v>106.93625283179263</v>
      </c>
      <c r="X237" s="3" cm="1">
        <f t="array" ref="X237">IF(Y$231=-1,Y237,IF(Y$231=99,W237,IF(Y$231=0,INDEX($E165:$M165,0,Y$229),(INDEX($E165:$M165,0,Y$231+1)-INDEX($E165:$M165,0,Y$231))/(INDEX($E$160:$M$160,0,Y$231+1)-INDEX($E$160:$M$160,0,Y$231))+W237)))</f>
        <v>105.82543554779683</v>
      </c>
      <c r="Y237" s="3" cm="1">
        <f t="array" ref="Y237">IF(Z$231=-1,Z237,IF(Z$231=99,X237,IF(Z$231=0,INDEX($E165:$M165,0,Z$229),(INDEX($E165:$M165,0,Z$231+1)-INDEX($E165:$M165,0,Z$231))/(INDEX($E$160:$M$160,0,Z$231+1)-INDEX($E$160:$M$160,0,Z$231))+X237)))</f>
        <v>106.56594788990074</v>
      </c>
      <c r="Z237" s="3" cm="1">
        <f t="array" ref="Z237">IF(AA$231=-1,AA237,IF(AA$231=99,Y237,IF(AA$231=0,INDEX($E165:$M165,0,AA$229),(INDEX($E165:$M165,0,AA$231+1)-INDEX($E165:$M165,0,AA$231))/(INDEX($E$160:$M$160,0,AA$231+1)-INDEX($E$160:$M$160,0,AA$231))+Y237)))</f>
        <v>107.30646023200465</v>
      </c>
      <c r="AA237" s="3" cm="1">
        <f t="array" ref="AA237">IF(AD$231=-1,AD237,IF(AD$231=99,Z237,IF(AD$231=0,INDEX($E165:$M165,0,AD$229),(INDEX($E165:$M165,0,AD$231+1)-INDEX($E165:$M165,0,AD$231))/(INDEX($E$160:$M$160,0,AD$231+1)-INDEX($E$160:$M$160,0,AD$231))+Z237)))</f>
        <v>108.04697257410857</v>
      </c>
      <c r="AB237" s="3" cm="1">
        <f t="array" ref="AB237">IF(AD$231=-1,AD237,IF(AD$231=99,Z237,IF(AD$231=0,INDEX($E165:$M165,0,AD$229),(INDEX($E165:$M165,0,AD$231+1)-INDEX($E165:$M165,0,AD$231))/(INDEX($E$160:$M$160,0,AD$231+1)-INDEX($E$160:$M$160,0,AD$231))+Z237)))</f>
        <v>108.04697257410857</v>
      </c>
      <c r="AC237" s="3" cm="1">
        <f t="array" ref="AC237">IF(AD$231=-1,AD237,IF(AD$231=99,Z237,IF(AD$231=0,INDEX($E165:$M165,0,AD$229),(INDEX($E165:$M165,0,AD$231+1)-INDEX($E165:$M165,0,AD$231))/(INDEX($E$160:$M$160,0,AD$231+1)-INDEX($E$160:$M$160,0,AD$231))+Z237)))</f>
        <v>108.04697257410857</v>
      </c>
      <c r="AD237" s="3" cm="1">
        <f t="array" ref="AD237">IF(AE$231=-1,AE237,IF(AE$231=99,AA237,IF(AE$231=0,INDEX($E165:$M165,0,AE$229),(INDEX($E165:$M165,0,AE$231+1)-INDEX($E165:$M165,0,AE$231))/(INDEX($E$160:$M$160,0,AE$231+1)-INDEX($E$160:$M$160,0,AE$231))+AA237)))</f>
        <v>108.78748491621248</v>
      </c>
      <c r="AE237" s="3" cm="1">
        <f t="array" ref="AE237">IF(AF$231=-1,AF237,IF(AF$231=99,AD237,IF(AF$231=0,INDEX($E165:$M165,0,AF$229),(INDEX($E165:$M165,0,AF$231+1)-INDEX($E165:$M165,0,AF$231))/(INDEX($E$160:$M$160,0,AF$231+1)-INDEX($E$160:$M$160,0,AF$231))+AD237)))</f>
        <v>109.52799725831639</v>
      </c>
      <c r="AF237" s="3" cm="1">
        <f t="array" ref="AF237">IF(AG$231=-1,AG237,IF(AG$231=99,AE237,IF(AG$231=0,INDEX($E165:$M165,0,AG$229),(INDEX($E165:$M165,0,AG$231+1)-INDEX($E165:$M165,0,AG$231))/(INDEX($E$160:$M$160,0,AG$231+1)-INDEX($E$160:$M$160,0,AG$231))+AE237)))</f>
        <v>110.2685096004203</v>
      </c>
      <c r="AG237" s="3" cm="1">
        <f t="array" ref="AG237">IF(AH$231=-1,AH237,IF(AH$231=99,AF237,IF(AH$231=0,INDEX($E165:$M165,0,AH$229),(INDEX($E165:$M165,0,AH$231+1)-INDEX($E165:$M165,0,AH$231))/(INDEX($E$160:$M$160,0,AH$231+1)-INDEX($E$160:$M$160,0,AH$231))+AF237)))</f>
        <v>111.00902194252421</v>
      </c>
      <c r="AH237" s="3" cm="1">
        <f t="array" ref="AH237">IF(AI$231=-1,AI237,IF(AI$231=99,AG237,IF(AI$231=0,INDEX($E165:$M165,0,AI$229),(INDEX($E165:$M165,0,AI$231+1)-INDEX($E165:$M165,0,AI$231))/(INDEX($E$160:$M$160,0,AI$231+1)-INDEX($E$160:$M$160,0,AI$231))+AG237)))</f>
        <v>111.74953428462813</v>
      </c>
      <c r="AI237" s="3" cm="1">
        <f t="array" ref="AI237">IF(AJ$231=-1,AJ237,IF(AJ$231=99,AH237,IF(AJ$231=0,INDEX($E165:$M165,0,AJ$229),(INDEX($E165:$M165,0,AJ$231+1)-INDEX($E165:$M165,0,AJ$231))/(INDEX($E$160:$M$160,0,AJ$231+1)-INDEX($E$160:$M$160,0,AJ$231))+AH237)))</f>
        <v>112.49004662673204</v>
      </c>
      <c r="AJ237" s="3" cm="1">
        <f t="array" ref="AJ237">IF(AK$231=-1,AK237,IF(AK$231=99,AI237,IF(AK$231=0,INDEX($E165:$M165,0,AK$229),(INDEX($E165:$M165,0,AK$231+1)-INDEX($E165:$M165,0,AK$231))/(INDEX($E$160:$M$160,0,AK$231+1)-INDEX($E$160:$M$160,0,AK$231))+AI237)))</f>
        <v>112.49004662673207</v>
      </c>
      <c r="AK237" s="3" cm="1">
        <f t="array" ref="AK237">IF(AL$231=-1,AL237,IF(AL$231=99,AJ237,IF(AL$231=0,INDEX($E165:$M165,0,AL$229),(INDEX($E165:$M165,0,AL$231+1)-INDEX($E165:$M165,0,AL$231))/(INDEX($E$160:$M$160,0,AL$231+1)-INDEX($E$160:$M$160,0,AL$231))+AJ237)))</f>
        <v>112.49004662673207</v>
      </c>
      <c r="AL237" s="3" cm="1">
        <f t="array" ref="AL237">IF(AO$231=-1,AO237,IF(AO$231=99,AK237,IF(AO$231=0,INDEX($E165:$M165,0,AO$229),(INDEX($E165:$M165,0,AO$231+1)-INDEX($E165:$M165,0,AO$231))/(INDEX($E$160:$M$160,0,AO$231+1)-INDEX($E$160:$M$160,0,AO$231))+AK237)))</f>
        <v>112.49004662673207</v>
      </c>
      <c r="AM237" s="3" cm="1">
        <f t="array" ref="AM237">IF(AO$231=-1,AO237,IF(AO$231=99,AK237,IF(AO$231=0,INDEX($E165:$M165,0,AO$229),(INDEX($E165:$M165,0,AO$231+1)-INDEX($E165:$M165,0,AO$231))/(INDEX($E$160:$M$160,0,AO$231+1)-INDEX($E$160:$M$160,0,AO$231))+AK237)))</f>
        <v>112.49004662673207</v>
      </c>
      <c r="AN237" s="3" cm="1">
        <f t="array" ref="AN237">IF(AO$231=-1,AO237,IF(AO$231=99,AK237,IF(AO$231=0,INDEX($E165:$M165,0,AO$229),(INDEX($E165:$M165,0,AO$231+1)-INDEX($E165:$M165,0,AO$231))/(INDEX($E$160:$M$160,0,AO$231+1)-INDEX($E$160:$M$160,0,AO$231))+AK237)))</f>
        <v>112.49004662673207</v>
      </c>
      <c r="AO237" s="3" cm="1">
        <f t="array" ref="AO237">IF(AP$231=-1,AP237,IF(AP$231=99,AL237,IF(AP$231=0,INDEX($E165:$M165,0,AP$229),(INDEX($E165:$M165,0,AP$231+1)-INDEX($E165:$M165,0,AP$231))/(INDEX($E$160:$M$160,0,AP$231+1)-INDEX($E$160:$M$160,0,AP$231))+AL237)))</f>
        <v>112.49004662673207</v>
      </c>
      <c r="AP237" s="3" cm="1">
        <f t="array" ref="AP237">IF(AQ$231=-1,AQ237,IF(AQ$231=99,AO237,IF(AQ$231=0,INDEX($E165:$M165,0,AQ$229),(INDEX($E165:$M165,0,AQ$231+1)-INDEX($E165:$M165,0,AQ$231))/(INDEX($E$160:$M$160,0,AQ$231+1)-INDEX($E$160:$M$160,0,AQ$231))+AO237)))</f>
        <v>112.49004662673207</v>
      </c>
      <c r="AQ237" s="3" cm="1">
        <f t="array" ref="AQ237">IF(AR$231=-1,AR237,IF(AR$231=99,AP237,IF(AR$231=0,INDEX($E165:$M165,0,AR$229),(INDEX($E165:$M165,0,AR$231+1)-INDEX($E165:$M165,0,AR$231))/(INDEX($E$160:$M$160,0,AR$231+1)-INDEX($E$160:$M$160,0,AR$231))+AP237)))</f>
        <v>112.49004662673207</v>
      </c>
      <c r="AR237" s="3" cm="1">
        <f t="array" ref="AR237">IF(AS$231=-1,AS237,IF(AS$231=99,AQ237,IF(AS$231=0,INDEX($E165:$M165,0,AS$229),(INDEX($E165:$M165,0,AS$231+1)-INDEX($E165:$M165,0,AS$231))/(INDEX($E$160:$M$160,0,AS$231+1)-INDEX($E$160:$M$160,0,AS$231))+AQ237)))</f>
        <v>112.49004662673207</v>
      </c>
      <c r="AS237" s="3" cm="1">
        <f t="array" ref="AS237">IF(AT$231=-1,AT237,IF(AT$231=99,AR237,IF(AT$231=0,INDEX($E165:$M165,0,AT$229),(INDEX($E165:$M165,0,AT$231+1)-INDEX($E165:$M165,0,AT$231))/(INDEX($E$160:$M$160,0,AT$231+1)-INDEX($E$160:$M$160,0,AT$231))+AR237)))</f>
        <v>112.49004662673207</v>
      </c>
      <c r="AT237" s="3" cm="1">
        <f t="array" ref="AT237">IF(AV$231=-1,AV237,IF(AV$231=99,AS237,IF(AV$231=0,INDEX($E165:$M165,0,AV$229),(INDEX($E165:$M165,0,AV$231+1)-INDEX($E165:$M165,0,AV$231))/(INDEX($E$160:$M$160,0,AV$231+1)-INDEX($E$160:$M$160,0,AV$231))+AS237)))</f>
        <v>112.49004662673207</v>
      </c>
      <c r="AU237" s="3" cm="1">
        <f t="array" ref="AU237">IF(AW$231=-1,AW237,IF(AW$231=99,AS237,IF(AW$231=0,INDEX($E165:$M165,0,AW$229),(INDEX($E165:$M165,0,AW$231+1)-INDEX($E165:$M165,0,AW$231))/(INDEX($E$160:$M$160,0,AW$231+1)-INDEX($E$160:$M$160,0,AW$231))+AS237)))</f>
        <v>112.49004662673207</v>
      </c>
      <c r="AV237" s="3" cm="1">
        <f t="array" ref="AV237">IF(AX$231=-1,AX237,IF(AX$231=99,AT237,IF(AX$231=0,INDEX($E165:$M165,0,AX$229),(INDEX($E165:$M165,0,AX$231+1)-INDEX($E165:$M165,0,AX$231))/(INDEX($E$160:$M$160,0,AX$231+1)-INDEX($E$160:$M$160,0,AX$231))+AT237)))</f>
        <v>112.49004662673207</v>
      </c>
      <c r="AW237" s="3" cm="1">
        <f t="array" ref="AW237">IF(AY$231=-1,AY237,IF(AY$231=99,AV237,IF(AY$231=0,INDEX($E165:$M165,0,AY$229),(INDEX($E165:$M165,0,AY$231+1)-INDEX($E165:$M165,0,AY$231))/(INDEX($E$160:$M$160,0,AY$231+1)-INDEX($E$160:$M$160,0,AY$231))+AV237)))</f>
        <v>112.49004662673207</v>
      </c>
      <c r="AX237" s="3" cm="1">
        <f t="array" ref="AX237">IF(AY$231=-1,AY237,IF(AY$231=99,AV237,IF(AY$231=0,INDEX($E165:$M165,0,AY$229),(INDEX($E165:$M165,0,AY$231+1)-INDEX($E165:$M165,0,AY$231))/(INDEX($E$160:$M$160,0,AY$231+1)-INDEX($E$160:$M$160,0,AY$231))+AV237)))</f>
        <v>112.49004662673207</v>
      </c>
      <c r="AY237" s="3" cm="1">
        <f t="array" ref="AY237">IF(AZ$231=-1,AZ237,IF(AZ$231=99,AX237,IF(AZ$231=0,INDEX($E165:$M165,0,AZ$229),(INDEX($E165:$M165,0,AZ$231+1)-INDEX($E165:$M165,0,AZ$231))/(INDEX($E$160:$M$160,0,AZ$231+1)-INDEX($E$160:$M$160,0,AZ$231))+AX237)))</f>
        <v>112.49004662673207</v>
      </c>
      <c r="AZ237" s="3" cm="1">
        <f t="array" ref="AZ237">IF(BA$231=-1,BA237,IF(BA$231=99,AY237,IF(BA$231=0,INDEX($E165:$M165,0,BA$229),(INDEX($E165:$M165,0,BA$231+1)-INDEX($E165:$M165,0,BA$231))/(INDEX($E$160:$M$160,0,BA$231+1)-INDEX($E$160:$M$160,0,BA$231))+AY237)))</f>
        <v>112.49004662673207</v>
      </c>
      <c r="BA237" s="3" cm="1">
        <f t="array" ref="BA237">IF(BB$231=-1,BB237,IF(BB$231=99,AZ237,IF(BB$231=0,INDEX($E165:$M165,0,BB$229),(INDEX($E165:$M165,0,BB$231+1)-INDEX($E165:$M165,0,BB$231))/(INDEX($E$160:$M$160,0,BB$231+1)-INDEX($E$160:$M$160,0,BB$231))+AZ237)))</f>
        <v>112.49004662673207</v>
      </c>
      <c r="BB237" s="3" cm="1">
        <f t="array" ref="BB237">IF(BC$231=-1,BC237,IF(BC$231=99,BA237,IF(BC$231=0,INDEX($E165:$M165,0,BC$229),(INDEX($E165:$M165,0,BC$231+1)-INDEX($E165:$M165,0,BC$231))/(INDEX($E$160:$M$160,0,BC$231+1)-INDEX($E$160:$M$160,0,BC$231))+BA237)))</f>
        <v>112.49004662673207</v>
      </c>
      <c r="BC237" s="3" cm="1">
        <f t="array" ref="BC237">IF(BD$231=-1,BD237,IF(BD$231=99,BB237,IF(BD$231=0,INDEX($E165:$M165,0,BD$229),(INDEX($E165:$M165,0,BD$231+1)-INDEX($E165:$M165,0,BD$231))/(INDEX($E$160:$M$160,0,BD$231+1)-INDEX($E$160:$M$160,0,BD$231))+BB237)))</f>
        <v>112.49004662673207</v>
      </c>
      <c r="BD237" s="3" cm="1">
        <f t="array" ref="BD237">IF(BE$231=-1,BE237,IF(BE$231=99,BC237,IF(BE$231=0,INDEX($E165:$M165,0,BE$229),(INDEX($E165:$M165,0,BE$231+1)-INDEX($E165:$M165,0,BE$231))/(INDEX($E$160:$M$160,0,BE$231+1)-INDEX($E$160:$M$160,0,BE$231))+BC237)))</f>
        <v>112.49004662673207</v>
      </c>
      <c r="BE237" s="3" cm="1">
        <f t="array" ref="BE237">IF(BF$231=-1,BF237,IF(BF$231=99,BD237,IF(BF$231=0,INDEX($E165:$M165,0,BF$229),(INDEX($E165:$M165,0,BF$231+1)-INDEX($E165:$M165,0,BF$231))/(INDEX($E$160:$M$160,0,BF$231+1)-INDEX($E$160:$M$160,0,BF$231))+BD237)))</f>
        <v>112.49004662673207</v>
      </c>
      <c r="BF237" s="3" cm="1">
        <f t="array" ref="BF237">IF(BG$231=-1,BG237,IF(BG$231=99,BE237,IF(BG$231=0,INDEX($E165:$M165,0,BG$229),(INDEX($E165:$M165,0,BG$231+1)-INDEX($E165:$M165,0,BG$231))/(INDEX($E$160:$M$160,0,BG$231+1)-INDEX($E$160:$M$160,0,BG$231))+BE237)))</f>
        <v>112.49004662673207</v>
      </c>
      <c r="BG237" s="3" cm="1">
        <f t="array" ref="BG237">IF(BH$231=-1,BH237,IF(BH$231=99,BF237,IF(BH$231=0,INDEX($E165:$M165,0,BH$229),(INDEX($E165:$M165,0,BH$231+1)-INDEX($E165:$M165,0,BH$231))/(INDEX($E$160:$M$160,0,BH$231+1)-INDEX($E$160:$M$160,0,BH$231))+BF237)))</f>
        <v>112.49004662673207</v>
      </c>
      <c r="BH237" s="3" cm="1">
        <f t="array" ref="BH237">IF(BI$231=-1,BI237,IF(BI$231=99,BG237,IF(BI$231=0,INDEX($E165:$M165,0,BI$229),(INDEX($E165:$M165,0,BI$231+1)-INDEX($E165:$M165,0,BI$231))/(INDEX($E$160:$M$160,0,BI$231+1)-INDEX($E$160:$M$160,0,BI$231))+BG237)))</f>
        <v>112.49004662673207</v>
      </c>
      <c r="BI237" s="3" cm="1">
        <f t="array" ref="BI237">IF(BJ$231=-1,BJ237,IF(BJ$231=99,BH237,IF(BJ$231=0,INDEX($E165:$M165,0,BJ$229),(INDEX($E165:$M165,0,BJ$231+1)-INDEX($E165:$M165,0,BJ$231))/(INDEX($E$160:$M$160,0,BJ$231+1)-INDEX($E$160:$M$160,0,BJ$231))+BH237)))</f>
        <v>112.49004662673207</v>
      </c>
      <c r="BJ237" s="3" cm="1">
        <f t="array" ref="BJ237">IF(BK$231=-1,BL237,IF(BK$231=99,BI237,IF(BK$231=0,INDEX($E165:$M165,0,BK$229),(INDEX($E165:$M165,0,BK$231+1)-INDEX($E165:$M165,0,BK$231))/(INDEX($E$160:$M$160,0,BK$231+1)-INDEX($E$160:$M$160,0,BK$231))+BI237)))</f>
        <v>112.49004662673207</v>
      </c>
      <c r="BL237" s="3"/>
      <c r="BM237" s="3"/>
      <c r="BN237" s="3"/>
      <c r="BO237" s="3"/>
      <c r="BP237" s="3"/>
      <c r="BQ237" s="3"/>
    </row>
    <row r="238" spans="5:70">
      <c r="E238" t="s">
        <v>16</v>
      </c>
      <c r="F238" s="15" t="str">
        <f t="shared" si="542"/>
        <v/>
      </c>
      <c r="G238" s="16" t="str">
        <f t="shared" si="543"/>
        <v/>
      </c>
      <c r="I238" s="16" t="str">
        <f t="shared" si="544"/>
        <v/>
      </c>
      <c r="J238" s="16"/>
      <c r="K238" s="16" t="str">
        <f t="shared" si="544"/>
        <v/>
      </c>
      <c r="L238" s="16" t="str">
        <f t="shared" si="544"/>
        <v/>
      </c>
      <c r="M238" s="43" t="str">
        <f t="shared" si="545"/>
        <v>TPPUBRT</v>
      </c>
      <c r="N238" s="3"/>
      <c r="O238" s="3"/>
      <c r="P238" s="3"/>
      <c r="Q238" s="3"/>
      <c r="R238" s="3"/>
      <c r="S238" s="3"/>
      <c r="T238" s="3"/>
      <c r="U238" s="3" cm="1">
        <f t="array" ref="U238">IF(V$231=-1,V238,IF(V$231=99,T238,IF(V$231=0,INDEX($E166:$M166,0,V$229),(INDEX($E166:$M166,0,V$231+1)-INDEX($E166:$M166,0,V$231))/(INDEX($E$160:$M$160,0,V$231+1)-INDEX($E$160:$M$160,0,V$231))+T238)))</f>
        <v>2.7728192749407472</v>
      </c>
      <c r="V238" s="3" cm="1">
        <f t="array" ref="V238">IF(W$231=-1,W238,IF(W$231=99,U238,IF(W$231=0,INDEX($E166:$M166,0,W$229),(INDEX($E166:$M166,0,W$231+1)-INDEX($E166:$M166,0,W$231))/(INDEX($E$160:$M$160,0,W$231+1)-INDEX($E$160:$M$160,0,W$231))+U238)))</f>
        <v>2.8312206322409188</v>
      </c>
      <c r="W238" s="3" cm="1">
        <f t="array" ref="W238">IF(X$231=-1,X238,IF(X$231=99,V238,IF(X$231=0,INDEX($E166:$M166,0,X$229),(INDEX($E166:$M166,0,X$231+1)-INDEX($E166:$M166,0,X$231))/(INDEX($E$160:$M$160,0,X$231+1)-INDEX($E$160:$M$160,0,X$231))+V238)))</f>
        <v>2.8896219895410904</v>
      </c>
      <c r="X238" s="3" cm="1">
        <f t="array" ref="X238">IF(Y$231=-1,Y238,IF(Y$231=99,W238,IF(Y$231=0,INDEX($E166:$M166,0,Y$229),(INDEX($E166:$M166,0,Y$231+1)-INDEX($E166:$M166,0,Y$231))/(INDEX($E$160:$M$160,0,Y$231+1)-INDEX($E$160:$M$160,0,Y$231))+W238)))</f>
        <v>2.8312206322409188</v>
      </c>
      <c r="Y238" s="3" cm="1">
        <f t="array" ref="Y238">IF(Z$231=-1,Z238,IF(Z$231=99,X238,IF(Z$231=0,INDEX($E166:$M166,0,Z$229),(INDEX($E166:$M166,0,Z$231+1)-INDEX($E166:$M166,0,Z$231))/(INDEX($E$160:$M$160,0,Z$231+1)-INDEX($E$160:$M$160,0,Z$231))+X238)))</f>
        <v>2.8178405349756006</v>
      </c>
      <c r="Z238" s="3" cm="1">
        <f t="array" ref="Z238">IF(AA$231=-1,AA238,IF(AA$231=99,Y238,IF(AA$231=0,INDEX($E166:$M166,0,AA$229),(INDEX($E166:$M166,0,AA$231+1)-INDEX($E166:$M166,0,AA$231))/(INDEX($E$160:$M$160,0,AA$231+1)-INDEX($E$160:$M$160,0,AA$231))+Y238)))</f>
        <v>2.8044604377102824</v>
      </c>
      <c r="AA238" s="3" cm="1">
        <f t="array" ref="AA238">IF(AD$231=-1,AD238,IF(AD$231=99,Z238,IF(AD$231=0,INDEX($E166:$M166,0,AD$229),(INDEX($E166:$M166,0,AD$231+1)-INDEX($E166:$M166,0,AD$231))/(INDEX($E$160:$M$160,0,AD$231+1)-INDEX($E$160:$M$160,0,AD$231))+Z238)))</f>
        <v>2.7910803404449642</v>
      </c>
      <c r="AB238" s="3" cm="1">
        <f t="array" ref="AB238">IF(AD$231=-1,AD238,IF(AD$231=99,Z238,IF(AD$231=0,INDEX($E166:$M166,0,AD$229),(INDEX($E166:$M166,0,AD$231+1)-INDEX($E166:$M166,0,AD$231))/(INDEX($E$160:$M$160,0,AD$231+1)-INDEX($E$160:$M$160,0,AD$231))+Z238)))</f>
        <v>2.7910803404449642</v>
      </c>
      <c r="AC238" s="3" cm="1">
        <f t="array" ref="AC238">IF(AD$231=-1,AD238,IF(AD$231=99,Z238,IF(AD$231=0,INDEX($E166:$M166,0,AD$229),(INDEX($E166:$M166,0,AD$231+1)-INDEX($E166:$M166,0,AD$231))/(INDEX($E$160:$M$160,0,AD$231+1)-INDEX($E$160:$M$160,0,AD$231))+Z238)))</f>
        <v>2.7910803404449642</v>
      </c>
      <c r="AD238" s="3" cm="1">
        <f t="array" ref="AD238">IF(AE$231=-1,AE238,IF(AE$231=99,AA238,IF(AE$231=0,INDEX($E166:$M166,0,AE$229),(INDEX($E166:$M166,0,AE$231+1)-INDEX($E166:$M166,0,AE$231))/(INDEX($E$160:$M$160,0,AE$231+1)-INDEX($E$160:$M$160,0,AE$231))+AA238)))</f>
        <v>2.777700243179646</v>
      </c>
      <c r="AE238" s="3" cm="1">
        <f t="array" ref="AE238">IF(AF$231=-1,AF238,IF(AF$231=99,AD238,IF(AF$231=0,INDEX($E166:$M166,0,AF$229),(INDEX($E166:$M166,0,AF$231+1)-INDEX($E166:$M166,0,AF$231))/(INDEX($E$160:$M$160,0,AF$231+1)-INDEX($E$160:$M$160,0,AF$231))+AD238)))</f>
        <v>2.7643201459143278</v>
      </c>
      <c r="AF238" s="3" cm="1">
        <f t="array" ref="AF238">IF(AG$231=-1,AG238,IF(AG$231=99,AE238,IF(AG$231=0,INDEX($E166:$M166,0,AG$229),(INDEX($E166:$M166,0,AG$231+1)-INDEX($E166:$M166,0,AG$231))/(INDEX($E$160:$M$160,0,AG$231+1)-INDEX($E$160:$M$160,0,AG$231))+AE238)))</f>
        <v>2.7509400486490097</v>
      </c>
      <c r="AG238" s="3" cm="1">
        <f t="array" ref="AG238">IF(AH$231=-1,AH238,IF(AH$231=99,AF238,IF(AH$231=0,INDEX($E166:$M166,0,AH$229),(INDEX($E166:$M166,0,AH$231+1)-INDEX($E166:$M166,0,AH$231))/(INDEX($E$160:$M$160,0,AH$231+1)-INDEX($E$160:$M$160,0,AH$231))+AF238)))</f>
        <v>2.7375599513836915</v>
      </c>
      <c r="AH238" s="3" cm="1">
        <f t="array" ref="AH238">IF(AI$231=-1,AI238,IF(AI$231=99,AG238,IF(AI$231=0,INDEX($E166:$M166,0,AI$229),(INDEX($E166:$M166,0,AI$231+1)-INDEX($E166:$M166,0,AI$231))/(INDEX($E$160:$M$160,0,AI$231+1)-INDEX($E$160:$M$160,0,AI$231))+AG238)))</f>
        <v>2.7241798541183733</v>
      </c>
      <c r="AI238" s="3" cm="1">
        <f t="array" ref="AI238">IF(AJ$231=-1,AJ238,IF(AJ$231=99,AH238,IF(AJ$231=0,INDEX($E166:$M166,0,AJ$229),(INDEX($E166:$M166,0,AJ$231+1)-INDEX($E166:$M166,0,AJ$231))/(INDEX($E$160:$M$160,0,AJ$231+1)-INDEX($E$160:$M$160,0,AJ$231))+AH238)))</f>
        <v>2.7107997568530551</v>
      </c>
      <c r="AJ238" s="3" cm="1">
        <f t="array" ref="AJ238">IF(AK$231=-1,AK238,IF(AK$231=99,AI238,IF(AK$231=0,INDEX($E166:$M166,0,AK$229),(INDEX($E166:$M166,0,AK$231+1)-INDEX($E166:$M166,0,AK$231))/(INDEX($E$160:$M$160,0,AK$231+1)-INDEX($E$160:$M$160,0,AK$231))+AI238)))</f>
        <v>2.7107997568530555</v>
      </c>
      <c r="AK238" s="3" cm="1">
        <f t="array" ref="AK238">IF(AL$231=-1,AL238,IF(AL$231=99,AJ238,IF(AL$231=0,INDEX($E166:$M166,0,AL$229),(INDEX($E166:$M166,0,AL$231+1)-INDEX($E166:$M166,0,AL$231))/(INDEX($E$160:$M$160,0,AL$231+1)-INDEX($E$160:$M$160,0,AL$231))+AJ238)))</f>
        <v>2.7107997568530555</v>
      </c>
      <c r="AL238" s="3" cm="1">
        <f t="array" ref="AL238">IF(AO$231=-1,AO238,IF(AO$231=99,AK238,IF(AO$231=0,INDEX($E166:$M166,0,AO$229),(INDEX($E166:$M166,0,AO$231+1)-INDEX($E166:$M166,0,AO$231))/(INDEX($E$160:$M$160,0,AO$231+1)-INDEX($E$160:$M$160,0,AO$231))+AK238)))</f>
        <v>2.7107997568530555</v>
      </c>
      <c r="AM238" s="3" cm="1">
        <f t="array" ref="AM238">IF(AO$231=-1,AO238,IF(AO$231=99,AK238,IF(AO$231=0,INDEX($E166:$M166,0,AO$229),(INDEX($E166:$M166,0,AO$231+1)-INDEX($E166:$M166,0,AO$231))/(INDEX($E$160:$M$160,0,AO$231+1)-INDEX($E$160:$M$160,0,AO$231))+AK238)))</f>
        <v>2.7107997568530555</v>
      </c>
      <c r="AN238" s="3" cm="1">
        <f t="array" ref="AN238">IF(AO$231=-1,AO238,IF(AO$231=99,AK238,IF(AO$231=0,INDEX($E166:$M166,0,AO$229),(INDEX($E166:$M166,0,AO$231+1)-INDEX($E166:$M166,0,AO$231))/(INDEX($E$160:$M$160,0,AO$231+1)-INDEX($E$160:$M$160,0,AO$231))+AK238)))</f>
        <v>2.7107997568530555</v>
      </c>
      <c r="AO238" s="3" cm="1">
        <f t="array" ref="AO238">IF(AP$231=-1,AP238,IF(AP$231=99,AL238,IF(AP$231=0,INDEX($E166:$M166,0,AP$229),(INDEX($E166:$M166,0,AP$231+1)-INDEX($E166:$M166,0,AP$231))/(INDEX($E$160:$M$160,0,AP$231+1)-INDEX($E$160:$M$160,0,AP$231))+AL238)))</f>
        <v>2.7107997568530555</v>
      </c>
      <c r="AP238" s="3" cm="1">
        <f t="array" ref="AP238">IF(AQ$231=-1,AQ238,IF(AQ$231=99,AO238,IF(AQ$231=0,INDEX($E166:$M166,0,AQ$229),(INDEX($E166:$M166,0,AQ$231+1)-INDEX($E166:$M166,0,AQ$231))/(INDEX($E$160:$M$160,0,AQ$231+1)-INDEX($E$160:$M$160,0,AQ$231))+AO238)))</f>
        <v>2.7107997568530555</v>
      </c>
      <c r="AQ238" s="3" cm="1">
        <f t="array" ref="AQ238">IF(AR$231=-1,AR238,IF(AR$231=99,AP238,IF(AR$231=0,INDEX($E166:$M166,0,AR$229),(INDEX($E166:$M166,0,AR$231+1)-INDEX($E166:$M166,0,AR$231))/(INDEX($E$160:$M$160,0,AR$231+1)-INDEX($E$160:$M$160,0,AR$231))+AP238)))</f>
        <v>2.7107997568530555</v>
      </c>
      <c r="AR238" s="3" cm="1">
        <f t="array" ref="AR238">IF(AS$231=-1,AS238,IF(AS$231=99,AQ238,IF(AS$231=0,INDEX($E166:$M166,0,AS$229),(INDEX($E166:$M166,0,AS$231+1)-INDEX($E166:$M166,0,AS$231))/(INDEX($E$160:$M$160,0,AS$231+1)-INDEX($E$160:$M$160,0,AS$231))+AQ238)))</f>
        <v>2.7107997568530555</v>
      </c>
      <c r="AS238" s="3" cm="1">
        <f t="array" ref="AS238">IF(AT$231=-1,AT238,IF(AT$231=99,AR238,IF(AT$231=0,INDEX($E166:$M166,0,AT$229),(INDEX($E166:$M166,0,AT$231+1)-INDEX($E166:$M166,0,AT$231))/(INDEX($E$160:$M$160,0,AT$231+1)-INDEX($E$160:$M$160,0,AT$231))+AR238)))</f>
        <v>2.7107997568530555</v>
      </c>
      <c r="AT238" s="3" cm="1">
        <f t="array" ref="AT238">IF(AV$231=-1,AV238,IF(AV$231=99,AS238,IF(AV$231=0,INDEX($E166:$M166,0,AV$229),(INDEX($E166:$M166,0,AV$231+1)-INDEX($E166:$M166,0,AV$231))/(INDEX($E$160:$M$160,0,AV$231+1)-INDEX($E$160:$M$160,0,AV$231))+AS238)))</f>
        <v>2.7107997568530555</v>
      </c>
      <c r="AU238" s="3" cm="1">
        <f t="array" ref="AU238">IF(AW$231=-1,AW238,IF(AW$231=99,AS238,IF(AW$231=0,INDEX($E166:$M166,0,AW$229),(INDEX($E166:$M166,0,AW$231+1)-INDEX($E166:$M166,0,AW$231))/(INDEX($E$160:$M$160,0,AW$231+1)-INDEX($E$160:$M$160,0,AW$231))+AS238)))</f>
        <v>2.7107997568530555</v>
      </c>
      <c r="AV238" s="3" cm="1">
        <f t="array" ref="AV238">IF(AX$231=-1,AX238,IF(AX$231=99,AT238,IF(AX$231=0,INDEX($E166:$M166,0,AX$229),(INDEX($E166:$M166,0,AX$231+1)-INDEX($E166:$M166,0,AX$231))/(INDEX($E$160:$M$160,0,AX$231+1)-INDEX($E$160:$M$160,0,AX$231))+AT238)))</f>
        <v>2.7107997568530555</v>
      </c>
      <c r="AW238" s="3" cm="1">
        <f t="array" ref="AW238">IF(AY$231=-1,AY238,IF(AY$231=99,AV238,IF(AY$231=0,INDEX($E166:$M166,0,AY$229),(INDEX($E166:$M166,0,AY$231+1)-INDEX($E166:$M166,0,AY$231))/(INDEX($E$160:$M$160,0,AY$231+1)-INDEX($E$160:$M$160,0,AY$231))+AV238)))</f>
        <v>2.7107997568530555</v>
      </c>
      <c r="AX238" s="3" cm="1">
        <f t="array" ref="AX238">IF(AY$231=-1,AY238,IF(AY$231=99,AV238,IF(AY$231=0,INDEX($E166:$M166,0,AY$229),(INDEX($E166:$M166,0,AY$231+1)-INDEX($E166:$M166,0,AY$231))/(INDEX($E$160:$M$160,0,AY$231+1)-INDEX($E$160:$M$160,0,AY$231))+AV238)))</f>
        <v>2.7107997568530555</v>
      </c>
      <c r="AY238" s="3" cm="1">
        <f t="array" ref="AY238">IF(AZ$231=-1,AZ238,IF(AZ$231=99,AX238,IF(AZ$231=0,INDEX($E166:$M166,0,AZ$229),(INDEX($E166:$M166,0,AZ$231+1)-INDEX($E166:$M166,0,AZ$231))/(INDEX($E$160:$M$160,0,AZ$231+1)-INDEX($E$160:$M$160,0,AZ$231))+AX238)))</f>
        <v>2.7107997568530555</v>
      </c>
      <c r="AZ238" s="3" cm="1">
        <f t="array" ref="AZ238">IF(BA$231=-1,BA238,IF(BA$231=99,AY238,IF(BA$231=0,INDEX($E166:$M166,0,BA$229),(INDEX($E166:$M166,0,BA$231+1)-INDEX($E166:$M166,0,BA$231))/(INDEX($E$160:$M$160,0,BA$231+1)-INDEX($E$160:$M$160,0,BA$231))+AY238)))</f>
        <v>2.7107997568530555</v>
      </c>
      <c r="BA238" s="3" cm="1">
        <f t="array" ref="BA238">IF(BB$231=-1,BB238,IF(BB$231=99,AZ238,IF(BB$231=0,INDEX($E166:$M166,0,BB$229),(INDEX($E166:$M166,0,BB$231+1)-INDEX($E166:$M166,0,BB$231))/(INDEX($E$160:$M$160,0,BB$231+1)-INDEX($E$160:$M$160,0,BB$231))+AZ238)))</f>
        <v>2.7107997568530555</v>
      </c>
      <c r="BB238" s="3" cm="1">
        <f t="array" ref="BB238">IF(BC$231=-1,BC238,IF(BC$231=99,BA238,IF(BC$231=0,INDEX($E166:$M166,0,BC$229),(INDEX($E166:$M166,0,BC$231+1)-INDEX($E166:$M166,0,BC$231))/(INDEX($E$160:$M$160,0,BC$231+1)-INDEX($E$160:$M$160,0,BC$231))+BA238)))</f>
        <v>2.7107997568530555</v>
      </c>
      <c r="BC238" s="3" cm="1">
        <f t="array" ref="BC238">IF(BD$231=-1,BD238,IF(BD$231=99,BB238,IF(BD$231=0,INDEX($E166:$M166,0,BD$229),(INDEX($E166:$M166,0,BD$231+1)-INDEX($E166:$M166,0,BD$231))/(INDEX($E$160:$M$160,0,BD$231+1)-INDEX($E$160:$M$160,0,BD$231))+BB238)))</f>
        <v>2.7107997568530555</v>
      </c>
      <c r="BD238" s="3" cm="1">
        <f t="array" ref="BD238">IF(BE$231=-1,BE238,IF(BE$231=99,BC238,IF(BE$231=0,INDEX($E166:$M166,0,BE$229),(INDEX($E166:$M166,0,BE$231+1)-INDEX($E166:$M166,0,BE$231))/(INDEX($E$160:$M$160,0,BE$231+1)-INDEX($E$160:$M$160,0,BE$231))+BC238)))</f>
        <v>2.7107997568530555</v>
      </c>
      <c r="BE238" s="3" cm="1">
        <f t="array" ref="BE238">IF(BF$231=-1,BF238,IF(BF$231=99,BD238,IF(BF$231=0,INDEX($E166:$M166,0,BF$229),(INDEX($E166:$M166,0,BF$231+1)-INDEX($E166:$M166,0,BF$231))/(INDEX($E$160:$M$160,0,BF$231+1)-INDEX($E$160:$M$160,0,BF$231))+BD238)))</f>
        <v>2.7107997568530555</v>
      </c>
      <c r="BF238" s="3" cm="1">
        <f t="array" ref="BF238">IF(BG$231=-1,BG238,IF(BG$231=99,BE238,IF(BG$231=0,INDEX($E166:$M166,0,BG$229),(INDEX($E166:$M166,0,BG$231+1)-INDEX($E166:$M166,0,BG$231))/(INDEX($E$160:$M$160,0,BG$231+1)-INDEX($E$160:$M$160,0,BG$231))+BE238)))</f>
        <v>2.7107997568530555</v>
      </c>
      <c r="BG238" s="3" cm="1">
        <f t="array" ref="BG238">IF(BH$231=-1,BH238,IF(BH$231=99,BF238,IF(BH$231=0,INDEX($E166:$M166,0,BH$229),(INDEX($E166:$M166,0,BH$231+1)-INDEX($E166:$M166,0,BH$231))/(INDEX($E$160:$M$160,0,BH$231+1)-INDEX($E$160:$M$160,0,BH$231))+BF238)))</f>
        <v>2.7107997568530555</v>
      </c>
      <c r="BH238" s="3" cm="1">
        <f t="array" ref="BH238">IF(BI$231=-1,BI238,IF(BI$231=99,BG238,IF(BI$231=0,INDEX($E166:$M166,0,BI$229),(INDEX($E166:$M166,0,BI$231+1)-INDEX($E166:$M166,0,BI$231))/(INDEX($E$160:$M$160,0,BI$231+1)-INDEX($E$160:$M$160,0,BI$231))+BG238)))</f>
        <v>2.7107997568530555</v>
      </c>
      <c r="BI238" s="3" cm="1">
        <f t="array" ref="BI238">IF(BJ$231=-1,BJ238,IF(BJ$231=99,BH238,IF(BJ$231=0,INDEX($E166:$M166,0,BJ$229),(INDEX($E166:$M166,0,BJ$231+1)-INDEX($E166:$M166,0,BJ$231))/(INDEX($E$160:$M$160,0,BJ$231+1)-INDEX($E$160:$M$160,0,BJ$231))+BH238)))</f>
        <v>2.7107997568530555</v>
      </c>
      <c r="BJ238" s="3" cm="1">
        <f t="array" ref="BJ238">IF(BK$231=-1,BL238,IF(BK$231=99,BI238,IF(BK$231=0,INDEX($E166:$M166,0,BK$229),(INDEX($E166:$M166,0,BK$231+1)-INDEX($E166:$M166,0,BK$231))/(INDEX($E$160:$M$160,0,BK$231+1)-INDEX($E$160:$M$160,0,BK$231))+BI238)))</f>
        <v>2.7107997568530555</v>
      </c>
      <c r="BL238" s="3"/>
      <c r="BM238" s="3"/>
      <c r="BN238" s="3"/>
      <c r="BO238" s="3"/>
      <c r="BP238" s="3"/>
      <c r="BQ238" s="3"/>
    </row>
    <row r="239" spans="5:70">
      <c r="E239" t="s">
        <v>16</v>
      </c>
      <c r="F239" s="15"/>
      <c r="G239" s="16"/>
      <c r="I239" s="16"/>
      <c r="J239" s="16"/>
      <c r="K239" s="16"/>
      <c r="L239" s="16"/>
      <c r="M239" s="43" t="str">
        <f t="shared" si="545"/>
        <v>TPPUMER</v>
      </c>
      <c r="N239" s="3"/>
      <c r="O239" s="3"/>
      <c r="P239" s="3"/>
      <c r="Q239" s="3"/>
      <c r="R239" s="3"/>
      <c r="S239" s="3"/>
      <c r="T239" s="3"/>
      <c r="U239" s="3" cm="1">
        <f t="array" ref="U239">IF(V$231=-1,V239,IF(V$231=99,T239,IF(V$231=0,INDEX($E167:$M167,0,V$229),(INDEX($E167:$M167,0,V$231+1)-INDEX($E167:$M167,0,V$231))/(INDEX($E$160:$M$160,0,V$231+1)-INDEX($E$160:$M$160,0,V$231))+T239)))</f>
        <v>9.0239745751619225</v>
      </c>
      <c r="V239" s="3" cm="1">
        <f t="array" ref="V239">IF(W$231=-1,W239,IF(W$231=99,U239,IF(W$231=0,INDEX($E167:$M167,0,W$229),(INDEX($E167:$M167,0,W$231+1)-INDEX($E167:$M167,0,W$231))/(INDEX($E$160:$M$160,0,W$231+1)-INDEX($E$160:$M$160,0,W$231))+U239)))</f>
        <v>9.1197012950280598</v>
      </c>
      <c r="W239" s="3" cm="1">
        <f t="array" ref="W239">IF(X$231=-1,X239,IF(X$231=99,V239,IF(X$231=0,INDEX($E167:$M167,0,X$229),(INDEX($E167:$M167,0,X$231+1)-INDEX($E167:$M167,0,X$231))/(INDEX($E$160:$M$160,0,X$231+1)-INDEX($E$160:$M$160,0,X$231))+V239)))</f>
        <v>9.2154280148941972</v>
      </c>
      <c r="X239" s="3" cm="1">
        <f t="array" ref="X239">IF(Y$231=-1,Y239,IF(Y$231=99,W239,IF(Y$231=0,INDEX($E167:$M167,0,Y$229),(INDEX($E167:$M167,0,Y$231+1)-INDEX($E167:$M167,0,Y$231))/(INDEX($E$160:$M$160,0,Y$231+1)-INDEX($E$160:$M$160,0,Y$231))+W239)))</f>
        <v>9.1197012950280598</v>
      </c>
      <c r="Y239" s="3" cm="1">
        <f t="array" ref="Y239">IF(Z$231=-1,Z239,IF(Z$231=99,X239,IF(Z$231=0,INDEX($E167:$M167,0,Z$229),(INDEX($E167:$M167,0,Z$231+1)-INDEX($E167:$M167,0,Z$231))/(INDEX($E$160:$M$160,0,Z$231+1)-INDEX($E$160:$M$160,0,Z$231))+X239)))</f>
        <v>9.6341867103428278</v>
      </c>
      <c r="Z239" s="3" cm="1">
        <f t="array" ref="Z239">IF(AA$231=-1,AA239,IF(AA$231=99,Y239,IF(AA$231=0,INDEX($E167:$M167,0,AA$229),(INDEX($E167:$M167,0,AA$231+1)-INDEX($E167:$M167,0,AA$231))/(INDEX($E$160:$M$160,0,AA$231+1)-INDEX($E$160:$M$160,0,AA$231))+Y239)))</f>
        <v>10.148672125657596</v>
      </c>
      <c r="AA239" s="3" cm="1">
        <f t="array" ref="AA239">IF(AD$231=-1,AD239,IF(AD$231=99,Z239,IF(AD$231=0,INDEX($E167:$M167,0,AD$229),(INDEX($E167:$M167,0,AD$231+1)-INDEX($E167:$M167,0,AD$231))/(INDEX($E$160:$M$160,0,AD$231+1)-INDEX($E$160:$M$160,0,AD$231))+Z239)))</f>
        <v>10.663157540972364</v>
      </c>
      <c r="AB239" s="3" cm="1">
        <f t="array" ref="AB239">IF(AD$231=-1,AD239,IF(AD$231=99,Z239,IF(AD$231=0,INDEX($E167:$M167,0,AD$229),(INDEX($E167:$M167,0,AD$231+1)-INDEX($E167:$M167,0,AD$231))/(INDEX($E$160:$M$160,0,AD$231+1)-INDEX($E$160:$M$160,0,AD$231))+Z239)))</f>
        <v>10.663157540972364</v>
      </c>
      <c r="AC239" s="3" cm="1">
        <f t="array" ref="AC239">IF(AD$231=-1,AD239,IF(AD$231=99,Z239,IF(AD$231=0,INDEX($E167:$M167,0,AD$229),(INDEX($E167:$M167,0,AD$231+1)-INDEX($E167:$M167,0,AD$231))/(INDEX($E$160:$M$160,0,AD$231+1)-INDEX($E$160:$M$160,0,AD$231))+Z239)))</f>
        <v>10.663157540972364</v>
      </c>
      <c r="AD239" s="3" cm="1">
        <f t="array" ref="AD239">IF(AE$231=-1,AE239,IF(AE$231=99,AA239,IF(AE$231=0,INDEX($E167:$M167,0,AE$229),(INDEX($E167:$M167,0,AE$231+1)-INDEX($E167:$M167,0,AE$231))/(INDEX($E$160:$M$160,0,AE$231+1)-INDEX($E$160:$M$160,0,AE$231))+AA239)))</f>
        <v>11.177642956287132</v>
      </c>
      <c r="AE239" s="3" cm="1">
        <f t="array" ref="AE239">IF(AF$231=-1,AF239,IF(AF$231=99,AD239,IF(AF$231=0,INDEX($E167:$M167,0,AF$229),(INDEX($E167:$M167,0,AF$231+1)-INDEX($E167:$M167,0,AF$231))/(INDEX($E$160:$M$160,0,AF$231+1)-INDEX($E$160:$M$160,0,AF$231))+AD239)))</f>
        <v>11.6921283716019</v>
      </c>
      <c r="AF239" s="3" cm="1">
        <f t="array" ref="AF239">IF(AG$231=-1,AG239,IF(AG$231=99,AE239,IF(AG$231=0,INDEX($E167:$M167,0,AG$229),(INDEX($E167:$M167,0,AG$231+1)-INDEX($E167:$M167,0,AG$231))/(INDEX($E$160:$M$160,0,AG$231+1)-INDEX($E$160:$M$160,0,AG$231))+AE239)))</f>
        <v>12.206613786916668</v>
      </c>
      <c r="AG239" s="3" cm="1">
        <f t="array" ref="AG239">IF(AH$231=-1,AH239,IF(AH$231=99,AF239,IF(AH$231=0,INDEX($E167:$M167,0,AH$229),(INDEX($E167:$M167,0,AH$231+1)-INDEX($E167:$M167,0,AH$231))/(INDEX($E$160:$M$160,0,AH$231+1)-INDEX($E$160:$M$160,0,AH$231))+AF239)))</f>
        <v>12.721099202231436</v>
      </c>
      <c r="AH239" s="3" cm="1">
        <f t="array" ref="AH239">IF(AI$231=-1,AI239,IF(AI$231=99,AG239,IF(AI$231=0,INDEX($E167:$M167,0,AI$229),(INDEX($E167:$M167,0,AI$231+1)-INDEX($E167:$M167,0,AI$231))/(INDEX($E$160:$M$160,0,AI$231+1)-INDEX($E$160:$M$160,0,AI$231))+AG239)))</f>
        <v>13.235584617546204</v>
      </c>
      <c r="AI239" s="3" cm="1">
        <f t="array" ref="AI239">IF(AJ$231=-1,AJ239,IF(AJ$231=99,AH239,IF(AJ$231=0,INDEX($E167:$M167,0,AJ$229),(INDEX($E167:$M167,0,AJ$231+1)-INDEX($E167:$M167,0,AJ$231))/(INDEX($E$160:$M$160,0,AJ$231+1)-INDEX($E$160:$M$160,0,AJ$231))+AH239)))</f>
        <v>13.750070032860972</v>
      </c>
      <c r="AJ239" s="3" cm="1">
        <f t="array" ref="AJ239">IF(AK$231=-1,AK239,IF(AK$231=99,AI239,IF(AK$231=0,INDEX($E167:$M167,0,AK$229),(INDEX($E167:$M167,0,AK$231+1)-INDEX($E167:$M167,0,AK$231))/(INDEX($E$160:$M$160,0,AK$231+1)-INDEX($E$160:$M$160,0,AK$231))+AI239)))</f>
        <v>13.75007003286097</v>
      </c>
      <c r="AK239" s="3" cm="1">
        <f t="array" ref="AK239">IF(AL$231=-1,AL239,IF(AL$231=99,AJ239,IF(AL$231=0,INDEX($E167:$M167,0,AL$229),(INDEX($E167:$M167,0,AL$231+1)-INDEX($E167:$M167,0,AL$231))/(INDEX($E$160:$M$160,0,AL$231+1)-INDEX($E$160:$M$160,0,AL$231))+AJ239)))</f>
        <v>13.75007003286097</v>
      </c>
      <c r="AL239" s="3" cm="1">
        <f t="array" ref="AL239">IF(AO$231=-1,AO239,IF(AO$231=99,AK239,IF(AO$231=0,INDEX($E167:$M167,0,AO$229),(INDEX($E167:$M167,0,AO$231+1)-INDEX($E167:$M167,0,AO$231))/(INDEX($E$160:$M$160,0,AO$231+1)-INDEX($E$160:$M$160,0,AO$231))+AK239)))</f>
        <v>13.75007003286097</v>
      </c>
      <c r="AM239" s="3" cm="1">
        <f t="array" ref="AM239">IF(AO$231=-1,AO239,IF(AO$231=99,AK239,IF(AO$231=0,INDEX($E167:$M167,0,AO$229),(INDEX($E167:$M167,0,AO$231+1)-INDEX($E167:$M167,0,AO$231))/(INDEX($E$160:$M$160,0,AO$231+1)-INDEX($E$160:$M$160,0,AO$231))+AK239)))</f>
        <v>13.75007003286097</v>
      </c>
      <c r="AN239" s="3" cm="1">
        <f t="array" ref="AN239">IF(AO$231=-1,AO239,IF(AO$231=99,AK239,IF(AO$231=0,INDEX($E167:$M167,0,AO$229),(INDEX($E167:$M167,0,AO$231+1)-INDEX($E167:$M167,0,AO$231))/(INDEX($E$160:$M$160,0,AO$231+1)-INDEX($E$160:$M$160,0,AO$231))+AK239)))</f>
        <v>13.75007003286097</v>
      </c>
      <c r="AO239" s="3" cm="1">
        <f t="array" ref="AO239">IF(AP$231=-1,AP239,IF(AP$231=99,AL239,IF(AP$231=0,INDEX($E167:$M167,0,AP$229),(INDEX($E167:$M167,0,AP$231+1)-INDEX($E167:$M167,0,AP$231))/(INDEX($E$160:$M$160,0,AP$231+1)-INDEX($E$160:$M$160,0,AP$231))+AL239)))</f>
        <v>13.75007003286097</v>
      </c>
      <c r="AP239" s="3" cm="1">
        <f t="array" ref="AP239">IF(AQ$231=-1,AQ239,IF(AQ$231=99,AO239,IF(AQ$231=0,INDEX($E167:$M167,0,AQ$229),(INDEX($E167:$M167,0,AQ$231+1)-INDEX($E167:$M167,0,AQ$231))/(INDEX($E$160:$M$160,0,AQ$231+1)-INDEX($E$160:$M$160,0,AQ$231))+AO239)))</f>
        <v>13.75007003286097</v>
      </c>
      <c r="AQ239" s="3" cm="1">
        <f t="array" ref="AQ239">IF(AR$231=-1,AR239,IF(AR$231=99,AP239,IF(AR$231=0,INDEX($E167:$M167,0,AR$229),(INDEX($E167:$M167,0,AR$231+1)-INDEX($E167:$M167,0,AR$231))/(INDEX($E$160:$M$160,0,AR$231+1)-INDEX($E$160:$M$160,0,AR$231))+AP239)))</f>
        <v>13.75007003286097</v>
      </c>
      <c r="AR239" s="3" cm="1">
        <f t="array" ref="AR239">IF(AS$231=-1,AS239,IF(AS$231=99,AQ239,IF(AS$231=0,INDEX($E167:$M167,0,AS$229),(INDEX($E167:$M167,0,AS$231+1)-INDEX($E167:$M167,0,AS$231))/(INDEX($E$160:$M$160,0,AS$231+1)-INDEX($E$160:$M$160,0,AS$231))+AQ239)))</f>
        <v>13.75007003286097</v>
      </c>
      <c r="AS239" s="3" cm="1">
        <f t="array" ref="AS239">IF(AT$231=-1,AT239,IF(AT$231=99,AR239,IF(AT$231=0,INDEX($E167:$M167,0,AT$229),(INDEX($E167:$M167,0,AT$231+1)-INDEX($E167:$M167,0,AT$231))/(INDEX($E$160:$M$160,0,AT$231+1)-INDEX($E$160:$M$160,0,AT$231))+AR239)))</f>
        <v>13.75007003286097</v>
      </c>
      <c r="AT239" s="3" cm="1">
        <f t="array" ref="AT239">IF(AV$231=-1,AV239,IF(AV$231=99,AS239,IF(AV$231=0,INDEX($E167:$M167,0,AV$229),(INDEX($E167:$M167,0,AV$231+1)-INDEX($E167:$M167,0,AV$231))/(INDEX($E$160:$M$160,0,AV$231+1)-INDEX($E$160:$M$160,0,AV$231))+AS239)))</f>
        <v>13.75007003286097</v>
      </c>
      <c r="AU239" s="3" cm="1">
        <f t="array" ref="AU239">IF(AW$231=-1,AW239,IF(AW$231=99,AS239,IF(AW$231=0,INDEX($E167:$M167,0,AW$229),(INDEX($E167:$M167,0,AW$231+1)-INDEX($E167:$M167,0,AW$231))/(INDEX($E$160:$M$160,0,AW$231+1)-INDEX($E$160:$M$160,0,AW$231))+AS239)))</f>
        <v>13.75007003286097</v>
      </c>
      <c r="AV239" s="3" cm="1">
        <f t="array" ref="AV239">IF(AX$231=-1,AX239,IF(AX$231=99,AT239,IF(AX$231=0,INDEX($E167:$M167,0,AX$229),(INDEX($E167:$M167,0,AX$231+1)-INDEX($E167:$M167,0,AX$231))/(INDEX($E$160:$M$160,0,AX$231+1)-INDEX($E$160:$M$160,0,AX$231))+AT239)))</f>
        <v>13.75007003286097</v>
      </c>
      <c r="AW239" s="3" cm="1">
        <f t="array" ref="AW239">IF(AY$231=-1,AY239,IF(AY$231=99,AV239,IF(AY$231=0,INDEX($E167:$M167,0,AY$229),(INDEX($E167:$M167,0,AY$231+1)-INDEX($E167:$M167,0,AY$231))/(INDEX($E$160:$M$160,0,AY$231+1)-INDEX($E$160:$M$160,0,AY$231))+AV239)))</f>
        <v>13.75007003286097</v>
      </c>
      <c r="AX239" s="3" cm="1">
        <f t="array" ref="AX239">IF(AY$231=-1,AY239,IF(AY$231=99,AV239,IF(AY$231=0,INDEX($E167:$M167,0,AY$229),(INDEX($E167:$M167,0,AY$231+1)-INDEX($E167:$M167,0,AY$231))/(INDEX($E$160:$M$160,0,AY$231+1)-INDEX($E$160:$M$160,0,AY$231))+AV239)))</f>
        <v>13.75007003286097</v>
      </c>
      <c r="AY239" s="3" cm="1">
        <f t="array" ref="AY239">IF(AZ$231=-1,AZ239,IF(AZ$231=99,AX239,IF(AZ$231=0,INDEX($E167:$M167,0,AZ$229),(INDEX($E167:$M167,0,AZ$231+1)-INDEX($E167:$M167,0,AZ$231))/(INDEX($E$160:$M$160,0,AZ$231+1)-INDEX($E$160:$M$160,0,AZ$231))+AX239)))</f>
        <v>13.75007003286097</v>
      </c>
      <c r="AZ239" s="3" cm="1">
        <f t="array" ref="AZ239">IF(BA$231=-1,BA239,IF(BA$231=99,AY239,IF(BA$231=0,INDEX($E167:$M167,0,BA$229),(INDEX($E167:$M167,0,BA$231+1)-INDEX($E167:$M167,0,BA$231))/(INDEX($E$160:$M$160,0,BA$231+1)-INDEX($E$160:$M$160,0,BA$231))+AY239)))</f>
        <v>13.75007003286097</v>
      </c>
      <c r="BA239" s="3" cm="1">
        <f t="array" ref="BA239">IF(BB$231=-1,BB239,IF(BB$231=99,AZ239,IF(BB$231=0,INDEX($E167:$M167,0,BB$229),(INDEX($E167:$M167,0,BB$231+1)-INDEX($E167:$M167,0,BB$231))/(INDEX($E$160:$M$160,0,BB$231+1)-INDEX($E$160:$M$160,0,BB$231))+AZ239)))</f>
        <v>13.75007003286097</v>
      </c>
      <c r="BB239" s="3" cm="1">
        <f t="array" ref="BB239">IF(BC$231=-1,BC239,IF(BC$231=99,BA239,IF(BC$231=0,INDEX($E167:$M167,0,BC$229),(INDEX($E167:$M167,0,BC$231+1)-INDEX($E167:$M167,0,BC$231))/(INDEX($E$160:$M$160,0,BC$231+1)-INDEX($E$160:$M$160,0,BC$231))+BA239)))</f>
        <v>13.75007003286097</v>
      </c>
      <c r="BC239" s="3" cm="1">
        <f t="array" ref="BC239">IF(BD$231=-1,BD239,IF(BD$231=99,BB239,IF(BD$231=0,INDEX($E167:$M167,0,BD$229),(INDEX($E167:$M167,0,BD$231+1)-INDEX($E167:$M167,0,BD$231))/(INDEX($E$160:$M$160,0,BD$231+1)-INDEX($E$160:$M$160,0,BD$231))+BB239)))</f>
        <v>13.75007003286097</v>
      </c>
      <c r="BD239" s="3" cm="1">
        <f t="array" ref="BD239">IF(BE$231=-1,BE239,IF(BE$231=99,BC239,IF(BE$231=0,INDEX($E167:$M167,0,BE$229),(INDEX($E167:$M167,0,BE$231+1)-INDEX($E167:$M167,0,BE$231))/(INDEX($E$160:$M$160,0,BE$231+1)-INDEX($E$160:$M$160,0,BE$231))+BC239)))</f>
        <v>13.75007003286097</v>
      </c>
      <c r="BE239" s="3" cm="1">
        <f t="array" ref="BE239">IF(BF$231=-1,BF239,IF(BF$231=99,BD239,IF(BF$231=0,INDEX($E167:$M167,0,BF$229),(INDEX($E167:$M167,0,BF$231+1)-INDEX($E167:$M167,0,BF$231))/(INDEX($E$160:$M$160,0,BF$231+1)-INDEX($E$160:$M$160,0,BF$231))+BD239)))</f>
        <v>13.75007003286097</v>
      </c>
      <c r="BF239" s="3" cm="1">
        <f t="array" ref="BF239">IF(BG$231=-1,BG239,IF(BG$231=99,BE239,IF(BG$231=0,INDEX($E167:$M167,0,BG$229),(INDEX($E167:$M167,0,BG$231+1)-INDEX($E167:$M167,0,BG$231))/(INDEX($E$160:$M$160,0,BG$231+1)-INDEX($E$160:$M$160,0,BG$231))+BE239)))</f>
        <v>13.75007003286097</v>
      </c>
      <c r="BG239" s="3" cm="1">
        <f t="array" ref="BG239">IF(BH$231=-1,BH239,IF(BH$231=99,BF239,IF(BH$231=0,INDEX($E167:$M167,0,BH$229),(INDEX($E167:$M167,0,BH$231+1)-INDEX($E167:$M167,0,BH$231))/(INDEX($E$160:$M$160,0,BH$231+1)-INDEX($E$160:$M$160,0,BH$231))+BF239)))</f>
        <v>13.75007003286097</v>
      </c>
      <c r="BH239" s="3" cm="1">
        <f t="array" ref="BH239">IF(BI$231=-1,BI239,IF(BI$231=99,BG239,IF(BI$231=0,INDEX($E167:$M167,0,BI$229),(INDEX($E167:$M167,0,BI$231+1)-INDEX($E167:$M167,0,BI$231))/(INDEX($E$160:$M$160,0,BI$231+1)-INDEX($E$160:$M$160,0,BI$231))+BG239)))</f>
        <v>13.75007003286097</v>
      </c>
      <c r="BI239" s="3" cm="1">
        <f t="array" ref="BI239">IF(BJ$231=-1,BJ239,IF(BJ$231=99,BH239,IF(BJ$231=0,INDEX($E167:$M167,0,BJ$229),(INDEX($E167:$M167,0,BJ$231+1)-INDEX($E167:$M167,0,BJ$231))/(INDEX($E$160:$M$160,0,BJ$231+1)-INDEX($E$160:$M$160,0,BJ$231))+BH239)))</f>
        <v>13.75007003286097</v>
      </c>
      <c r="BJ239" s="3" cm="1">
        <f t="array" ref="BJ239">IF(BK$231=-1,BL239,IF(BK$231=99,BI239,IF(BK$231=0,INDEX($E167:$M167,0,BK$229),(INDEX($E167:$M167,0,BK$231+1)-INDEX($E167:$M167,0,BK$231))/(INDEX($E$160:$M$160,0,BK$231+1)-INDEX($E$160:$M$160,0,BK$231))+BI239)))</f>
        <v>13.75007003286097</v>
      </c>
      <c r="BL239" s="3"/>
      <c r="BM239" s="3"/>
      <c r="BN239" s="3"/>
      <c r="BO239" s="3"/>
      <c r="BP239" s="3"/>
      <c r="BQ239" s="3"/>
    </row>
    <row r="240" spans="5:70">
      <c r="E240" t="s">
        <v>16</v>
      </c>
      <c r="F240" s="15"/>
      <c r="G240" s="16"/>
      <c r="I240" s="16"/>
      <c r="J240" s="16"/>
      <c r="K240" s="16"/>
      <c r="L240" s="16"/>
      <c r="M240" s="43" t="str">
        <f t="shared" si="545"/>
        <v>TPPUGAT</v>
      </c>
      <c r="N240" s="3"/>
      <c r="O240" s="3"/>
      <c r="P240" s="3"/>
      <c r="Q240" s="3"/>
      <c r="R240" s="3"/>
      <c r="S240" s="3"/>
      <c r="T240" s="3"/>
      <c r="U240" s="3" cm="1">
        <f t="array" ref="U240">IF(V$231=-1,V240,IF(V$231=99,T240,IF(V$231=0,INDEX($E168:$M168,0,V$229),(INDEX($E168:$M168,0,V$231+1)-INDEX($E168:$M168,0,V$231))/(INDEX($E$160:$M$160,0,V$231+1)-INDEX($E$160:$M$160,0,V$231))+T240)))</f>
        <v>0.64248252977129328</v>
      </c>
      <c r="V240" s="3" cm="1">
        <f t="array" ref="V240">IF(W$231=-1,W240,IF(W$231=99,U240,IF(W$231=0,INDEX($E168:$M168,0,W$229),(INDEX($E168:$M168,0,W$231+1)-INDEX($E168:$M168,0,W$231))/(INDEX($E$160:$M$160,0,W$231+1)-INDEX($E$160:$M$160,0,W$231))+U240)))</f>
        <v>0.68522387738371804</v>
      </c>
      <c r="W240" s="3" cm="1">
        <f t="array" ref="W240">IF(X$231=-1,X240,IF(X$231=99,V240,IF(X$231=0,INDEX($E168:$M168,0,X$229),(INDEX($E168:$M168,0,X$231+1)-INDEX($E168:$M168,0,X$231))/(INDEX($E$160:$M$160,0,X$231+1)-INDEX($E$160:$M$160,0,X$231))+V240)))</f>
        <v>0.7279652249961428</v>
      </c>
      <c r="X240" s="3" cm="1">
        <f t="array" ref="X240">IF(Y$231=-1,Y240,IF(Y$231=99,W240,IF(Y$231=0,INDEX($E168:$M168,0,Y$229),(INDEX($E168:$M168,0,Y$231+1)-INDEX($E168:$M168,0,Y$231))/(INDEX($E$160:$M$160,0,Y$231+1)-INDEX($E$160:$M$160,0,Y$231))+W240)))</f>
        <v>0.68522387738371804</v>
      </c>
      <c r="Y240" s="3" cm="1">
        <f t="array" ref="Y240">IF(Z$231=-1,Z240,IF(Z$231=99,X240,IF(Z$231=0,INDEX($E168:$M168,0,Z$229),(INDEX($E168:$M168,0,Z$231+1)-INDEX($E168:$M168,0,Z$231))/(INDEX($E$160:$M$160,0,Z$231+1)-INDEX($E$160:$M$160,0,Z$231))+X240)))</f>
        <v>0.77236302620910391</v>
      </c>
      <c r="Z240" s="3" cm="1">
        <f t="array" ref="Z240">IF(AA$231=-1,AA240,IF(AA$231=99,Y240,IF(AA$231=0,INDEX($E168:$M168,0,AA$229),(INDEX($E168:$M168,0,AA$231+1)-INDEX($E168:$M168,0,AA$231))/(INDEX($E$160:$M$160,0,AA$231+1)-INDEX($E$160:$M$160,0,AA$231))+Y240)))</f>
        <v>0.85950217503448978</v>
      </c>
      <c r="AA240" s="3" cm="1">
        <f t="array" ref="AA240">IF(AD$231=-1,AD240,IF(AD$231=99,Z240,IF(AD$231=0,INDEX($E168:$M168,0,AD$229),(INDEX($E168:$M168,0,AD$231+1)-INDEX($E168:$M168,0,AD$231))/(INDEX($E$160:$M$160,0,AD$231+1)-INDEX($E$160:$M$160,0,AD$231))+Z240)))</f>
        <v>0.94664132385987565</v>
      </c>
      <c r="AB240" s="3" cm="1">
        <f t="array" ref="AB240">IF(AD$231=-1,AD240,IF(AD$231=99,Z240,IF(AD$231=0,INDEX($E168:$M168,0,AD$229),(INDEX($E168:$M168,0,AD$231+1)-INDEX($E168:$M168,0,AD$231))/(INDEX($E$160:$M$160,0,AD$231+1)-INDEX($E$160:$M$160,0,AD$231))+Z240)))</f>
        <v>0.94664132385987565</v>
      </c>
      <c r="AC240" s="3" cm="1">
        <f t="array" ref="AC240">IF(AD$231=-1,AD240,IF(AD$231=99,Z240,IF(AD$231=0,INDEX($E168:$M168,0,AD$229),(INDEX($E168:$M168,0,AD$231+1)-INDEX($E168:$M168,0,AD$231))/(INDEX($E$160:$M$160,0,AD$231+1)-INDEX($E$160:$M$160,0,AD$231))+Z240)))</f>
        <v>0.94664132385987565</v>
      </c>
      <c r="AD240" s="3" cm="1">
        <f t="array" ref="AD240">IF(AE$231=-1,AE240,IF(AE$231=99,AA240,IF(AE$231=0,INDEX($E168:$M168,0,AE$229),(INDEX($E168:$M168,0,AE$231+1)-INDEX($E168:$M168,0,AE$231))/(INDEX($E$160:$M$160,0,AE$231+1)-INDEX($E$160:$M$160,0,AE$231))+AA240)))</f>
        <v>1.0337804726852615</v>
      </c>
      <c r="AE240" s="3" cm="1">
        <f t="array" ref="AE240">IF(AF$231=-1,AF240,IF(AF$231=99,AD240,IF(AF$231=0,INDEX($E168:$M168,0,AF$229),(INDEX($E168:$M168,0,AF$231+1)-INDEX($E168:$M168,0,AF$231))/(INDEX($E$160:$M$160,0,AF$231+1)-INDEX($E$160:$M$160,0,AF$231))+AD240)))</f>
        <v>1.1209196215106474</v>
      </c>
      <c r="AF240" s="3" cm="1">
        <f t="array" ref="AF240">IF(AG$231=-1,AG240,IF(AG$231=99,AE240,IF(AG$231=0,INDEX($E168:$M168,0,AG$229),(INDEX($E168:$M168,0,AG$231+1)-INDEX($E168:$M168,0,AG$231))/(INDEX($E$160:$M$160,0,AG$231+1)-INDEX($E$160:$M$160,0,AG$231))+AE240)))</f>
        <v>1.2080587703360333</v>
      </c>
      <c r="AG240" s="3" cm="1">
        <f t="array" ref="AG240">IF(AH$231=-1,AH240,IF(AH$231=99,AF240,IF(AH$231=0,INDEX($E168:$M168,0,AH$229),(INDEX($E168:$M168,0,AH$231+1)-INDEX($E168:$M168,0,AH$231))/(INDEX($E$160:$M$160,0,AH$231+1)-INDEX($E$160:$M$160,0,AH$231))+AF240)))</f>
        <v>1.2951979191614191</v>
      </c>
      <c r="AH240" s="3" cm="1">
        <f t="array" ref="AH240">IF(AI$231=-1,AI240,IF(AI$231=99,AG240,IF(AI$231=0,INDEX($E168:$M168,0,AI$229),(INDEX($E168:$M168,0,AI$231+1)-INDEX($E168:$M168,0,AI$231))/(INDEX($E$160:$M$160,0,AI$231+1)-INDEX($E$160:$M$160,0,AI$231))+AG240)))</f>
        <v>1.382337067986805</v>
      </c>
      <c r="AI240" s="3" cm="1">
        <f t="array" ref="AI240">IF(AJ$231=-1,AJ240,IF(AJ$231=99,AH240,IF(AJ$231=0,INDEX($E168:$M168,0,AJ$229),(INDEX($E168:$M168,0,AJ$231+1)-INDEX($E168:$M168,0,AJ$231))/(INDEX($E$160:$M$160,0,AJ$231+1)-INDEX($E$160:$M$160,0,AJ$231))+AH240)))</f>
        <v>1.4694762168121909</v>
      </c>
      <c r="AJ240" s="3" cm="1">
        <f t="array" ref="AJ240">IF(AK$231=-1,AK240,IF(AK$231=99,AI240,IF(AK$231=0,INDEX($E168:$M168,0,AK$229),(INDEX($E168:$M168,0,AK$231+1)-INDEX($E168:$M168,0,AK$231))/(INDEX($E$160:$M$160,0,AK$231+1)-INDEX($E$160:$M$160,0,AK$231))+AI240)))</f>
        <v>1.4694762168121909</v>
      </c>
      <c r="AK240" s="3" cm="1">
        <f t="array" ref="AK240">IF(AL$231=-1,AL240,IF(AL$231=99,AJ240,IF(AL$231=0,INDEX($E168:$M168,0,AL$229),(INDEX($E168:$M168,0,AL$231+1)-INDEX($E168:$M168,0,AL$231))/(INDEX($E$160:$M$160,0,AL$231+1)-INDEX($E$160:$M$160,0,AL$231))+AJ240)))</f>
        <v>1.4694762168121909</v>
      </c>
      <c r="AL240" s="3" cm="1">
        <f t="array" ref="AL240">IF(AO$231=-1,AO240,IF(AO$231=99,AK240,IF(AO$231=0,INDEX($E168:$M168,0,AO$229),(INDEX($E168:$M168,0,AO$231+1)-INDEX($E168:$M168,0,AO$231))/(INDEX($E$160:$M$160,0,AO$231+1)-INDEX($E$160:$M$160,0,AO$231))+AK240)))</f>
        <v>1.4694762168121909</v>
      </c>
      <c r="AM240" s="3" cm="1">
        <f t="array" ref="AM240">IF(AO$231=-1,AO240,IF(AO$231=99,AK240,IF(AO$231=0,INDEX($E168:$M168,0,AO$229),(INDEX($E168:$M168,0,AO$231+1)-INDEX($E168:$M168,0,AO$231))/(INDEX($E$160:$M$160,0,AO$231+1)-INDEX($E$160:$M$160,0,AO$231))+AK240)))</f>
        <v>1.4694762168121909</v>
      </c>
      <c r="AN240" s="3" cm="1">
        <f t="array" ref="AN240">IF(AO$231=-1,AO240,IF(AO$231=99,AK240,IF(AO$231=0,INDEX($E168:$M168,0,AO$229),(INDEX($E168:$M168,0,AO$231+1)-INDEX($E168:$M168,0,AO$231))/(INDEX($E$160:$M$160,0,AO$231+1)-INDEX($E$160:$M$160,0,AO$231))+AK240)))</f>
        <v>1.4694762168121909</v>
      </c>
      <c r="AO240" s="3" cm="1">
        <f t="array" ref="AO240">IF(AP$231=-1,AP240,IF(AP$231=99,AL240,IF(AP$231=0,INDEX($E168:$M168,0,AP$229),(INDEX($E168:$M168,0,AP$231+1)-INDEX($E168:$M168,0,AP$231))/(INDEX($E$160:$M$160,0,AP$231+1)-INDEX($E$160:$M$160,0,AP$231))+AL240)))</f>
        <v>1.4694762168121909</v>
      </c>
      <c r="AP240" s="3" cm="1">
        <f t="array" ref="AP240">IF(AQ$231=-1,AQ240,IF(AQ$231=99,AO240,IF(AQ$231=0,INDEX($E168:$M168,0,AQ$229),(INDEX($E168:$M168,0,AQ$231+1)-INDEX($E168:$M168,0,AQ$231))/(INDEX($E$160:$M$160,0,AQ$231+1)-INDEX($E$160:$M$160,0,AQ$231))+AO240)))</f>
        <v>1.4694762168121909</v>
      </c>
      <c r="AQ240" s="3" cm="1">
        <f t="array" ref="AQ240">IF(AR$231=-1,AR240,IF(AR$231=99,AP240,IF(AR$231=0,INDEX($E168:$M168,0,AR$229),(INDEX($E168:$M168,0,AR$231+1)-INDEX($E168:$M168,0,AR$231))/(INDEX($E$160:$M$160,0,AR$231+1)-INDEX($E$160:$M$160,0,AR$231))+AP240)))</f>
        <v>1.4694762168121909</v>
      </c>
      <c r="AR240" s="3" cm="1">
        <f t="array" ref="AR240">IF(AS$231=-1,AS240,IF(AS$231=99,AQ240,IF(AS$231=0,INDEX($E168:$M168,0,AS$229),(INDEX($E168:$M168,0,AS$231+1)-INDEX($E168:$M168,0,AS$231))/(INDEX($E$160:$M$160,0,AS$231+1)-INDEX($E$160:$M$160,0,AS$231))+AQ240)))</f>
        <v>1.4694762168121909</v>
      </c>
      <c r="AS240" s="3" cm="1">
        <f t="array" ref="AS240">IF(AT$231=-1,AT240,IF(AT$231=99,AR240,IF(AT$231=0,INDEX($E168:$M168,0,AT$229),(INDEX($E168:$M168,0,AT$231+1)-INDEX($E168:$M168,0,AT$231))/(INDEX($E$160:$M$160,0,AT$231+1)-INDEX($E$160:$M$160,0,AT$231))+AR240)))</f>
        <v>1.4694762168121909</v>
      </c>
      <c r="AT240" s="3" cm="1">
        <f t="array" ref="AT240">IF(AV$231=-1,AV240,IF(AV$231=99,AS240,IF(AV$231=0,INDEX($E168:$M168,0,AV$229),(INDEX($E168:$M168,0,AV$231+1)-INDEX($E168:$M168,0,AV$231))/(INDEX($E$160:$M$160,0,AV$231+1)-INDEX($E$160:$M$160,0,AV$231))+AS240)))</f>
        <v>1.4694762168121909</v>
      </c>
      <c r="AU240" s="3" cm="1">
        <f t="array" ref="AU240">IF(AW$231=-1,AW240,IF(AW$231=99,AS240,IF(AW$231=0,INDEX($E168:$M168,0,AW$229),(INDEX($E168:$M168,0,AW$231+1)-INDEX($E168:$M168,0,AW$231))/(INDEX($E$160:$M$160,0,AW$231+1)-INDEX($E$160:$M$160,0,AW$231))+AS240)))</f>
        <v>1.4694762168121909</v>
      </c>
      <c r="AV240" s="3" cm="1">
        <f t="array" ref="AV240">IF(AX$231=-1,AX240,IF(AX$231=99,AT240,IF(AX$231=0,INDEX($E168:$M168,0,AX$229),(INDEX($E168:$M168,0,AX$231+1)-INDEX($E168:$M168,0,AX$231))/(INDEX($E$160:$M$160,0,AX$231+1)-INDEX($E$160:$M$160,0,AX$231))+AT240)))</f>
        <v>1.4694762168121909</v>
      </c>
      <c r="AW240" s="3" cm="1">
        <f t="array" ref="AW240">IF(AY$231=-1,AY240,IF(AY$231=99,AV240,IF(AY$231=0,INDEX($E168:$M168,0,AY$229),(INDEX($E168:$M168,0,AY$231+1)-INDEX($E168:$M168,0,AY$231))/(INDEX($E$160:$M$160,0,AY$231+1)-INDEX($E$160:$M$160,0,AY$231))+AV240)))</f>
        <v>1.4694762168121909</v>
      </c>
      <c r="AX240" s="3" cm="1">
        <f t="array" ref="AX240">IF(AY$231=-1,AY240,IF(AY$231=99,AV240,IF(AY$231=0,INDEX($E168:$M168,0,AY$229),(INDEX($E168:$M168,0,AY$231+1)-INDEX($E168:$M168,0,AY$231))/(INDEX($E$160:$M$160,0,AY$231+1)-INDEX($E$160:$M$160,0,AY$231))+AV240)))</f>
        <v>1.4694762168121909</v>
      </c>
      <c r="AY240" s="3" cm="1">
        <f t="array" ref="AY240">IF(AZ$231=-1,AZ240,IF(AZ$231=99,AX240,IF(AZ$231=0,INDEX($E168:$M168,0,AZ$229),(INDEX($E168:$M168,0,AZ$231+1)-INDEX($E168:$M168,0,AZ$231))/(INDEX($E$160:$M$160,0,AZ$231+1)-INDEX($E$160:$M$160,0,AZ$231))+AX240)))</f>
        <v>1.4694762168121909</v>
      </c>
      <c r="AZ240" s="3" cm="1">
        <f t="array" ref="AZ240">IF(BA$231=-1,BA240,IF(BA$231=99,AY240,IF(BA$231=0,INDEX($E168:$M168,0,BA$229),(INDEX($E168:$M168,0,BA$231+1)-INDEX($E168:$M168,0,BA$231))/(INDEX($E$160:$M$160,0,BA$231+1)-INDEX($E$160:$M$160,0,BA$231))+AY240)))</f>
        <v>1.4694762168121909</v>
      </c>
      <c r="BA240" s="3" cm="1">
        <f t="array" ref="BA240">IF(BB$231=-1,BB240,IF(BB$231=99,AZ240,IF(BB$231=0,INDEX($E168:$M168,0,BB$229),(INDEX($E168:$M168,0,BB$231+1)-INDEX($E168:$M168,0,BB$231))/(INDEX($E$160:$M$160,0,BB$231+1)-INDEX($E$160:$M$160,0,BB$231))+AZ240)))</f>
        <v>1.4694762168121909</v>
      </c>
      <c r="BB240" s="3" cm="1">
        <f t="array" ref="BB240">IF(BC$231=-1,BC240,IF(BC$231=99,BA240,IF(BC$231=0,INDEX($E168:$M168,0,BC$229),(INDEX($E168:$M168,0,BC$231+1)-INDEX($E168:$M168,0,BC$231))/(INDEX($E$160:$M$160,0,BC$231+1)-INDEX($E$160:$M$160,0,BC$231))+BA240)))</f>
        <v>1.4694762168121909</v>
      </c>
      <c r="BC240" s="3" cm="1">
        <f t="array" ref="BC240">IF(BD$231=-1,BD240,IF(BD$231=99,BB240,IF(BD$231=0,INDEX($E168:$M168,0,BD$229),(INDEX($E168:$M168,0,BD$231+1)-INDEX($E168:$M168,0,BD$231))/(INDEX($E$160:$M$160,0,BD$231+1)-INDEX($E$160:$M$160,0,BD$231))+BB240)))</f>
        <v>1.4694762168121909</v>
      </c>
      <c r="BD240" s="3" cm="1">
        <f t="array" ref="BD240">IF(BE$231=-1,BE240,IF(BE$231=99,BC240,IF(BE$231=0,INDEX($E168:$M168,0,BE$229),(INDEX($E168:$M168,0,BE$231+1)-INDEX($E168:$M168,0,BE$231))/(INDEX($E$160:$M$160,0,BE$231+1)-INDEX($E$160:$M$160,0,BE$231))+BC240)))</f>
        <v>1.4694762168121909</v>
      </c>
      <c r="BE240" s="3" cm="1">
        <f t="array" ref="BE240">IF(BF$231=-1,BF240,IF(BF$231=99,BD240,IF(BF$231=0,INDEX($E168:$M168,0,BF$229),(INDEX($E168:$M168,0,BF$231+1)-INDEX($E168:$M168,0,BF$231))/(INDEX($E$160:$M$160,0,BF$231+1)-INDEX($E$160:$M$160,0,BF$231))+BD240)))</f>
        <v>1.4694762168121909</v>
      </c>
      <c r="BF240" s="3" cm="1">
        <f t="array" ref="BF240">IF(BG$231=-1,BG240,IF(BG$231=99,BE240,IF(BG$231=0,INDEX($E168:$M168,0,BG$229),(INDEX($E168:$M168,0,BG$231+1)-INDEX($E168:$M168,0,BG$231))/(INDEX($E$160:$M$160,0,BG$231+1)-INDEX($E$160:$M$160,0,BG$231))+BE240)))</f>
        <v>1.4694762168121909</v>
      </c>
      <c r="BG240" s="3" cm="1">
        <f t="array" ref="BG240">IF(BH$231=-1,BH240,IF(BH$231=99,BF240,IF(BH$231=0,INDEX($E168:$M168,0,BH$229),(INDEX($E168:$M168,0,BH$231+1)-INDEX($E168:$M168,0,BH$231))/(INDEX($E$160:$M$160,0,BH$231+1)-INDEX($E$160:$M$160,0,BH$231))+BF240)))</f>
        <v>1.4694762168121909</v>
      </c>
      <c r="BH240" s="3" cm="1">
        <f t="array" ref="BH240">IF(BI$231=-1,BI240,IF(BI$231=99,BG240,IF(BI$231=0,INDEX($E168:$M168,0,BI$229),(INDEX($E168:$M168,0,BI$231+1)-INDEX($E168:$M168,0,BI$231))/(INDEX($E$160:$M$160,0,BI$231+1)-INDEX($E$160:$M$160,0,BI$231))+BG240)))</f>
        <v>1.4694762168121909</v>
      </c>
      <c r="BI240" s="3" cm="1">
        <f t="array" ref="BI240">IF(BJ$231=-1,BJ240,IF(BJ$231=99,BH240,IF(BJ$231=0,INDEX($E168:$M168,0,BJ$229),(INDEX($E168:$M168,0,BJ$231+1)-INDEX($E168:$M168,0,BJ$231))/(INDEX($E$160:$M$160,0,BJ$231+1)-INDEX($E$160:$M$160,0,BJ$231))+BH240)))</f>
        <v>1.4694762168121909</v>
      </c>
      <c r="BJ240" s="3" cm="1">
        <f t="array" ref="BJ240">IF(BK$231=-1,BL240,IF(BK$231=99,BI240,IF(BK$231=0,INDEX($E168:$M168,0,BK$229),(INDEX($E168:$M168,0,BK$231+1)-INDEX($E168:$M168,0,BK$231))/(INDEX($E$160:$M$160,0,BK$231+1)-INDEX($E$160:$M$160,0,BK$231))+BI240)))</f>
        <v>1.4694762168121909</v>
      </c>
      <c r="BL240" s="3"/>
      <c r="BM240" s="3"/>
      <c r="BN240" s="3"/>
      <c r="BO240" s="3"/>
      <c r="BP240" s="3"/>
      <c r="BQ240" s="3"/>
    </row>
    <row r="241" spans="5:70">
      <c r="F241" s="15"/>
      <c r="G241" s="16"/>
      <c r="I241" s="16"/>
      <c r="J241" s="16"/>
      <c r="K241" s="16"/>
      <c r="L241" s="16"/>
      <c r="M241" s="16"/>
      <c r="N241" s="16"/>
      <c r="O241" s="4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row>
    <row r="242" spans="5:70">
      <c r="F242" s="15"/>
      <c r="G242" s="16"/>
      <c r="I242" s="16"/>
      <c r="J242" s="16"/>
      <c r="K242" s="16"/>
      <c r="L242" s="16"/>
      <c r="M242" s="16"/>
      <c r="N242" s="16"/>
      <c r="O242" s="4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row>
    <row r="243" spans="5:70">
      <c r="F243" s="15"/>
      <c r="G243" s="16"/>
      <c r="I243" s="16"/>
      <c r="J243" s="16"/>
      <c r="K243" s="16"/>
      <c r="L243" s="16"/>
      <c r="M243" s="16"/>
      <c r="N243" s="16"/>
      <c r="O243" s="4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row>
    <row r="244" spans="5:70">
      <c r="F244" s="15"/>
      <c r="G244" s="16"/>
      <c r="I244" s="16"/>
      <c r="J244" s="16"/>
      <c r="K244" s="16"/>
      <c r="L244" s="16"/>
      <c r="M244" s="16"/>
      <c r="N244" s="16"/>
      <c r="O244" s="4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row>
    <row r="245" spans="5:70">
      <c r="F245" s="15"/>
      <c r="G245" s="16"/>
      <c r="I245" s="16"/>
      <c r="J245" s="16"/>
      <c r="K245" s="16"/>
      <c r="L245" s="16"/>
      <c r="M245" s="16"/>
      <c r="N245" s="16"/>
      <c r="O245" s="4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row>
    <row r="246" spans="5:70">
      <c r="F246" s="15"/>
      <c r="G246" s="16"/>
      <c r="I246" s="16"/>
      <c r="J246" s="16"/>
      <c r="K246" s="16"/>
      <c r="L246" s="16"/>
      <c r="M246" s="16"/>
      <c r="N246" s="16"/>
      <c r="O246" s="4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row>
    <row r="247" spans="5:70">
      <c r="F247" s="15"/>
      <c r="G247" s="16"/>
      <c r="I247" s="16"/>
      <c r="J247" s="16"/>
      <c r="K247" s="16"/>
      <c r="L247" s="16"/>
      <c r="M247" s="16"/>
      <c r="N247" s="16"/>
      <c r="O247" s="4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row>
    <row r="248" spans="5:70">
      <c r="E248" t="s">
        <v>16</v>
      </c>
      <c r="J248"/>
      <c r="Q248" s="31"/>
      <c r="R248" s="31"/>
      <c r="S248" s="31"/>
    </row>
    <row r="249" spans="5:70">
      <c r="E249" t="s">
        <v>16</v>
      </c>
      <c r="G249">
        <f>G228</f>
        <v>1</v>
      </c>
      <c r="H249">
        <v>2012</v>
      </c>
      <c r="I249" t="e">
        <f>I228</f>
        <v>#REF!</v>
      </c>
      <c r="J249">
        <v>2017</v>
      </c>
      <c r="K249">
        <f>K228</f>
        <v>2020</v>
      </c>
      <c r="L249">
        <f>L228</f>
        <v>2030</v>
      </c>
      <c r="M249">
        <f t="shared" ref="M249:N249" si="546">M228</f>
        <v>2040</v>
      </c>
      <c r="N249">
        <f t="shared" si="546"/>
        <v>0</v>
      </c>
      <c r="O249">
        <f>N228</f>
        <v>0</v>
      </c>
      <c r="P249" s="97" t="e">
        <f>MATCH(N$259,$H$249:$O$249,$G249)</f>
        <v>#N/A</v>
      </c>
      <c r="Q249" s="98" t="e">
        <f>MATCH(N$232,$H$228:$N$228,$G249)</f>
        <v>#N/A</v>
      </c>
      <c r="R249" s="98" t="e">
        <f t="shared" ref="R249:T250" si="547">MATCH(N$232,$H$228:$N$228,$G249)</f>
        <v>#N/A</v>
      </c>
      <c r="S249" s="98" t="e">
        <f t="shared" si="547"/>
        <v>#N/A</v>
      </c>
      <c r="T249" s="98" t="e">
        <f t="shared" si="547"/>
        <v>#N/A</v>
      </c>
      <c r="U249" s="98" t="e">
        <f t="shared" ref="U249:AA250" si="548">MATCH(S$232,$H$228:$N$228,$G249)</f>
        <v>#N/A</v>
      </c>
      <c r="V249" s="98" t="e">
        <f t="shared" si="548"/>
        <v>#N/A</v>
      </c>
      <c r="W249" s="98">
        <f t="shared" si="548"/>
        <v>3</v>
      </c>
      <c r="X249" s="98">
        <f t="shared" si="548"/>
        <v>3</v>
      </c>
      <c r="Y249" s="98">
        <f t="shared" si="548"/>
        <v>3</v>
      </c>
      <c r="Z249" s="98">
        <f t="shared" si="548"/>
        <v>4</v>
      </c>
      <c r="AA249" s="98">
        <f t="shared" si="548"/>
        <v>4</v>
      </c>
      <c r="AB249" s="98">
        <f>MATCH(Y$232,$H$228:$N$228,$G249)</f>
        <v>4</v>
      </c>
      <c r="AC249" s="98">
        <f t="shared" ref="AC249:AE250" si="549">MATCH(Y$232,$H$228:$N$228,$G249)</f>
        <v>4</v>
      </c>
      <c r="AD249" s="98">
        <f t="shared" si="549"/>
        <v>4</v>
      </c>
      <c r="AE249" s="98">
        <f t="shared" si="549"/>
        <v>4</v>
      </c>
      <c r="AF249" s="98">
        <f t="shared" ref="AF249:AL250" si="550">MATCH(AD$232,$H$228:$N$228,$G249)</f>
        <v>4</v>
      </c>
      <c r="AG249" s="98">
        <f t="shared" si="550"/>
        <v>4</v>
      </c>
      <c r="AH249" s="98">
        <f t="shared" si="550"/>
        <v>4</v>
      </c>
      <c r="AI249" s="98">
        <f t="shared" si="550"/>
        <v>4</v>
      </c>
      <c r="AJ249" s="98">
        <f t="shared" si="550"/>
        <v>4</v>
      </c>
      <c r="AK249" s="98">
        <f t="shared" si="550"/>
        <v>4</v>
      </c>
      <c r="AL249" s="98">
        <f t="shared" si="550"/>
        <v>5</v>
      </c>
      <c r="AM249" s="98">
        <f>MATCH(AJ$232,$H$228:$N$228,$G249)</f>
        <v>5</v>
      </c>
      <c r="AN249" s="98">
        <f t="shared" ref="AN249:AP250" si="551">MATCH(AJ$232,$H$228:$N$228,$G249)</f>
        <v>5</v>
      </c>
      <c r="AO249" s="98">
        <f t="shared" si="551"/>
        <v>5</v>
      </c>
      <c r="AP249" s="98">
        <f t="shared" si="551"/>
        <v>5</v>
      </c>
      <c r="AQ249" s="98">
        <f t="shared" ref="AQ249:BB250" si="552">MATCH(AO$232,$H$228:$N$228,$G249)</f>
        <v>5</v>
      </c>
      <c r="AR249" s="98">
        <f t="shared" si="552"/>
        <v>5</v>
      </c>
      <c r="AS249" s="98">
        <f t="shared" si="552"/>
        <v>5</v>
      </c>
      <c r="AT249" s="98">
        <f t="shared" si="552"/>
        <v>5</v>
      </c>
      <c r="AU249" s="98">
        <f t="shared" ref="AU249:AW250" si="553">MATCH(AR$232,$H$228:$N$228,$G249)</f>
        <v>5</v>
      </c>
      <c r="AV249" s="98">
        <f t="shared" si="553"/>
        <v>5</v>
      </c>
      <c r="AW249" s="98">
        <f t="shared" si="553"/>
        <v>5</v>
      </c>
      <c r="AX249" s="98">
        <f>MATCH(AT$232,$H$228:$N$228,$G249)</f>
        <v>5</v>
      </c>
      <c r="AY249" s="98">
        <f>MATCH(AV$232,$H$228:$N$228,$G249)</f>
        <v>5</v>
      </c>
      <c r="AZ249" s="98">
        <f t="shared" si="552"/>
        <v>6</v>
      </c>
      <c r="BA249" s="98">
        <f t="shared" si="552"/>
        <v>6</v>
      </c>
      <c r="BB249" s="98">
        <f t="shared" si="552"/>
        <v>6</v>
      </c>
      <c r="BC249" s="98">
        <f t="shared" ref="BC249:BD250" si="554">MATCH(BA$232,$H$228:$N$228,$G249)</f>
        <v>6</v>
      </c>
      <c r="BD249" s="98">
        <f t="shared" si="554"/>
        <v>6</v>
      </c>
      <c r="BE249" s="98">
        <f t="shared" ref="BE249:BR250" si="555">MATCH(BC$259,$H$228:$N$228,$G249)</f>
        <v>6</v>
      </c>
      <c r="BF249" s="98">
        <f t="shared" si="555"/>
        <v>6</v>
      </c>
      <c r="BG249" s="98">
        <f t="shared" si="555"/>
        <v>6</v>
      </c>
      <c r="BH249" s="98">
        <f t="shared" si="555"/>
        <v>6</v>
      </c>
      <c r="BI249" s="98">
        <f t="shared" si="555"/>
        <v>6</v>
      </c>
      <c r="BJ249" s="98">
        <f t="shared" si="555"/>
        <v>6</v>
      </c>
      <c r="BK249" s="98">
        <f t="shared" si="555"/>
        <v>6</v>
      </c>
      <c r="BL249" s="98">
        <f t="shared" si="555"/>
        <v>6</v>
      </c>
      <c r="BM249" s="98">
        <f t="shared" si="555"/>
        <v>6</v>
      </c>
      <c r="BN249" s="98">
        <f t="shared" si="555"/>
        <v>6</v>
      </c>
      <c r="BO249" s="98">
        <f t="shared" si="555"/>
        <v>6</v>
      </c>
      <c r="BP249" s="98">
        <f t="shared" si="555"/>
        <v>6</v>
      </c>
      <c r="BQ249" s="98">
        <f t="shared" si="555"/>
        <v>6</v>
      </c>
      <c r="BR249" s="98">
        <f t="shared" si="555"/>
        <v>6</v>
      </c>
    </row>
    <row r="250" spans="5:70">
      <c r="E250" t="s">
        <v>16</v>
      </c>
      <c r="G250">
        <f>G229</f>
        <v>0</v>
      </c>
      <c r="H250">
        <f t="shared" ref="H250:N251" si="556">H229</f>
        <v>2030</v>
      </c>
      <c r="I250">
        <f t="shared" si="556"/>
        <v>2020</v>
      </c>
      <c r="J250">
        <f t="shared" si="556"/>
        <v>2017</v>
      </c>
      <c r="K250" t="e">
        <f t="shared" si="556"/>
        <v>#REF!</v>
      </c>
      <c r="L250">
        <f t="shared" si="556"/>
        <v>2006</v>
      </c>
      <c r="M250">
        <f t="shared" si="556"/>
        <v>2006</v>
      </c>
      <c r="N250" t="e">
        <f t="shared" si="556"/>
        <v>#REF!</v>
      </c>
      <c r="O250">
        <v>2012</v>
      </c>
      <c r="P250" s="31">
        <f>MATCH(N$259,$H$249:$O$249,$G250)</f>
        <v>7</v>
      </c>
      <c r="Q250" t="e">
        <f>MATCH(N$232,$H$228:$N$228,$G250)</f>
        <v>#N/A</v>
      </c>
      <c r="R250" t="e">
        <f t="shared" si="547"/>
        <v>#N/A</v>
      </c>
      <c r="S250" t="e">
        <f t="shared" si="547"/>
        <v>#N/A</v>
      </c>
      <c r="T250" t="e">
        <f t="shared" si="547"/>
        <v>#N/A</v>
      </c>
      <c r="U250" t="e">
        <f t="shared" si="548"/>
        <v>#N/A</v>
      </c>
      <c r="V250" t="e">
        <f t="shared" si="548"/>
        <v>#N/A</v>
      </c>
      <c r="W250">
        <f t="shared" si="548"/>
        <v>3</v>
      </c>
      <c r="X250" t="e">
        <f t="shared" si="548"/>
        <v>#N/A</v>
      </c>
      <c r="Y250" t="e">
        <f t="shared" si="548"/>
        <v>#N/A</v>
      </c>
      <c r="Z250">
        <f t="shared" si="548"/>
        <v>4</v>
      </c>
      <c r="AA250" t="e">
        <f t="shared" si="548"/>
        <v>#N/A</v>
      </c>
      <c r="AB250" t="e">
        <f>MATCH(Y$232,$H$228:$N$228,$G250)</f>
        <v>#N/A</v>
      </c>
      <c r="AC250" t="e">
        <f t="shared" si="549"/>
        <v>#N/A</v>
      </c>
      <c r="AD250" t="e">
        <f t="shared" si="549"/>
        <v>#N/A</v>
      </c>
      <c r="AE250" t="e">
        <f t="shared" si="549"/>
        <v>#N/A</v>
      </c>
      <c r="AF250" t="e">
        <f t="shared" si="550"/>
        <v>#N/A</v>
      </c>
      <c r="AG250" t="e">
        <f t="shared" si="550"/>
        <v>#N/A</v>
      </c>
      <c r="AH250" t="e">
        <f t="shared" si="550"/>
        <v>#N/A</v>
      </c>
      <c r="AI250" t="e">
        <f t="shared" si="550"/>
        <v>#N/A</v>
      </c>
      <c r="AJ250" t="e">
        <f t="shared" si="550"/>
        <v>#N/A</v>
      </c>
      <c r="AK250" t="e">
        <f t="shared" si="550"/>
        <v>#N/A</v>
      </c>
      <c r="AL250">
        <f t="shared" si="550"/>
        <v>5</v>
      </c>
      <c r="AM250">
        <f>MATCH(AJ$232,$H$228:$N$228,$G250)</f>
        <v>5</v>
      </c>
      <c r="AN250">
        <f t="shared" si="551"/>
        <v>5</v>
      </c>
      <c r="AO250" t="e">
        <f t="shared" si="551"/>
        <v>#N/A</v>
      </c>
      <c r="AP250" t="e">
        <f t="shared" si="551"/>
        <v>#N/A</v>
      </c>
      <c r="AQ250" t="e">
        <f t="shared" si="552"/>
        <v>#N/A</v>
      </c>
      <c r="AR250" t="e">
        <f t="shared" si="552"/>
        <v>#N/A</v>
      </c>
      <c r="AS250" t="e">
        <f t="shared" si="552"/>
        <v>#N/A</v>
      </c>
      <c r="AT250" t="e">
        <f t="shared" si="552"/>
        <v>#N/A</v>
      </c>
      <c r="AU250" t="e">
        <f t="shared" si="553"/>
        <v>#N/A</v>
      </c>
      <c r="AV250" t="e">
        <f t="shared" si="553"/>
        <v>#N/A</v>
      </c>
      <c r="AW250" t="e">
        <f t="shared" si="553"/>
        <v>#N/A</v>
      </c>
      <c r="AX250" t="e">
        <f>MATCH(AT$232,$H$228:$N$228,$G250)</f>
        <v>#N/A</v>
      </c>
      <c r="AY250" t="e">
        <f>MATCH(AV$232,$H$228:$N$228,$G250)</f>
        <v>#N/A</v>
      </c>
      <c r="AZ250">
        <f t="shared" si="552"/>
        <v>6</v>
      </c>
      <c r="BA250" t="e">
        <f t="shared" si="552"/>
        <v>#N/A</v>
      </c>
      <c r="BB250" t="e">
        <f t="shared" si="552"/>
        <v>#N/A</v>
      </c>
      <c r="BC250" t="e">
        <f t="shared" si="554"/>
        <v>#N/A</v>
      </c>
      <c r="BD250" t="e">
        <f t="shared" si="554"/>
        <v>#N/A</v>
      </c>
      <c r="BE250" t="e">
        <f t="shared" si="555"/>
        <v>#N/A</v>
      </c>
      <c r="BF250" t="e">
        <f t="shared" si="555"/>
        <v>#N/A</v>
      </c>
      <c r="BG250" t="e">
        <f t="shared" si="555"/>
        <v>#N/A</v>
      </c>
      <c r="BH250" t="e">
        <f t="shared" si="555"/>
        <v>#N/A</v>
      </c>
      <c r="BI250" t="e">
        <f t="shared" si="555"/>
        <v>#N/A</v>
      </c>
      <c r="BJ250" t="e">
        <f t="shared" si="555"/>
        <v>#N/A</v>
      </c>
      <c r="BK250" t="e">
        <f t="shared" si="555"/>
        <v>#N/A</v>
      </c>
      <c r="BL250" t="e">
        <f t="shared" si="555"/>
        <v>#N/A</v>
      </c>
      <c r="BM250" t="e">
        <f t="shared" si="555"/>
        <v>#N/A</v>
      </c>
      <c r="BN250" t="e">
        <f t="shared" si="555"/>
        <v>#N/A</v>
      </c>
      <c r="BO250" t="e">
        <f t="shared" si="555"/>
        <v>#N/A</v>
      </c>
      <c r="BP250" t="e">
        <f t="shared" si="555"/>
        <v>#N/A</v>
      </c>
      <c r="BQ250" t="e">
        <f t="shared" si="555"/>
        <v>#N/A</v>
      </c>
      <c r="BR250" t="e">
        <f t="shared" si="555"/>
        <v>#N/A</v>
      </c>
    </row>
    <row r="251" spans="5:70">
      <c r="E251" t="s">
        <v>16</v>
      </c>
      <c r="G251">
        <f>G230</f>
        <v>-1</v>
      </c>
      <c r="H251">
        <f t="shared" si="556"/>
        <v>0</v>
      </c>
      <c r="I251">
        <f t="shared" si="556"/>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57">MATCH(S$232,$H$229:$N$229,$G251)</f>
        <v>6</v>
      </c>
      <c r="V251">
        <f t="shared" si="557"/>
        <v>6</v>
      </c>
      <c r="W251">
        <f t="shared" si="557"/>
        <v>3</v>
      </c>
      <c r="X251">
        <f t="shared" si="557"/>
        <v>2</v>
      </c>
      <c r="Y251">
        <f t="shared" si="557"/>
        <v>2</v>
      </c>
      <c r="Z251">
        <f t="shared" si="557"/>
        <v>2</v>
      </c>
      <c r="AA251">
        <f t="shared" si="557"/>
        <v>1</v>
      </c>
      <c r="AB251">
        <f>MATCH(Y$232,$H$229:$N$229,$G251)</f>
        <v>1</v>
      </c>
      <c r="AC251">
        <f>MATCH(Y$232,$H$229:$N$229,$G251)</f>
        <v>1</v>
      </c>
      <c r="AD251">
        <f>MATCH(Z$232,$H$229:$N$229,$G251)</f>
        <v>1</v>
      </c>
      <c r="AE251">
        <f>MATCH(AA$232,$H$229:$N$229,$G251)</f>
        <v>1</v>
      </c>
      <c r="AF251">
        <f t="shared" si="557"/>
        <v>1</v>
      </c>
      <c r="AG251">
        <f t="shared" si="557"/>
        <v>1</v>
      </c>
      <c r="AH251">
        <f t="shared" si="557"/>
        <v>1</v>
      </c>
      <c r="AI251">
        <f t="shared" si="557"/>
        <v>1</v>
      </c>
      <c r="AJ251">
        <f t="shared" si="557"/>
        <v>1</v>
      </c>
      <c r="AK251">
        <f t="shared" si="557"/>
        <v>1</v>
      </c>
      <c r="AL251">
        <f t="shared" si="557"/>
        <v>1</v>
      </c>
      <c r="AM251">
        <f>MATCH(AJ$232,$H$229:$N$229,$G251)</f>
        <v>1</v>
      </c>
      <c r="AN251">
        <f>MATCH(AJ$232,$H$229:$N$229,$G251)</f>
        <v>1</v>
      </c>
      <c r="AO251" t="e">
        <f>MATCH(AK$232,$H$229:$N$229,$G251)</f>
        <v>#N/A</v>
      </c>
      <c r="AP251" t="e">
        <f>MATCH(AL$232,$H$229:$N$229,$G251)</f>
        <v>#N/A</v>
      </c>
      <c r="AQ251" t="e">
        <f t="shared" si="557"/>
        <v>#N/A</v>
      </c>
      <c r="AR251" t="e">
        <f t="shared" si="557"/>
        <v>#N/A</v>
      </c>
      <c r="AS251" t="e">
        <f t="shared" si="557"/>
        <v>#N/A</v>
      </c>
      <c r="AT251" t="e">
        <f t="shared" si="557"/>
        <v>#N/A</v>
      </c>
      <c r="AU251" t="e">
        <f>MATCH(AR$232,$H$229:$N$229,$G251)</f>
        <v>#N/A</v>
      </c>
      <c r="AV251" t="e">
        <f>MATCH(AS$232,$H$229:$N$229,$G251)</f>
        <v>#N/A</v>
      </c>
      <c r="AW251" t="e">
        <f>MATCH(AT$232,$H$229:$N$229,$G251)</f>
        <v>#N/A</v>
      </c>
      <c r="AX251" t="e">
        <f>MATCH(AT$232,$H$229:$N$229,$G251)</f>
        <v>#N/A</v>
      </c>
      <c r="AY251" t="e">
        <f>MATCH(AV$232,$H$229:$N$229,$G251)</f>
        <v>#N/A</v>
      </c>
      <c r="AZ251" t="e">
        <f t="shared" si="557"/>
        <v>#N/A</v>
      </c>
      <c r="BA251" t="e">
        <f t="shared" si="557"/>
        <v>#N/A</v>
      </c>
      <c r="BB251" t="e">
        <f t="shared" si="557"/>
        <v>#N/A</v>
      </c>
      <c r="BC251" t="e">
        <f t="shared" si="557"/>
        <v>#N/A</v>
      </c>
      <c r="BD251" t="e">
        <f t="shared" si="557"/>
        <v>#N/A</v>
      </c>
      <c r="BE251" t="e">
        <f t="shared" ref="BE251:BR251" si="558">MATCH(BC$259,$H$229:$N$229,$G251)</f>
        <v>#N/A</v>
      </c>
      <c r="BF251" t="e">
        <f t="shared" si="558"/>
        <v>#N/A</v>
      </c>
      <c r="BG251" t="e">
        <f t="shared" si="558"/>
        <v>#N/A</v>
      </c>
      <c r="BH251" t="e">
        <f t="shared" si="558"/>
        <v>#N/A</v>
      </c>
      <c r="BI251" t="e">
        <f t="shared" si="558"/>
        <v>#N/A</v>
      </c>
      <c r="BJ251" t="e">
        <f t="shared" si="558"/>
        <v>#N/A</v>
      </c>
      <c r="BK251" t="e">
        <f t="shared" si="558"/>
        <v>#N/A</v>
      </c>
      <c r="BL251" t="e">
        <f t="shared" si="558"/>
        <v>#N/A</v>
      </c>
      <c r="BM251" t="e">
        <f t="shared" si="558"/>
        <v>#N/A</v>
      </c>
      <c r="BN251" t="e">
        <f t="shared" si="558"/>
        <v>#N/A</v>
      </c>
      <c r="BO251" t="e">
        <f t="shared" si="558"/>
        <v>#N/A</v>
      </c>
      <c r="BP251" t="e">
        <f t="shared" si="558"/>
        <v>#N/A</v>
      </c>
      <c r="BQ251" t="e">
        <f t="shared" si="558"/>
        <v>#N/A</v>
      </c>
      <c r="BR251" t="e">
        <f t="shared" si="558"/>
        <v>#N/A</v>
      </c>
    </row>
    <row r="252" spans="5:70">
      <c r="E252" t="s">
        <v>16</v>
      </c>
      <c r="J252"/>
      <c r="P252" s="66">
        <f>IF(ISNA(P249),-1,IF(ISNA(P251),99,IF(ISNA(P250),P249,0)))</f>
        <v>-1</v>
      </c>
      <c r="Q252" s="66">
        <f>IF(ISNA(Q249),-1,IF(ISNA(Q251),99,IF(ISNA(Q250),Q249,0)))</f>
        <v>-1</v>
      </c>
      <c r="R252" s="66">
        <f>IF(ISNA(R249),-1,IF(ISNA(R251),99,IF(ISNA(R250),R249,0)))</f>
        <v>-1</v>
      </c>
      <c r="S252" s="66">
        <f>IF(ISNA(S249),-1,IF(ISNA(S251),99,IF(ISNA(S250),S249,0)))</f>
        <v>-1</v>
      </c>
      <c r="T252" s="66">
        <f t="shared" ref="T252:BR252" si="559">IF(ISNA(T249),-1,IF(ISNA(T251),99,IF(ISNA(T250),T249,0)))</f>
        <v>-1</v>
      </c>
      <c r="U252" s="66">
        <f t="shared" si="559"/>
        <v>-1</v>
      </c>
      <c r="V252" s="66">
        <f t="shared" si="559"/>
        <v>-1</v>
      </c>
      <c r="W252" s="66">
        <f t="shared" si="559"/>
        <v>0</v>
      </c>
      <c r="X252" s="66">
        <f t="shared" si="559"/>
        <v>3</v>
      </c>
      <c r="Y252" s="66">
        <f t="shared" si="559"/>
        <v>3</v>
      </c>
      <c r="Z252" s="66">
        <f t="shared" si="559"/>
        <v>0</v>
      </c>
      <c r="AA252" s="66">
        <f t="shared" si="559"/>
        <v>4</v>
      </c>
      <c r="AB252" s="66">
        <f t="shared" ref="AB252:AC252" si="560">IF(ISNA(AB249),-1,IF(ISNA(AB251),99,IF(ISNA(AB250),AB249,0)))</f>
        <v>4</v>
      </c>
      <c r="AC252" s="66">
        <f t="shared" si="560"/>
        <v>4</v>
      </c>
      <c r="AD252" s="66">
        <f t="shared" si="559"/>
        <v>4</v>
      </c>
      <c r="AE252" s="66">
        <f t="shared" si="559"/>
        <v>4</v>
      </c>
      <c r="AF252" s="66">
        <f t="shared" si="559"/>
        <v>4</v>
      </c>
      <c r="AG252" s="66">
        <f t="shared" si="559"/>
        <v>4</v>
      </c>
      <c r="AH252" s="66">
        <f t="shared" si="559"/>
        <v>4</v>
      </c>
      <c r="AI252" s="66">
        <f t="shared" si="559"/>
        <v>4</v>
      </c>
      <c r="AJ252" s="66">
        <f t="shared" si="559"/>
        <v>4</v>
      </c>
      <c r="AK252" s="66">
        <f t="shared" si="559"/>
        <v>4</v>
      </c>
      <c r="AL252" s="66">
        <f t="shared" si="559"/>
        <v>0</v>
      </c>
      <c r="AM252" s="66">
        <f t="shared" ref="AM252:AN252" si="561">IF(ISNA(AM249),-1,IF(ISNA(AM251),99,IF(ISNA(AM250),AM249,0)))</f>
        <v>0</v>
      </c>
      <c r="AN252" s="66">
        <f t="shared" si="561"/>
        <v>0</v>
      </c>
      <c r="AO252" s="66">
        <f t="shared" si="559"/>
        <v>99</v>
      </c>
      <c r="AP252" s="66">
        <f t="shared" si="559"/>
        <v>99</v>
      </c>
      <c r="AQ252" s="66">
        <f t="shared" si="559"/>
        <v>99</v>
      </c>
      <c r="AR252" s="66">
        <f t="shared" si="559"/>
        <v>99</v>
      </c>
      <c r="AS252" s="66">
        <f t="shared" si="559"/>
        <v>99</v>
      </c>
      <c r="AT252" s="66">
        <f t="shared" si="559"/>
        <v>99</v>
      </c>
      <c r="AU252" s="66">
        <f t="shared" ref="AU252" si="562">IF(ISNA(AU249),-1,IF(ISNA(AU251),99,IF(ISNA(AU250),AU249,0)))</f>
        <v>99</v>
      </c>
      <c r="AV252" s="66">
        <f t="shared" si="559"/>
        <v>99</v>
      </c>
      <c r="AW252" s="66">
        <f t="shared" ref="AW252" si="563">IF(ISNA(AW249),-1,IF(ISNA(AW251),99,IF(ISNA(AW250),AW249,0)))</f>
        <v>99</v>
      </c>
      <c r="AX252" s="66">
        <f t="shared" si="559"/>
        <v>99</v>
      </c>
      <c r="AY252" s="66">
        <f t="shared" si="559"/>
        <v>99</v>
      </c>
      <c r="AZ252" s="66">
        <f t="shared" si="559"/>
        <v>99</v>
      </c>
      <c r="BA252" s="66">
        <f t="shared" si="559"/>
        <v>99</v>
      </c>
      <c r="BB252" s="66">
        <f t="shared" si="559"/>
        <v>99</v>
      </c>
      <c r="BC252" s="66">
        <f t="shared" si="559"/>
        <v>99</v>
      </c>
      <c r="BD252" s="66">
        <f t="shared" si="559"/>
        <v>99</v>
      </c>
      <c r="BE252" s="66">
        <f t="shared" si="559"/>
        <v>99</v>
      </c>
      <c r="BF252" s="66">
        <f t="shared" si="559"/>
        <v>99</v>
      </c>
      <c r="BG252" s="66">
        <f t="shared" si="559"/>
        <v>99</v>
      </c>
      <c r="BH252" s="66">
        <f t="shared" si="559"/>
        <v>99</v>
      </c>
      <c r="BI252" s="66">
        <f t="shared" si="559"/>
        <v>99</v>
      </c>
      <c r="BJ252" s="66">
        <f t="shared" si="559"/>
        <v>99</v>
      </c>
      <c r="BK252" s="66">
        <f t="shared" si="559"/>
        <v>99</v>
      </c>
      <c r="BL252" s="66">
        <f t="shared" si="559"/>
        <v>99</v>
      </c>
      <c r="BM252" s="66">
        <f t="shared" si="559"/>
        <v>99</v>
      </c>
      <c r="BN252" s="66">
        <f t="shared" si="559"/>
        <v>99</v>
      </c>
      <c r="BO252" s="66">
        <f t="shared" si="559"/>
        <v>99</v>
      </c>
      <c r="BP252" s="66">
        <f t="shared" si="559"/>
        <v>99</v>
      </c>
      <c r="BQ252" s="66">
        <f t="shared" si="559"/>
        <v>99</v>
      </c>
      <c r="BR252" s="66">
        <f t="shared" si="559"/>
        <v>99</v>
      </c>
    </row>
    <row r="253" spans="5:70">
      <c r="E253" t="s">
        <v>16</v>
      </c>
      <c r="F253" t="s">
        <v>259</v>
      </c>
      <c r="G253" s="3" t="s">
        <v>424</v>
      </c>
      <c r="H253" s="92" t="e">
        <f>#REF!/#REF!</f>
        <v>#REF!</v>
      </c>
      <c r="I253" s="92" t="e">
        <f>#REF!/#REF!</f>
        <v>#REF!</v>
      </c>
      <c r="J253" s="92"/>
      <c r="K253" s="92">
        <f>G107/G$111</f>
        <v>1.0184768607920332E-2</v>
      </c>
      <c r="L253" s="92">
        <f t="shared" ref="L253:M255" si="564">I107/I$111</f>
        <v>8.3484769842756129E-3</v>
      </c>
      <c r="M253" s="92">
        <f t="shared" si="564"/>
        <v>6.1226102758823809E-3</v>
      </c>
      <c r="N253" s="92">
        <f>M107/M$111</f>
        <v>1.6938926023930231E-3</v>
      </c>
      <c r="O253" s="92">
        <f>M107/M$111</f>
        <v>1.6938926023930231E-3</v>
      </c>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row>
    <row r="254" spans="5:70">
      <c r="E254" t="s">
        <v>16</v>
      </c>
      <c r="F254" t="s">
        <v>260</v>
      </c>
      <c r="G254" s="3" t="s">
        <v>424</v>
      </c>
      <c r="H254" s="92" t="e">
        <f>#REF!/#REF!</f>
        <v>#REF!</v>
      </c>
      <c r="I254" s="92" t="e">
        <f>#REF!/#REF!</f>
        <v>#REF!</v>
      </c>
      <c r="J254" s="92"/>
      <c r="K254" s="92">
        <f>G108/G$111</f>
        <v>0.38722878293536411</v>
      </c>
      <c r="L254" s="92">
        <f t="shared" si="564"/>
        <v>0.3316890840368325</v>
      </c>
      <c r="M254" s="92">
        <f t="shared" si="564"/>
        <v>0.29428061406866957</v>
      </c>
      <c r="N254" s="92">
        <f>M108/M$111</f>
        <v>0.26200944821634387</v>
      </c>
      <c r="O254" s="92">
        <f>M108/M$111</f>
        <v>0.26200944821634387</v>
      </c>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row>
    <row r="255" spans="5:70">
      <c r="E255" t="s">
        <v>16</v>
      </c>
      <c r="F255" t="s">
        <v>261</v>
      </c>
      <c r="G255" s="3" t="s">
        <v>424</v>
      </c>
      <c r="H255" s="92" t="e">
        <f>#REF!/#REF!</f>
        <v>#REF!</v>
      </c>
      <c r="I255" s="92" t="e">
        <f>#REF!/#REF!</f>
        <v>#REF!</v>
      </c>
      <c r="J255" s="92"/>
      <c r="K255" s="92">
        <f>G109/G$111</f>
        <v>0.49205730389406133</v>
      </c>
      <c r="L255" s="92">
        <f t="shared" si="564"/>
        <v>0.55476808069609751</v>
      </c>
      <c r="M255" s="92">
        <f t="shared" si="564"/>
        <v>0.60020628522828334</v>
      </c>
      <c r="N255" s="92">
        <f>M109/M$111</f>
        <v>0.66121089467445959</v>
      </c>
      <c r="O255" s="92">
        <f>M109/M$111</f>
        <v>0.66121089467445959</v>
      </c>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row>
    <row r="256" spans="5:70">
      <c r="E256" t="s">
        <v>16</v>
      </c>
      <c r="F256" t="str">
        <f>F253</f>
        <v>hhd-le</v>
      </c>
      <c r="G256" s="3" t="s">
        <v>423</v>
      </c>
      <c r="H256" s="92" t="e">
        <f>SUM(#REF!)/SUM(#REF!)</f>
        <v>#REF!</v>
      </c>
      <c r="I256" s="92" t="e">
        <f>SUM(#REF!)/SUM(#REF!)</f>
        <v>#REF!</v>
      </c>
      <c r="J256" s="92"/>
      <c r="K256" s="92">
        <f>SUM(G115:G117)/SUM(G$127:G$129)</f>
        <v>0.56762913717895114</v>
      </c>
      <c r="L256" s="92">
        <f>SUM(I115:I117)/SUM(I$127:I$129)</f>
        <v>0.50801859635136615</v>
      </c>
      <c r="M256" s="92">
        <f>SUM(J115:J117)/SUM(J$127:J$129)</f>
        <v>0.43197209488743565</v>
      </c>
      <c r="N256" s="92">
        <f>SUM(M115:M117)/SUM(M$127:M$129)</f>
        <v>0.19320477759969934</v>
      </c>
      <c r="O256" s="92">
        <f>SUM(M115:M117)/SUM(M$127:M$129)</f>
        <v>0.19320477759969934</v>
      </c>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row>
    <row r="257" spans="5:68">
      <c r="E257" t="s">
        <v>16</v>
      </c>
      <c r="F257" t="str">
        <f>F254</f>
        <v>hhd-me</v>
      </c>
      <c r="G257" s="3" t="s">
        <v>423</v>
      </c>
      <c r="H257" s="92" t="e">
        <f>SUM(#REF!)/SUM(#REF!)</f>
        <v>#REF!</v>
      </c>
      <c r="I257" s="92" t="e">
        <f>SUM(#REF!)/SUM(#REF!)</f>
        <v>#REF!</v>
      </c>
      <c r="J257" s="92"/>
      <c r="K257" s="92">
        <f>SUM(G119:G121)/SUM(G$127:G$129)</f>
        <v>0.30824092366572375</v>
      </c>
      <c r="L257" s="92">
        <f>SUM(I119:I121)/SUM(I$127:I$129)</f>
        <v>0.31869603179829115</v>
      </c>
      <c r="M257" s="92">
        <f>SUM(J119:J121)/SUM(J$127:J$129)</f>
        <v>0.35620700401829175</v>
      </c>
      <c r="N257" s="92">
        <f>SUM(M119:M121)/SUM(M$127:M$129)</f>
        <v>0.50257825800949818</v>
      </c>
      <c r="O257" s="92">
        <f>SUM(M119:M121)/SUM(M$127:M$129)</f>
        <v>0.50257825800949818</v>
      </c>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row>
    <row r="258" spans="5:68">
      <c r="E258" t="s">
        <v>16</v>
      </c>
      <c r="F258" t="str">
        <f>F255</f>
        <v>hhd-he</v>
      </c>
      <c r="G258" s="3" t="s">
        <v>423</v>
      </c>
      <c r="H258" s="92" t="e">
        <f>SUM(#REF!)/SUM(#REF!)</f>
        <v>#REF!</v>
      </c>
      <c r="I258" s="92" t="e">
        <f>SUM(#REF!)/SUM(#REF!)</f>
        <v>#REF!</v>
      </c>
      <c r="J258" s="92"/>
      <c r="K258" s="92">
        <f>SUM(G123:G125)/SUM(G$127:G$129)</f>
        <v>0.12412993915532514</v>
      </c>
      <c r="L258" s="92">
        <f>SUM(I123:I125)/SUM(I$127:I$129)</f>
        <v>0.17328537185034276</v>
      </c>
      <c r="M258" s="92">
        <f>SUM(J123:J125)/SUM(J$127:J$129)</f>
        <v>0.21182090109427254</v>
      </c>
      <c r="N258" s="92">
        <f>SUM(M123:M125)/SUM(M$127:M$129)</f>
        <v>0.30421696439080242</v>
      </c>
      <c r="O258" s="92">
        <f>SUM(M123:M125)/SUM(M$127:M$129)</f>
        <v>0.30421696439080242</v>
      </c>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row>
    <row r="259" spans="5:68">
      <c r="E259" t="s">
        <v>16</v>
      </c>
      <c r="J259"/>
      <c r="K259" s="2" t="s">
        <v>422</v>
      </c>
      <c r="N259">
        <f t="shared" ref="N259:BD259" si="565">N232</f>
        <v>0</v>
      </c>
      <c r="O259">
        <f t="shared" si="565"/>
        <v>0</v>
      </c>
      <c r="P259">
        <f t="shared" si="565"/>
        <v>0</v>
      </c>
      <c r="Q259">
        <f t="shared" ref="Q259:R259" si="566">Q232</f>
        <v>0</v>
      </c>
      <c r="R259">
        <f t="shared" si="566"/>
        <v>0</v>
      </c>
      <c r="S259">
        <f t="shared" si="565"/>
        <v>0</v>
      </c>
      <c r="T259">
        <f t="shared" si="565"/>
        <v>0</v>
      </c>
      <c r="U259">
        <f t="shared" si="565"/>
        <v>2017</v>
      </c>
      <c r="V259">
        <f t="shared" si="565"/>
        <v>2018</v>
      </c>
      <c r="W259">
        <f t="shared" si="565"/>
        <v>2019</v>
      </c>
      <c r="X259">
        <f t="shared" si="565"/>
        <v>2020</v>
      </c>
      <c r="Y259">
        <f t="shared" si="565"/>
        <v>2021</v>
      </c>
      <c r="Z259">
        <f t="shared" si="565"/>
        <v>2022</v>
      </c>
      <c r="AA259">
        <f t="shared" si="565"/>
        <v>2023</v>
      </c>
      <c r="AB259">
        <f t="shared" ref="AB259:AC259" si="567">AB232</f>
        <v>2023</v>
      </c>
      <c r="AC259">
        <f t="shared" si="567"/>
        <v>2023</v>
      </c>
      <c r="AD259">
        <f t="shared" si="565"/>
        <v>2024</v>
      </c>
      <c r="AE259">
        <f t="shared" si="565"/>
        <v>2025</v>
      </c>
      <c r="AF259">
        <f t="shared" si="565"/>
        <v>2026</v>
      </c>
      <c r="AG259">
        <f t="shared" si="565"/>
        <v>2027</v>
      </c>
      <c r="AH259">
        <f t="shared" si="565"/>
        <v>2028</v>
      </c>
      <c r="AI259">
        <f t="shared" si="565"/>
        <v>2029</v>
      </c>
      <c r="AJ259">
        <f t="shared" si="565"/>
        <v>2030</v>
      </c>
      <c r="AK259">
        <f t="shared" si="565"/>
        <v>2031</v>
      </c>
      <c r="AL259">
        <f t="shared" si="565"/>
        <v>2032</v>
      </c>
      <c r="AM259">
        <f t="shared" ref="AM259:AN259" si="568">AM232</f>
        <v>2032</v>
      </c>
      <c r="AN259">
        <f t="shared" si="568"/>
        <v>2032</v>
      </c>
      <c r="AO259">
        <f t="shared" si="565"/>
        <v>2033</v>
      </c>
      <c r="AP259">
        <f t="shared" si="565"/>
        <v>2034</v>
      </c>
      <c r="AQ259">
        <f t="shared" si="565"/>
        <v>2035</v>
      </c>
      <c r="AR259">
        <f t="shared" si="565"/>
        <v>2036</v>
      </c>
      <c r="AS259">
        <f t="shared" si="565"/>
        <v>2037</v>
      </c>
      <c r="AT259">
        <f t="shared" si="565"/>
        <v>2038</v>
      </c>
      <c r="AU259">
        <f t="shared" ref="AU259" si="569">AU232</f>
        <v>2038</v>
      </c>
      <c r="AV259">
        <f t="shared" si="565"/>
        <v>2039</v>
      </c>
      <c r="AW259">
        <f t="shared" ref="AW259" si="570">AW232</f>
        <v>2040</v>
      </c>
      <c r="AX259">
        <f t="shared" si="565"/>
        <v>2040</v>
      </c>
      <c r="AY259">
        <f t="shared" si="565"/>
        <v>2041</v>
      </c>
      <c r="AZ259">
        <f t="shared" si="565"/>
        <v>2042</v>
      </c>
      <c r="BA259">
        <f t="shared" si="565"/>
        <v>2043</v>
      </c>
      <c r="BB259">
        <f t="shared" si="565"/>
        <v>2044</v>
      </c>
      <c r="BC259">
        <f t="shared" si="565"/>
        <v>2045</v>
      </c>
      <c r="BD259">
        <f t="shared" si="565"/>
        <v>2046</v>
      </c>
      <c r="BE259">
        <f>BD259+1</f>
        <v>2047</v>
      </c>
      <c r="BF259">
        <f t="shared" ref="BF259:BN259" si="571">BE259+1</f>
        <v>2048</v>
      </c>
      <c r="BG259">
        <f t="shared" si="571"/>
        <v>2049</v>
      </c>
      <c r="BH259">
        <f t="shared" si="571"/>
        <v>2050</v>
      </c>
      <c r="BI259">
        <f t="shared" si="571"/>
        <v>2051</v>
      </c>
      <c r="BJ259">
        <f t="shared" si="571"/>
        <v>2052</v>
      </c>
      <c r="BK259">
        <f t="shared" si="571"/>
        <v>2053</v>
      </c>
      <c r="BL259">
        <f t="shared" si="571"/>
        <v>2054</v>
      </c>
      <c r="BM259">
        <f t="shared" si="571"/>
        <v>2055</v>
      </c>
      <c r="BN259">
        <f t="shared" si="571"/>
        <v>2056</v>
      </c>
      <c r="BO259">
        <v>2060</v>
      </c>
      <c r="BP259">
        <v>2070</v>
      </c>
    </row>
    <row r="260" spans="5:68">
      <c r="E260" t="s">
        <v>16</v>
      </c>
      <c r="I260" t="s">
        <v>425</v>
      </c>
      <c r="J260" t="s">
        <v>425</v>
      </c>
      <c r="K260" t="s">
        <v>419</v>
      </c>
      <c r="L260" s="3" t="s">
        <v>424</v>
      </c>
      <c r="M260" t="s">
        <v>259</v>
      </c>
      <c r="N260" s="3" t="e">
        <f t="shared" ref="N260:N265" si="572">H253</f>
        <v>#REF!</v>
      </c>
      <c r="O260" s="3" cm="1">
        <f t="array" ref="O260">IF(S$252=-1,P260,IF(S$252=99,N260,IF(S$252=0,INDEX($H253:$O253,0,S$250),(INDEX($H253:$O253,0,S$252+1)-INDEX($H253:$O253,0,S$252))/(INDEX($H$249:$O$249,0,S$252+1)-INDEX($H$249:$O$249,0,S$252))+N260)))</f>
        <v>0</v>
      </c>
      <c r="P260" s="3" cm="1">
        <f t="array" ref="P260">IF(T$252=-1,S260,IF(T$252=99,O260,IF(T$252=0,INDEX($H253:$O253,0,T$250),(INDEX($H253:$O253,0,T$252+1)-INDEX($H253:$O253,0,T$252))/(INDEX($H$249:$O$249,0,T$252+1)-INDEX($H$249:$O$249,0,T$252))+O260)))</f>
        <v>0</v>
      </c>
      <c r="Q260" s="3" cm="1">
        <f t="array" ref="Q260">IF(T$252=-1,S260,IF(T$252=99,O260,IF(T$252=0,INDEX($H253:$O253,0,T$250),(INDEX($H253:$O253,0,T$252+1)-INDEX($H253:$O253,0,T$252))/(INDEX($H$249:$O$249,0,T$252+1)-INDEX($H$249:$O$249,0,T$252))+O260)))</f>
        <v>0</v>
      </c>
      <c r="R260" s="3" cm="1">
        <f t="array" ref="R260">IF(T$252=-1,S260,IF(T$252=99,O260,IF(T$252=0,INDEX($H253:$O253,0,T$250),(INDEX($H253:$O253,0,T$252+1)-INDEX($H253:$O253,0,T$252))/(INDEX($H$249:$O$249,0,T$252+1)-INDEX($H$249:$O$249,0,T$252))+O260)))</f>
        <v>0</v>
      </c>
      <c r="S260" s="3" cm="1">
        <f t="array" ref="S260">IF(U$252=-1,T260,IF(U$252=99,P260,IF(U$252=0,INDEX($H253:$O253,0,U$250),(INDEX($H253:$O253,0,U$252+1)-INDEX($H253:$O253,0,U$252))/(INDEX($H$249:$O$249,0,U$252+1)-INDEX($H$249:$O$249,0,U$252))+P260)))</f>
        <v>0</v>
      </c>
      <c r="T260" s="3" cm="1">
        <f t="array" ref="T260">IF(V$252=-1,U260,IF(V$252=99,S260,IF(V$252=0,INDEX($H253:$O253,0,V$250),(INDEX($H253:$O253,0,V$252+1)-INDEX($H253:$O253,0,V$252))/(INDEX($H$249:$O$249,0,V$252+1)-INDEX($H$249:$O$249,0,V$252))+S260)))</f>
        <v>0</v>
      </c>
      <c r="U260" s="3" cm="1">
        <f t="array" ref="U260">IF(W$252=-1,V260,IF(W$252=99,T260,IF(W$252=0,INDEX($H253:$O253,0,W$250),(INDEX($H253:$O253,0,W$252+1)-INDEX($H253:$O253,0,W$252))/(INDEX($H$249:$O$249,0,W$252+1)-INDEX($H$249:$O$249,0,W$252))+T260)))</f>
        <v>0</v>
      </c>
      <c r="V260" s="3" cm="1">
        <f t="array" ref="V260">IF(X$252=-1,W260,IF(X$252=99,U260,IF(X$252=0,INDEX($H253:$O253,0,X$250),(INDEX($H253:$O253,0,X$252+1)-INDEX($H253:$O253,0,X$252))/(INDEX($H$249:$O$249,0,X$252+1)-INDEX($H$249:$O$249,0,X$252))+U260)))</f>
        <v>3.3949228693067775E-3</v>
      </c>
      <c r="W260" s="3" cm="1">
        <f t="array" ref="W260">IF(Y$252=-1,X260,IF(Y$252=99,V260,IF(Y$252=0,INDEX($H253:$O253,0,Y$250),(INDEX($H253:$O253,0,Y$252+1)-INDEX($H253:$O253,0,Y$252))/(INDEX($H$249:$O$249,0,Y$252+1)-INDEX($H$249:$O$249,0,Y$252))+V260)))</f>
        <v>6.7898457386135549E-3</v>
      </c>
      <c r="X260" s="3" cm="1">
        <f t="array" ref="X260">IF(Z$252=-1,Y260,IF(Z$252=99,W260,IF(Z$252=0,INDEX($H253:$O253,0,Z$250),(INDEX($H253:$O253,0,Z$252+1)-INDEX($H253:$O253,0,Z$252))/(INDEX($H$249:$O$249,0,Z$252+1)-INDEX($H$249:$O$249,0,Z$252))+W260)))</f>
        <v>1.0184768607920332E-2</v>
      </c>
      <c r="Y260" s="3" cm="1">
        <f t="array" ref="Y260">IF(AA$252=-1,Z260,IF(AA$252=99,X260,IF(AA$252=0,INDEX($H253:$O253,0,AA$250),(INDEX($H253:$O253,0,AA$252+1)-INDEX($H253:$O253,0,AA$252))/(INDEX($H$249:$O$249,0,AA$252+1)-INDEX($H$249:$O$249,0,AA$252))+X260)))</f>
        <v>1.000113944555586E-2</v>
      </c>
      <c r="Z260" s="3" cm="1">
        <f t="array" ref="Z260">IF(AD$252=-1,AA260,IF(AD$252=99,Y260,IF(AD$252=0,INDEX($H253:$O253,0,AD$250),(INDEX($H253:$O253,0,AD$252+1)-INDEX($H253:$O253,0,AD$252))/(INDEX($H$249:$O$249,0,AD$252+1)-INDEX($H$249:$O$249,0,AD$252))+Y260)))</f>
        <v>9.8175102831913885E-3</v>
      </c>
      <c r="AA260" s="3" cm="1">
        <f t="array" ref="AA260">IF(AE$252=-1,AD260,IF(AE$252=99,Z260,IF(AE$252=0,INDEX($H253:$O253,0,AE$250),(INDEX($H253:$O253,0,AE$252+1)-INDEX($H253:$O253,0,AE$252))/(INDEX($H$249:$O$249,0,AE$252+1)-INDEX($H$249:$O$249,0,AE$252))+Z260)))</f>
        <v>9.6338811208269166E-3</v>
      </c>
      <c r="AB260" s="3" cm="1">
        <f t="array" ref="AB260">IF(AE$252=-1,AD260,IF(AE$252=99,Z260,IF(AE$252=0,INDEX($H253:$O253,0,AE$250),(INDEX($H253:$O253,0,AE$252+1)-INDEX($H253:$O253,0,AE$252))/(INDEX($H$249:$O$249,0,AE$252+1)-INDEX($H$249:$O$249,0,AE$252))+Z260)))</f>
        <v>9.6338811208269166E-3</v>
      </c>
      <c r="AC260" s="3" cm="1">
        <f t="array" ref="AC260">IF(AE$252=-1,AD260,IF(AE$252=99,Z260,IF(AE$252=0,INDEX($H253:$O253,0,AE$250),(INDEX($H253:$O253,0,AE$252+1)-INDEX($H253:$O253,0,AE$252))/(INDEX($H$249:$O$249,0,AE$252+1)-INDEX($H$249:$O$249,0,AE$252))+Z260)))</f>
        <v>9.6338811208269166E-3</v>
      </c>
      <c r="AD260" s="3" cm="1">
        <f t="array" ref="AD260">IF(AF$252=-1,AE260,IF(AF$252=99,AA260,IF(AF$252=0,INDEX($H253:$O253,0,AF$250),(INDEX($H253:$O253,0,AF$252+1)-INDEX($H253:$O253,0,AF$252))/(INDEX($H$249:$O$249,0,AF$252+1)-INDEX($H$249:$O$249,0,AF$252))+AA260)))</f>
        <v>9.4502519584624446E-3</v>
      </c>
      <c r="AE260" s="3" cm="1">
        <f t="array" ref="AE260">IF(AG$252=-1,AF260,IF(AG$252=99,AD260,IF(AG$252=0,INDEX($H253:$O253,0,AG$250),(INDEX($H253:$O253,0,AG$252+1)-INDEX($H253:$O253,0,AG$252))/(INDEX($H$249:$O$249,0,AG$252+1)-INDEX($H$249:$O$249,0,AG$252))+AD260)))</f>
        <v>9.2666227960979727E-3</v>
      </c>
      <c r="AF260" s="3" cm="1">
        <f t="array" ref="AF260">IF(AH$252=-1,AG260,IF(AH$252=99,AE260,IF(AH$252=0,INDEX($H253:$O253,0,AH$250),(INDEX($H253:$O253,0,AH$252+1)-INDEX($H253:$O253,0,AH$252))/(INDEX($H$249:$O$249,0,AH$252+1)-INDEX($H$249:$O$249,0,AH$252))+AE260)))</f>
        <v>9.0829936337335007E-3</v>
      </c>
      <c r="AG260" s="3" cm="1">
        <f t="array" ref="AG260">IF(AI$252=-1,AH260,IF(AI$252=99,AF260,IF(AI$252=0,INDEX($H253:$O253,0,AI$250),(INDEX($H253:$O253,0,AI$252+1)-INDEX($H253:$O253,0,AI$252))/(INDEX($H$249:$O$249,0,AI$252+1)-INDEX($H$249:$O$249,0,AI$252))+AF260)))</f>
        <v>8.8993644713690288E-3</v>
      </c>
      <c r="AH260" s="3" cm="1">
        <f t="array" ref="AH260">IF(AJ$252=-1,AI260,IF(AJ$252=99,AG260,IF(AJ$252=0,INDEX($H253:$O253,0,AJ$250),(INDEX($H253:$O253,0,AJ$252+1)-INDEX($H253:$O253,0,AJ$252))/(INDEX($H$249:$O$249,0,AJ$252+1)-INDEX($H$249:$O$249,0,AJ$252))+AG260)))</f>
        <v>8.7157353090045568E-3</v>
      </c>
      <c r="AI260" s="3" cm="1">
        <f t="array" ref="AI260">IF(AK$252=-1,AJ260,IF(AK$252=99,AH260,IF(AK$252=0,INDEX($H253:$O253,0,AK$250),(INDEX($H253:$O253,0,AK$252+1)-INDEX($H253:$O253,0,AK$252))/(INDEX($H$249:$O$249,0,AK$252+1)-INDEX($H$249:$O$249,0,AK$252))+AH260)))</f>
        <v>8.5321061466400849E-3</v>
      </c>
      <c r="AJ260" s="3" cm="1">
        <f t="array" ref="AJ260">IF(AL$252=-1,AK260,IF(AL$252=99,AI260,IF(AL$252=0,INDEX($H253:$O253,0,AL$250),(INDEX($H253:$O253,0,AL$252+1)-INDEX($H253:$O253,0,AL$252))/(INDEX($H$249:$O$249,0,AL$252+1)-INDEX($H$249:$O$249,0,AL$252))+AI260)))</f>
        <v>8.3484769842756129E-3</v>
      </c>
      <c r="AK260" s="3" cm="1">
        <f t="array" ref="AK260">IF(AO$252=-1,AL260,IF(AO$252=99,AJ260,IF(AO$252=0,INDEX($H253:$O253,0,AO$250),(INDEX($H253:$O253,0,AO$252+1)-INDEX($H253:$O253,0,AO$252))/(INDEX($H$249:$O$249,0,AO$252+1)-INDEX($H$249:$O$249,0,AO$252))+AJ260)))</f>
        <v>8.3484769842756129E-3</v>
      </c>
      <c r="AL260" s="3" cm="1">
        <f t="array" ref="AL260">IF(AP$252=-1,AO260,IF(AP$252=99,AK260,IF(AP$252=0,INDEX($H253:$O253,0,AP$250),(INDEX($H253:$O253,0,AP$252+1)-INDEX($H253:$O253,0,AP$252))/(INDEX($H$249:$O$249,0,AP$252+1)-INDEX($H$249:$O$249,0,AP$252))+AK260)))</f>
        <v>8.3484769842756129E-3</v>
      </c>
      <c r="AM260" s="3" cm="1">
        <f t="array" ref="AM260">IF(AP$252=-1,AO260,IF(AP$252=99,AK260,IF(AP$252=0,INDEX($H253:$O253,0,AP$250),(INDEX($H253:$O253,0,AP$252+1)-INDEX($H253:$O253,0,AP$252))/(INDEX($H$249:$O$249,0,AP$252+1)-INDEX($H$249:$O$249,0,AP$252))+AK260)))</f>
        <v>8.3484769842756129E-3</v>
      </c>
      <c r="AN260" s="3" cm="1">
        <f t="array" ref="AN260">IF(AP$252=-1,AO260,IF(AP$252=99,AK260,IF(AP$252=0,INDEX($H253:$O253,0,AP$250),(INDEX($H253:$O253,0,AP$252+1)-INDEX($H253:$O253,0,AP$252))/(INDEX($H$249:$O$249,0,AP$252+1)-INDEX($H$249:$O$249,0,AP$252))+AK260)))</f>
        <v>8.3484769842756129E-3</v>
      </c>
      <c r="AO260" s="3" cm="1">
        <f t="array" ref="AO260">IF(AQ$252=-1,AP260,IF(AQ$252=99,AL260,IF(AQ$252=0,INDEX($H253:$O253,0,AQ$250),(INDEX($H253:$O253,0,AQ$252+1)-INDEX($H253:$O253,0,AQ$252))/(INDEX($H$249:$O$249,0,AQ$252+1)-INDEX($H$249:$O$249,0,AQ$252))+AL260)))</f>
        <v>8.3484769842756129E-3</v>
      </c>
      <c r="AP260" s="3" cm="1">
        <f t="array" ref="AP260">IF(AR$252=-1,AQ260,IF(AR$252=99,AO260,IF(AR$252=0,INDEX($H253:$O253,0,AR$250),(INDEX($H253:$O253,0,AR$252+1)-INDEX($H253:$O253,0,AR$252))/(INDEX($H$249:$O$249,0,AR$252+1)-INDEX($H$249:$O$249,0,AR$252))+AO260)))</f>
        <v>8.3484769842756129E-3</v>
      </c>
      <c r="AQ260" s="3" cm="1">
        <f t="array" ref="AQ260">IF(AS$252=-1,AR260,IF(AS$252=99,AP260,IF(AS$252=0,INDEX($H253:$O253,0,AS$250),(INDEX($H253:$O253,0,AS$252+1)-INDEX($H253:$O253,0,AS$252))/(INDEX($H$249:$O$249,0,AS$252+1)-INDEX($H$249:$O$249,0,AS$252))+AP260)))</f>
        <v>8.3484769842756129E-3</v>
      </c>
      <c r="AR260" s="3" cm="1">
        <f t="array" ref="AR260">IF(AT$252=-1,AS260,IF(AT$252=99,AQ260,IF(AT$252=0,INDEX($H253:$O253,0,AT$250),(INDEX($H253:$O253,0,AT$252+1)-INDEX($H253:$O253,0,AT$252))/(INDEX($H$249:$O$249,0,AT$252+1)-INDEX($H$249:$O$249,0,AT$252))+AQ260)))</f>
        <v>8.3484769842756129E-3</v>
      </c>
      <c r="AS260" s="3" cm="1">
        <f t="array" ref="AS260">IF(AV$252=-1,AT260,IF(AV$252=99,AR260,IF(AV$252=0,INDEX($H253:$O253,0,AV$250),(INDEX($H253:$O253,0,AV$252+1)-INDEX($H253:$O253,0,AV$252))/(INDEX($H$249:$O$249,0,AV$252+1)-INDEX($H$249:$O$249,0,AV$252))+AR260)))</f>
        <v>8.3484769842756129E-3</v>
      </c>
      <c r="AT260" s="3" cm="1">
        <f t="array" ref="AT260">IF(AX$252=-1,AV260,IF(AX$252=99,AS260,IF(AX$252=0,INDEX($H253:$O253,0,AX$250),(INDEX($H253:$O253,0,AX$252+1)-INDEX($H253:$O253,0,AX$252))/(INDEX($H$249:$O$249,0,AX$252+1)-INDEX($H$249:$O$249,0,AX$252))+AS260)))</f>
        <v>8.3484769842756129E-3</v>
      </c>
      <c r="AU260" s="3" cm="1">
        <f t="array" ref="AU260">IF(AX$252=-1,AW260,IF(AX$252=99,AS260,IF(AX$252=0,INDEX($H253:$O253,0,AX$250),(INDEX($H253:$O253,0,AX$252+1)-INDEX($H253:$O253,0,AX$252))/(INDEX($H$249:$O$249,0,AX$252+1)-INDEX($H$249:$O$249,0,AX$252))+AS260)))</f>
        <v>8.3484769842756129E-3</v>
      </c>
      <c r="AV260" s="3" cm="1">
        <f t="array" ref="AV260">IF(AY$252=-1,AX260,IF(AY$252=99,AT260,IF(AY$252=0,INDEX($H253:$O253,0,AY$250),(INDEX($H253:$O253,0,AY$252+1)-INDEX($H253:$O253,0,AY$252))/(INDEX($H$249:$O$249,0,AY$252+1)-INDEX($H$249:$O$249,0,AY$252))+AT260)))</f>
        <v>8.3484769842756129E-3</v>
      </c>
      <c r="AW260" s="3" cm="1">
        <f t="array" ref="AW260">IF(AZ$252=-1,AY260,IF(AZ$252=99,AV260,IF(AZ$252=0,INDEX($H253:$O253,0,AZ$250),(INDEX($H253:$O253,0,AZ$252+1)-INDEX($H253:$O253,0,AZ$252))/(INDEX($H$249:$O$249,0,AZ$252+1)-INDEX($H$249:$O$249,0,AZ$252))+AV260)))</f>
        <v>8.3484769842756129E-3</v>
      </c>
      <c r="AX260" s="3" cm="1">
        <f t="array" ref="AX260">IF(AZ$252=-1,AY260,IF(AZ$252=99,AV260,IF(AZ$252=0,INDEX($H253:$O253,0,AZ$250),(INDEX($H253:$O253,0,AZ$252+1)-INDEX($H253:$O253,0,AZ$252))/(INDEX($H$249:$O$249,0,AZ$252+1)-INDEX($H$249:$O$249,0,AZ$252))+AV260)))</f>
        <v>8.3484769842756129E-3</v>
      </c>
      <c r="AY260" s="3" cm="1">
        <f t="array" ref="AY260">IF(BA$252=-1,AZ260,IF(BA$252=99,AX260,IF(BA$252=0,INDEX($H253:$O253,0,BA$250),(INDEX($H253:$O253,0,BA$252+1)-INDEX($H253:$O253,0,BA$252))/(INDEX($H$249:$O$249,0,BA$252+1)-INDEX($H$249:$O$249,0,BA$252))+AX260)))</f>
        <v>8.3484769842756129E-3</v>
      </c>
      <c r="AZ260" s="3" cm="1">
        <f t="array" ref="AZ260">IF(BB$252=-1,BA260,IF(BB$252=99,AY260,IF(BB$252=0,INDEX($H253:$O253,0,BB$250),(INDEX($H253:$O253,0,BB$252+1)-INDEX($H253:$O253,0,BB$252))/(INDEX($H$249:$O$249,0,BB$252+1)-INDEX($H$249:$O$249,0,BB$252))+AY260)))</f>
        <v>8.3484769842756129E-3</v>
      </c>
      <c r="BA260" s="3" cm="1">
        <f t="array" ref="BA260">IF(BC$252=-1,BB260,IF(BC$252=99,AZ260,IF(BC$252=0,INDEX($H253:$O253,0,BC$250),(INDEX($H253:$O253,0,BC$252+1)-INDEX($H253:$O253,0,BC$252))/(INDEX($H$249:$O$249,0,BC$252+1)-INDEX($H$249:$O$249,0,BC$252))+AZ260)))</f>
        <v>8.3484769842756129E-3</v>
      </c>
      <c r="BB260" s="3" cm="1">
        <f t="array" ref="BB260">IF(BD$252=-1,BC260,IF(BD$252=99,BA260,IF(BD$252=0,INDEX($H253:$O253,0,BD$250),(INDEX($H253:$O253,0,BD$252+1)-INDEX($H253:$O253,0,BD$252))/(INDEX($H$249:$O$249,0,BD$252+1)-INDEX($H$249:$O$249,0,BD$252))+BA260)))</f>
        <v>8.3484769842756129E-3</v>
      </c>
      <c r="BC260" s="3" cm="1">
        <f t="array" ref="BC260">IF(BE$252=-1,BD260,IF(BE$252=99,BB260,IF(BE$252=0,INDEX($H253:$O253,0,BE$250),(INDEX($H253:$O253,0,BE$252+1)-INDEX($H253:$O253,0,BE$252))/(INDEX($H$249:$O$249,0,BE$252+1)-INDEX($H$249:$O$249,0,BE$252))+BB260)))</f>
        <v>8.3484769842756129E-3</v>
      </c>
      <c r="BD260" s="3" cm="1">
        <f t="array" ref="BD260">IF(BF$252=-1,BI260,IF(BF$252=99,BC260,IF(BF$252=0,INDEX($H253:$O253,0,BF$250),(INDEX($H253:$O253,0,BF$252+1)-INDEX($H253:$O253,0,BF$252))/(INDEX($H$249:$O$249,0,BF$252+1)-INDEX($H$249:$O$249,0,BF$252))+BC260)))</f>
        <v>8.3484769842756129E-3</v>
      </c>
      <c r="BE260" s="3" cm="1">
        <f t="array" ref="BE260">IF(BG$252=-1,BJ260,IF(BG$252=99,BD260,IF(BG$252=0,INDEX($H253:$O253,0,BG$250),(INDEX($H253:$O253,0,BG$252+1)-INDEX($H253:$O253,0,BG$252))/(INDEX($H$249:$O$249,0,BG$252+1)-INDEX($H$249:$O$249,0,BG$252))+BD260)))</f>
        <v>8.3484769842756129E-3</v>
      </c>
      <c r="BF260" s="3" cm="1">
        <f t="array" ref="BF260">IF(BH$252=-1,BK260,IF(BH$252=99,BE260,IF(BH$252=0,INDEX($H253:$O253,0,BH$250),(INDEX($H253:$O253,0,BH$252+1)-INDEX($H253:$O253,0,BH$252))/(INDEX($H$249:$O$249,0,BH$252+1)-INDEX($H$249:$O$249,0,BH$252))+BE260)))</f>
        <v>8.3484769842756129E-3</v>
      </c>
      <c r="BG260" s="3" cm="1">
        <f t="array" ref="BG260">IF(BI$252=-1,BL260,IF(BI$252=99,BF260,IF(BI$252=0,INDEX($H253:$O253,0,BI$250),(INDEX($H253:$O253,0,BI$252+1)-INDEX($H253:$O253,0,BI$252))/(INDEX($H$249:$O$249,0,BI$252+1)-INDEX($H$249:$O$249,0,BI$252))+BF260)))</f>
        <v>8.3484769842756129E-3</v>
      </c>
      <c r="BH260" s="3" cm="1">
        <f t="array" ref="BH260">IF(BJ$252=-1,BM260,IF(BJ$252=99,BG260,IF(BJ$252=0,INDEX($H253:$O253,0,BJ$250),(INDEX($H253:$O253,0,BJ$252+1)-INDEX($H253:$O253,0,BJ$252))/(INDEX($H$249:$O$249,0,BJ$252+1)-INDEX($H$249:$O$249,0,BJ$252))+BG260)))</f>
        <v>8.3484769842756129E-3</v>
      </c>
      <c r="BI260" s="3" cm="1">
        <f t="array" ref="BI260">IF(BK$252=-1,BN260,IF(BK$252=99,BH260,IF(BK$252=0,INDEX($H253:$O253,0,BK$250),(INDEX($H253:$O253,0,BK$252+1)-INDEX($H253:$O253,0,BK$252))/(INDEX($H$249:$O$249,0,BK$252+1)-INDEX($H$249:$O$249,0,BK$252))+BH260)))</f>
        <v>8.3484769842756129E-3</v>
      </c>
      <c r="BJ260" s="3" cm="1">
        <f t="array" ref="BJ260">IF(BH$252=-1,BL260,IF(BH$252=99,BI260,IF(BH$252=0,INDEX($H253:$O253,0,BH$250),(INDEX($H253:$O253,0,BH$252+1)-INDEX($H253:$O253,0,BH$252))/(INDEX($H$249:$O$249,0,BH$252+1)-INDEX($H$249:$O$249,0,BH$252))+BI260)))</f>
        <v>8.3484769842756129E-3</v>
      </c>
      <c r="BK260" s="3" cm="1">
        <f t="array" ref="BK260">IF(BI$252=-1,BM260,IF(BI$252=99,BJ260,IF(BI$252=0,INDEX($H253:$O253,0,BI$250),(INDEX($H253:$O253,0,BI$252+1)-INDEX($H253:$O253,0,BI$252))/(INDEX($H$249:$O$249,0,BI$252+1)-INDEX($H$249:$O$249,0,BI$252))+BJ260)))</f>
        <v>8.3484769842756129E-3</v>
      </c>
      <c r="BL260" s="3" cm="1">
        <f t="array" ref="BL260">IF(BJ$252=-1,BN260,IF(BJ$252=99,BK260,IF(BJ$252=0,INDEX($H253:$O253,0,BJ$250),(INDEX($H253:$O253,0,BJ$252+1)-INDEX($H253:$O253,0,BJ$252))/(INDEX($H$249:$O$249,0,BJ$252+1)-INDEX($H$249:$O$249,0,BJ$252))+BK260)))</f>
        <v>8.3484769842756129E-3</v>
      </c>
      <c r="BM260" s="3" cm="1">
        <f t="array" ref="BM260">IF(BK$252=-1,BO260,IF(BK$252=99,BL260,IF(BK$252=0,INDEX($H253:$O253,0,BK$250),(INDEX($H253:$O253,0,BK$252+1)-INDEX($H253:$O253,0,BK$252))/(INDEX($H$249:$O$249,0,BK$252+1)-INDEX($H$249:$O$249,0,BK$252))+BL260)))</f>
        <v>8.3484769842756129E-3</v>
      </c>
      <c r="BN260" s="3" cm="1">
        <f t="array" ref="BN260">IF(BL$252=-1,BP260,IF(BL$252=99,BM260,IF(BL$252=0,INDEX($H253:$O253,0,BL$250),(INDEX($H253:$O253,0,BL$252+1)-INDEX($H253:$O253,0,BL$252))/(INDEX($H$249:$O$249,0,BL$252+1)-INDEX($H$249:$O$249,0,BL$252))+BM260)))</f>
        <v>8.3484769842756129E-3</v>
      </c>
      <c r="BO260" s="3" cm="1">
        <f t="array" ref="BO260">IF(BM$252=-1,BQ260,IF(BM$252=99,BN260,IF(BM$252=0,INDEX($H253:$O253,0,BM$250),(INDEX($H253:$O253,0,BM$252+1)-INDEX($H253:$O253,0,BM$252))/(INDEX($H$249:$O$249,0,BM$252+1)-INDEX($H$249:$O$249,0,BM$252))+BN260)))</f>
        <v>8.3484769842756129E-3</v>
      </c>
      <c r="BP260" s="3" cm="1">
        <f t="array" ref="BP260">IF(BN$252=-1,BR260,IF(BN$252=99,BO260,IF(BN$252=0,INDEX($H253:$O253,0,BN$250),(INDEX($H253:$O253,0,BN$252+1)-INDEX($H253:$O253,0,BN$252))/(INDEX($H$249:$O$249,0,BN$252+1)-INDEX($H$249:$O$249,0,BN$252))+BO260)))</f>
        <v>8.3484769842756129E-3</v>
      </c>
    </row>
    <row r="261" spans="5:68">
      <c r="E261" t="s">
        <v>16</v>
      </c>
      <c r="I261" t="s">
        <v>425</v>
      </c>
      <c r="J261" t="s">
        <v>425</v>
      </c>
      <c r="K261" t="s">
        <v>420</v>
      </c>
      <c r="L261" s="3" t="s">
        <v>424</v>
      </c>
      <c r="M261" t="s">
        <v>260</v>
      </c>
      <c r="N261" s="3" t="e">
        <f t="shared" si="572"/>
        <v>#REF!</v>
      </c>
      <c r="O261" s="3" cm="1">
        <f t="array" ref="O261">IF(S$252=-1,P261,IF(S$252=99,N261,IF(S$252=0,INDEX($H254:$O254,0,S$250),(INDEX($H254:$O254,0,S$252+1)-INDEX($H254:$O254,0,S$252))/(INDEX($H$249:$O$249,0,S$252+1)-INDEX($H$249:$O$249,0,S$252))+N261)))</f>
        <v>0</v>
      </c>
      <c r="P261" s="3" cm="1">
        <f t="array" ref="P261">IF(T$252=-1,S261,IF(T$252=99,O261,IF(T$252=0,INDEX($H254:$O254,0,T$250),(INDEX($H254:$O254,0,T$252+1)-INDEX($H254:$O254,0,T$252))/(INDEX($H$249:$O$249,0,T$252+1)-INDEX($H$249:$O$249,0,T$252))+O261)))</f>
        <v>0</v>
      </c>
      <c r="Q261" s="3" cm="1">
        <f t="array" ref="Q261">IF(T$252=-1,S261,IF(T$252=99,O261,IF(T$252=0,INDEX($H254:$O254,0,T$250),(INDEX($H254:$O254,0,T$252+1)-INDEX($H254:$O254,0,T$252))/(INDEX($H$249:$O$249,0,T$252+1)-INDEX($H$249:$O$249,0,T$252))+O261)))</f>
        <v>0</v>
      </c>
      <c r="R261" s="3" cm="1">
        <f t="array" ref="R261">IF(T$252=-1,S261,IF(T$252=99,O261,IF(T$252=0,INDEX($H254:$O254,0,T$250),(INDEX($H254:$O254,0,T$252+1)-INDEX($H254:$O254,0,T$252))/(INDEX($H$249:$O$249,0,T$252+1)-INDEX($H$249:$O$249,0,T$252))+O261)))</f>
        <v>0</v>
      </c>
      <c r="S261" s="3" cm="1">
        <f t="array" ref="S261">IF(U$252=-1,T261,IF(U$252=99,P261,IF(U$252=0,INDEX($H254:$O254,0,U$250),(INDEX($H254:$O254,0,U$252+1)-INDEX($H254:$O254,0,U$252))/(INDEX($H$249:$O$249,0,U$252+1)-INDEX($H$249:$O$249,0,U$252))+P261)))</f>
        <v>0</v>
      </c>
      <c r="T261" s="3" cm="1">
        <f t="array" ref="T261">IF(V$252=-1,U261,IF(V$252=99,S261,IF(V$252=0,INDEX($H254:$O254,0,V$250),(INDEX($H254:$O254,0,V$252+1)-INDEX($H254:$O254,0,V$252))/(INDEX($H$249:$O$249,0,V$252+1)-INDEX($H$249:$O$249,0,V$252))+S261)))</f>
        <v>0</v>
      </c>
      <c r="U261" s="3" cm="1">
        <f t="array" ref="U261">IF(W$252=-1,V261,IF(W$252=99,T261,IF(W$252=0,INDEX($H254:$O254,0,W$250),(INDEX($H254:$O254,0,W$252+1)-INDEX($H254:$O254,0,W$252))/(INDEX($H$249:$O$249,0,W$252+1)-INDEX($H$249:$O$249,0,W$252))+T261)))</f>
        <v>0</v>
      </c>
      <c r="V261" s="3" cm="1">
        <f t="array" ref="V261">IF(X$252=-1,W261,IF(X$252=99,U261,IF(X$252=0,INDEX($H254:$O254,0,X$250),(INDEX($H254:$O254,0,X$252+1)-INDEX($H254:$O254,0,X$252))/(INDEX($H$249:$O$249,0,X$252+1)-INDEX($H$249:$O$249,0,X$252))+U261)))</f>
        <v>0.1290762609784547</v>
      </c>
      <c r="W261" s="3" cm="1">
        <f t="array" ref="W261">IF(Y$252=-1,X261,IF(Y$252=99,V261,IF(Y$252=0,INDEX($H254:$O254,0,Y$250),(INDEX($H254:$O254,0,Y$252+1)-INDEX($H254:$O254,0,Y$252))/(INDEX($H$249:$O$249,0,Y$252+1)-INDEX($H$249:$O$249,0,Y$252))+V261)))</f>
        <v>0.25815252195690941</v>
      </c>
      <c r="X261" s="3" cm="1">
        <f t="array" ref="X261">IF(Z$252=-1,Y261,IF(Z$252=99,W261,IF(Z$252=0,INDEX($H254:$O254,0,Z$250),(INDEX($H254:$O254,0,Z$252+1)-INDEX($H254:$O254,0,Z$252))/(INDEX($H$249:$O$249,0,Z$252+1)-INDEX($H$249:$O$249,0,Z$252))+W261)))</f>
        <v>0.38722878293536411</v>
      </c>
      <c r="Y261" s="3" cm="1">
        <f t="array" ref="Y261">IF(AA$252=-1,Z261,IF(AA$252=99,X261,IF(AA$252=0,INDEX($H254:$O254,0,AA$250),(INDEX($H254:$O254,0,AA$252+1)-INDEX($H254:$O254,0,AA$252))/(INDEX($H$249:$O$249,0,AA$252+1)-INDEX($H$249:$O$249,0,AA$252))+X261)))</f>
        <v>0.38167481304551093</v>
      </c>
      <c r="Z261" s="3" cm="1">
        <f t="array" ref="Z261">IF(AD$252=-1,AA261,IF(AD$252=99,Y261,IF(AD$252=0,INDEX($H254:$O254,0,AD$250),(INDEX($H254:$O254,0,AD$252+1)-INDEX($H254:$O254,0,AD$252))/(INDEX($H$249:$O$249,0,AD$252+1)-INDEX($H$249:$O$249,0,AD$252))+Y261)))</f>
        <v>0.37612084315565775</v>
      </c>
      <c r="AA261" s="3" cm="1">
        <f t="array" ref="AA261">IF(AE$252=-1,AD261,IF(AE$252=99,Z261,IF(AE$252=0,INDEX($H254:$O254,0,AE$250),(INDEX($H254:$O254,0,AE$252+1)-INDEX($H254:$O254,0,AE$252))/(INDEX($H$249:$O$249,0,AE$252+1)-INDEX($H$249:$O$249,0,AE$252))+Z261)))</f>
        <v>0.37056687326580456</v>
      </c>
      <c r="AB261" s="3" cm="1">
        <f t="array" ref="AB261">IF(AE$252=-1,AD261,IF(AE$252=99,Z261,IF(AE$252=0,INDEX($H254:$O254,0,AE$250),(INDEX($H254:$O254,0,AE$252+1)-INDEX($H254:$O254,0,AE$252))/(INDEX($H$249:$O$249,0,AE$252+1)-INDEX($H$249:$O$249,0,AE$252))+Z261)))</f>
        <v>0.37056687326580456</v>
      </c>
      <c r="AC261" s="3" cm="1">
        <f t="array" ref="AC261">IF(AE$252=-1,AD261,IF(AE$252=99,Z261,IF(AE$252=0,INDEX($H254:$O254,0,AE$250),(INDEX($H254:$O254,0,AE$252+1)-INDEX($H254:$O254,0,AE$252))/(INDEX($H$249:$O$249,0,AE$252+1)-INDEX($H$249:$O$249,0,AE$252))+Z261)))</f>
        <v>0.37056687326580456</v>
      </c>
      <c r="AD261" s="3" cm="1">
        <f t="array" ref="AD261">IF(AF$252=-1,AE261,IF(AF$252=99,AA261,IF(AF$252=0,INDEX($H254:$O254,0,AF$250),(INDEX($H254:$O254,0,AF$252+1)-INDEX($H254:$O254,0,AF$252))/(INDEX($H$249:$O$249,0,AF$252+1)-INDEX($H$249:$O$249,0,AF$252))+AA261)))</f>
        <v>0.36501290337595138</v>
      </c>
      <c r="AE261" s="3" cm="1">
        <f t="array" ref="AE261">IF(AG$252=-1,AF261,IF(AG$252=99,AD261,IF(AG$252=0,INDEX($H254:$O254,0,AG$250),(INDEX($H254:$O254,0,AG$252+1)-INDEX($H254:$O254,0,AG$252))/(INDEX($H$249:$O$249,0,AG$252+1)-INDEX($H$249:$O$249,0,AG$252))+AD261)))</f>
        <v>0.3594589334860982</v>
      </c>
      <c r="AF261" s="3" cm="1">
        <f t="array" ref="AF261">IF(AH$252=-1,AG261,IF(AH$252=99,AE261,IF(AH$252=0,INDEX($H254:$O254,0,AH$250),(INDEX($H254:$O254,0,AH$252+1)-INDEX($H254:$O254,0,AH$252))/(INDEX($H$249:$O$249,0,AH$252+1)-INDEX($H$249:$O$249,0,AH$252))+AE261)))</f>
        <v>0.35390496359624501</v>
      </c>
      <c r="AG261" s="3" cm="1">
        <f t="array" ref="AG261">IF(AI$252=-1,AH261,IF(AI$252=99,AF261,IF(AI$252=0,INDEX($H254:$O254,0,AI$250),(INDEX($H254:$O254,0,AI$252+1)-INDEX($H254:$O254,0,AI$252))/(INDEX($H$249:$O$249,0,AI$252+1)-INDEX($H$249:$O$249,0,AI$252))+AF261)))</f>
        <v>0.34835099370639183</v>
      </c>
      <c r="AH261" s="3" cm="1">
        <f t="array" ref="AH261">IF(AJ$252=-1,AI261,IF(AJ$252=99,AG261,IF(AJ$252=0,INDEX($H254:$O254,0,AJ$250),(INDEX($H254:$O254,0,AJ$252+1)-INDEX($H254:$O254,0,AJ$252))/(INDEX($H$249:$O$249,0,AJ$252+1)-INDEX($H$249:$O$249,0,AJ$252))+AG261)))</f>
        <v>0.34279702381653865</v>
      </c>
      <c r="AI261" s="3" cm="1">
        <f t="array" ref="AI261">IF(AK$252=-1,AJ261,IF(AK$252=99,AH261,IF(AK$252=0,INDEX($H254:$O254,0,AK$250),(INDEX($H254:$O254,0,AK$252+1)-INDEX($H254:$O254,0,AK$252))/(INDEX($H$249:$O$249,0,AK$252+1)-INDEX($H$249:$O$249,0,AK$252))+AH261)))</f>
        <v>0.33724305392668547</v>
      </c>
      <c r="AJ261" s="3" cm="1">
        <f t="array" ref="AJ261">IF(AL$252=-1,AK261,IF(AL$252=99,AI261,IF(AL$252=0,INDEX($H254:$O254,0,AL$250),(INDEX($H254:$O254,0,AL$252+1)-INDEX($H254:$O254,0,AL$252))/(INDEX($H$249:$O$249,0,AL$252+1)-INDEX($H$249:$O$249,0,AL$252))+AI261)))</f>
        <v>0.3316890840368325</v>
      </c>
      <c r="AK261" s="3" cm="1">
        <f t="array" ref="AK261">IF(AO$252=-1,AL261,IF(AO$252=99,AJ261,IF(AO$252=0,INDEX($H254:$O254,0,AO$250),(INDEX($H254:$O254,0,AO$252+1)-INDEX($H254:$O254,0,AO$252))/(INDEX($H$249:$O$249,0,AO$252+1)-INDEX($H$249:$O$249,0,AO$252))+AJ261)))</f>
        <v>0.3316890840368325</v>
      </c>
      <c r="AL261" s="3" cm="1">
        <f t="array" ref="AL261">IF(AP$252=-1,AO261,IF(AP$252=99,AK261,IF(AP$252=0,INDEX($H254:$O254,0,AP$250),(INDEX($H254:$O254,0,AP$252+1)-INDEX($H254:$O254,0,AP$252))/(INDEX($H$249:$O$249,0,AP$252+1)-INDEX($H$249:$O$249,0,AP$252))+AK261)))</f>
        <v>0.3316890840368325</v>
      </c>
      <c r="AM261" s="3" cm="1">
        <f t="array" ref="AM261">IF(AP$252=-1,AO261,IF(AP$252=99,AK261,IF(AP$252=0,INDEX($H254:$O254,0,AP$250),(INDEX($H254:$O254,0,AP$252+1)-INDEX($H254:$O254,0,AP$252))/(INDEX($H$249:$O$249,0,AP$252+1)-INDEX($H$249:$O$249,0,AP$252))+AK261)))</f>
        <v>0.3316890840368325</v>
      </c>
      <c r="AN261" s="3" cm="1">
        <f t="array" ref="AN261">IF(AP$252=-1,AO261,IF(AP$252=99,AK261,IF(AP$252=0,INDEX($H254:$O254,0,AP$250),(INDEX($H254:$O254,0,AP$252+1)-INDEX($H254:$O254,0,AP$252))/(INDEX($H$249:$O$249,0,AP$252+1)-INDEX($H$249:$O$249,0,AP$252))+AK261)))</f>
        <v>0.3316890840368325</v>
      </c>
      <c r="AO261" s="3" cm="1">
        <f t="array" ref="AO261">IF(AQ$252=-1,AP261,IF(AQ$252=99,AL261,IF(AQ$252=0,INDEX($H254:$O254,0,AQ$250),(INDEX($H254:$O254,0,AQ$252+1)-INDEX($H254:$O254,0,AQ$252))/(INDEX($H$249:$O$249,0,AQ$252+1)-INDEX($H$249:$O$249,0,AQ$252))+AL261)))</f>
        <v>0.3316890840368325</v>
      </c>
      <c r="AP261" s="3" cm="1">
        <f t="array" ref="AP261">IF(AR$252=-1,AQ261,IF(AR$252=99,AO261,IF(AR$252=0,INDEX($H254:$O254,0,AR$250),(INDEX($H254:$O254,0,AR$252+1)-INDEX($H254:$O254,0,AR$252))/(INDEX($H$249:$O$249,0,AR$252+1)-INDEX($H$249:$O$249,0,AR$252))+AO261)))</f>
        <v>0.3316890840368325</v>
      </c>
      <c r="AQ261" s="3" cm="1">
        <f t="array" ref="AQ261">IF(AS$252=-1,AR261,IF(AS$252=99,AP261,IF(AS$252=0,INDEX($H254:$O254,0,AS$250),(INDEX($H254:$O254,0,AS$252+1)-INDEX($H254:$O254,0,AS$252))/(INDEX($H$249:$O$249,0,AS$252+1)-INDEX($H$249:$O$249,0,AS$252))+AP261)))</f>
        <v>0.3316890840368325</v>
      </c>
      <c r="AR261" s="3" cm="1">
        <f t="array" ref="AR261">IF(AT$252=-1,AS261,IF(AT$252=99,AQ261,IF(AT$252=0,INDEX($H254:$O254,0,AT$250),(INDEX($H254:$O254,0,AT$252+1)-INDEX($H254:$O254,0,AT$252))/(INDEX($H$249:$O$249,0,AT$252+1)-INDEX($H$249:$O$249,0,AT$252))+AQ261)))</f>
        <v>0.3316890840368325</v>
      </c>
      <c r="AS261" s="3" cm="1">
        <f t="array" ref="AS261">IF(AV$252=-1,AT261,IF(AV$252=99,AR261,IF(AV$252=0,INDEX($H254:$O254,0,AV$250),(INDEX($H254:$O254,0,AV$252+1)-INDEX($H254:$O254,0,AV$252))/(INDEX($H$249:$O$249,0,AV$252+1)-INDEX($H$249:$O$249,0,AV$252))+AR261)))</f>
        <v>0.3316890840368325</v>
      </c>
      <c r="AT261" s="3" cm="1">
        <f t="array" ref="AT261">IF(AX$252=-1,AV261,IF(AX$252=99,AS261,IF(AX$252=0,INDEX($H254:$O254,0,AX$250),(INDEX($H254:$O254,0,AX$252+1)-INDEX($H254:$O254,0,AX$252))/(INDEX($H$249:$O$249,0,AX$252+1)-INDEX($H$249:$O$249,0,AX$252))+AS261)))</f>
        <v>0.3316890840368325</v>
      </c>
      <c r="AU261" s="3" cm="1">
        <f t="array" ref="AU261">IF(AX$252=-1,AW261,IF(AX$252=99,AS261,IF(AX$252=0,INDEX($H254:$O254,0,AX$250),(INDEX($H254:$O254,0,AX$252+1)-INDEX($H254:$O254,0,AX$252))/(INDEX($H$249:$O$249,0,AX$252+1)-INDEX($H$249:$O$249,0,AX$252))+AS261)))</f>
        <v>0.3316890840368325</v>
      </c>
      <c r="AV261" s="3" cm="1">
        <f t="array" ref="AV261">IF(AY$252=-1,AX261,IF(AY$252=99,AT261,IF(AY$252=0,INDEX($H254:$O254,0,AY$250),(INDEX($H254:$O254,0,AY$252+1)-INDEX($H254:$O254,0,AY$252))/(INDEX($H$249:$O$249,0,AY$252+1)-INDEX($H$249:$O$249,0,AY$252))+AT261)))</f>
        <v>0.3316890840368325</v>
      </c>
      <c r="AW261" s="3" cm="1">
        <f t="array" ref="AW261">IF(AZ$252=-1,AY261,IF(AZ$252=99,AV261,IF(AZ$252=0,INDEX($H254:$O254,0,AZ$250),(INDEX($H254:$O254,0,AZ$252+1)-INDEX($H254:$O254,0,AZ$252))/(INDEX($H$249:$O$249,0,AZ$252+1)-INDEX($H$249:$O$249,0,AZ$252))+AV261)))</f>
        <v>0.3316890840368325</v>
      </c>
      <c r="AX261" s="3" cm="1">
        <f t="array" ref="AX261">IF(AZ$252=-1,AY261,IF(AZ$252=99,AV261,IF(AZ$252=0,INDEX($H254:$O254,0,AZ$250),(INDEX($H254:$O254,0,AZ$252+1)-INDEX($H254:$O254,0,AZ$252))/(INDEX($H$249:$O$249,0,AZ$252+1)-INDEX($H$249:$O$249,0,AZ$252))+AV261)))</f>
        <v>0.3316890840368325</v>
      </c>
      <c r="AY261" s="3" cm="1">
        <f t="array" ref="AY261">IF(BA$252=-1,AZ261,IF(BA$252=99,AX261,IF(BA$252=0,INDEX($H254:$O254,0,BA$250),(INDEX($H254:$O254,0,BA$252+1)-INDEX($H254:$O254,0,BA$252))/(INDEX($H$249:$O$249,0,BA$252+1)-INDEX($H$249:$O$249,0,BA$252))+AX261)))</f>
        <v>0.3316890840368325</v>
      </c>
      <c r="AZ261" s="3" cm="1">
        <f t="array" ref="AZ261">IF(BB$252=-1,BA261,IF(BB$252=99,AY261,IF(BB$252=0,INDEX($H254:$O254,0,BB$250),(INDEX($H254:$O254,0,BB$252+1)-INDEX($H254:$O254,0,BB$252))/(INDEX($H$249:$O$249,0,BB$252+1)-INDEX($H$249:$O$249,0,BB$252))+AY261)))</f>
        <v>0.3316890840368325</v>
      </c>
      <c r="BA261" s="3" cm="1">
        <f t="array" ref="BA261">IF(BC$252=-1,BB261,IF(BC$252=99,AZ261,IF(BC$252=0,INDEX($H254:$O254,0,BC$250),(INDEX($H254:$O254,0,BC$252+1)-INDEX($H254:$O254,0,BC$252))/(INDEX($H$249:$O$249,0,BC$252+1)-INDEX($H$249:$O$249,0,BC$252))+AZ261)))</f>
        <v>0.3316890840368325</v>
      </c>
      <c r="BB261" s="3" cm="1">
        <f t="array" ref="BB261">IF(BD$252=-1,BC261,IF(BD$252=99,BA261,IF(BD$252=0,INDEX($H254:$O254,0,BD$250),(INDEX($H254:$O254,0,BD$252+1)-INDEX($H254:$O254,0,BD$252))/(INDEX($H$249:$O$249,0,BD$252+1)-INDEX($H$249:$O$249,0,BD$252))+BA261)))</f>
        <v>0.3316890840368325</v>
      </c>
      <c r="BC261" s="3" cm="1">
        <f t="array" ref="BC261">IF(BE$252=-1,BD261,IF(BE$252=99,BB261,IF(BE$252=0,INDEX($H254:$O254,0,BE$250),(INDEX($H254:$O254,0,BE$252+1)-INDEX($H254:$O254,0,BE$252))/(INDEX($H$249:$O$249,0,BE$252+1)-INDEX($H$249:$O$249,0,BE$252))+BB261)))</f>
        <v>0.3316890840368325</v>
      </c>
      <c r="BD261" s="3" cm="1">
        <f t="array" ref="BD261">IF(BF$252=-1,BI261,IF(BF$252=99,BC261,IF(BF$252=0,INDEX($H254:$O254,0,BF$250),(INDEX($H254:$O254,0,BF$252+1)-INDEX($H254:$O254,0,BF$252))/(INDEX($H$249:$O$249,0,BF$252+1)-INDEX($H$249:$O$249,0,BF$252))+BC261)))</f>
        <v>0.3316890840368325</v>
      </c>
      <c r="BE261" s="3" cm="1">
        <f t="array" ref="BE261">IF(BG$252=-1,BJ261,IF(BG$252=99,BD261,IF(BG$252=0,INDEX($H254:$O254,0,BG$250),(INDEX($H254:$O254,0,BG$252+1)-INDEX($H254:$O254,0,BG$252))/(INDEX($H$249:$O$249,0,BG$252+1)-INDEX($H$249:$O$249,0,BG$252))+BD261)))</f>
        <v>0.3316890840368325</v>
      </c>
      <c r="BF261" s="3" cm="1">
        <f t="array" ref="BF261">IF(BH$252=-1,BK261,IF(BH$252=99,BE261,IF(BH$252=0,INDEX($H254:$O254,0,BH$250),(INDEX($H254:$O254,0,BH$252+1)-INDEX($H254:$O254,0,BH$252))/(INDEX($H$249:$O$249,0,BH$252+1)-INDEX($H$249:$O$249,0,BH$252))+BE261)))</f>
        <v>0.3316890840368325</v>
      </c>
      <c r="BG261" s="3" cm="1">
        <f t="array" ref="BG261">IF(BI$252=-1,BL261,IF(BI$252=99,BF261,IF(BI$252=0,INDEX($H254:$O254,0,BI$250),(INDEX($H254:$O254,0,BI$252+1)-INDEX($H254:$O254,0,BI$252))/(INDEX($H$249:$O$249,0,BI$252+1)-INDEX($H$249:$O$249,0,BI$252))+BF261)))</f>
        <v>0.3316890840368325</v>
      </c>
      <c r="BH261" s="3" cm="1">
        <f t="array" ref="BH261">IF(BJ$252=-1,BM261,IF(BJ$252=99,BG261,IF(BJ$252=0,INDEX($H254:$O254,0,BJ$250),(INDEX($H254:$O254,0,BJ$252+1)-INDEX($H254:$O254,0,BJ$252))/(INDEX($H$249:$O$249,0,BJ$252+1)-INDEX($H$249:$O$249,0,BJ$252))+BG261)))</f>
        <v>0.3316890840368325</v>
      </c>
      <c r="BI261" s="3" cm="1">
        <f t="array" ref="BI261">IF(BK$252=-1,BN261,IF(BK$252=99,BH261,IF(BK$252=0,INDEX($H254:$O254,0,BK$250),(INDEX($H254:$O254,0,BK$252+1)-INDEX($H254:$O254,0,BK$252))/(INDEX($H$249:$O$249,0,BK$252+1)-INDEX($H$249:$O$249,0,BK$252))+BH261)))</f>
        <v>0.3316890840368325</v>
      </c>
      <c r="BJ261" s="3" cm="1">
        <f t="array" ref="BJ261">IF(BH$252=-1,BL261,IF(BH$252=99,BI261,IF(BH$252=0,INDEX($H254:$O254,0,BH$250),(INDEX($H254:$O254,0,BH$252+1)-INDEX($H254:$O254,0,BH$252))/(INDEX($H$249:$O$249,0,BH$252+1)-INDEX($H$249:$O$249,0,BH$252))+BI261)))</f>
        <v>0.3316890840368325</v>
      </c>
      <c r="BK261" s="3" cm="1">
        <f t="array" ref="BK261">IF(BI$252=-1,BM261,IF(BI$252=99,BJ261,IF(BI$252=0,INDEX($H254:$O254,0,BI$250),(INDEX($H254:$O254,0,BI$252+1)-INDEX($H254:$O254,0,BI$252))/(INDEX($H$249:$O$249,0,BI$252+1)-INDEX($H$249:$O$249,0,BI$252))+BJ261)))</f>
        <v>0.3316890840368325</v>
      </c>
      <c r="BL261" s="3" cm="1">
        <f t="array" ref="BL261">IF(BJ$252=-1,BN261,IF(BJ$252=99,BK261,IF(BJ$252=0,INDEX($H254:$O254,0,BJ$250),(INDEX($H254:$O254,0,BJ$252+1)-INDEX($H254:$O254,0,BJ$252))/(INDEX($H$249:$O$249,0,BJ$252+1)-INDEX($H$249:$O$249,0,BJ$252))+BK261)))</f>
        <v>0.3316890840368325</v>
      </c>
      <c r="BM261" s="3" cm="1">
        <f t="array" ref="BM261">IF(BK$252=-1,BO261,IF(BK$252=99,BL261,IF(BK$252=0,INDEX($H254:$O254,0,BK$250),(INDEX($H254:$O254,0,BK$252+1)-INDEX($H254:$O254,0,BK$252))/(INDEX($H$249:$O$249,0,BK$252+1)-INDEX($H$249:$O$249,0,BK$252))+BL261)))</f>
        <v>0.3316890840368325</v>
      </c>
      <c r="BN261" s="3" cm="1">
        <f t="array" ref="BN261">IF(BL$252=-1,BP261,IF(BL$252=99,BM261,IF(BL$252=0,INDEX($H254:$O254,0,BL$250),(INDEX($H254:$O254,0,BL$252+1)-INDEX($H254:$O254,0,BL$252))/(INDEX($H$249:$O$249,0,BL$252+1)-INDEX($H$249:$O$249,0,BL$252))+BM261)))</f>
        <v>0.3316890840368325</v>
      </c>
      <c r="BO261" s="3" cm="1">
        <f t="array" ref="BO261">IF(BM$252=-1,BQ261,IF(BM$252=99,BN261,IF(BM$252=0,INDEX($H254:$O254,0,BM$250),(INDEX($H254:$O254,0,BM$252+1)-INDEX($H254:$O254,0,BM$252))/(INDEX($H$249:$O$249,0,BM$252+1)-INDEX($H$249:$O$249,0,BM$252))+BN261)))</f>
        <v>0.3316890840368325</v>
      </c>
      <c r="BP261" s="3" cm="1">
        <f t="array" ref="BP261">IF(BN$252=-1,BR261,IF(BN$252=99,BO261,IF(BN$252=0,INDEX($H254:$O254,0,BN$250),(INDEX($H254:$O254,0,BN$252+1)-INDEX($H254:$O254,0,BN$252))/(INDEX($H$249:$O$249,0,BN$252+1)-INDEX($H$249:$O$249,0,BN$252))+BO261)))</f>
        <v>0.3316890840368325</v>
      </c>
    </row>
    <row r="262" spans="5:68">
      <c r="E262" t="s">
        <v>16</v>
      </c>
      <c r="I262" t="s">
        <v>425</v>
      </c>
      <c r="J262" t="s">
        <v>425</v>
      </c>
      <c r="K262" t="s">
        <v>421</v>
      </c>
      <c r="L262" s="3" t="s">
        <v>424</v>
      </c>
      <c r="M262" t="s">
        <v>261</v>
      </c>
      <c r="N262" s="3" t="e">
        <f t="shared" si="572"/>
        <v>#REF!</v>
      </c>
      <c r="O262" s="3" cm="1">
        <f t="array" ref="O262">IF(S$252=-1,P262,IF(S$252=99,N262,IF(S$252=0,INDEX($H255:$O255,0,S$250),(INDEX($H255:$O255,0,S$252+1)-INDEX($H255:$O255,0,S$252))/(INDEX($H$249:$O$249,0,S$252+1)-INDEX($H$249:$O$249,0,S$252))+N262)))</f>
        <v>0</v>
      </c>
      <c r="P262" s="3" cm="1">
        <f t="array" ref="P262">IF(T$252=-1,S262,IF(T$252=99,O262,IF(T$252=0,INDEX($H255:$O255,0,T$250),(INDEX($H255:$O255,0,T$252+1)-INDEX($H255:$O255,0,T$252))/(INDEX($H$249:$O$249,0,T$252+1)-INDEX($H$249:$O$249,0,T$252))+O262)))</f>
        <v>0</v>
      </c>
      <c r="Q262" s="3" cm="1">
        <f t="array" ref="Q262">IF(T$252=-1,S262,IF(T$252=99,O262,IF(T$252=0,INDEX($H255:$O255,0,T$250),(INDEX($H255:$O255,0,T$252+1)-INDEX($H255:$O255,0,T$252))/(INDEX($H$249:$O$249,0,T$252+1)-INDEX($H$249:$O$249,0,T$252))+O262)))</f>
        <v>0</v>
      </c>
      <c r="R262" s="3" cm="1">
        <f t="array" ref="R262">IF(T$252=-1,S262,IF(T$252=99,O262,IF(T$252=0,INDEX($H255:$O255,0,T$250),(INDEX($H255:$O255,0,T$252+1)-INDEX($H255:$O255,0,T$252))/(INDEX($H$249:$O$249,0,T$252+1)-INDEX($H$249:$O$249,0,T$252))+O262)))</f>
        <v>0</v>
      </c>
      <c r="S262" s="3" cm="1">
        <f t="array" ref="S262">IF(U$252=-1,T262,IF(U$252=99,P262,IF(U$252=0,INDEX($H255:$O255,0,U$250),(INDEX($H255:$O255,0,U$252+1)-INDEX($H255:$O255,0,U$252))/(INDEX($H$249:$O$249,0,U$252+1)-INDEX($H$249:$O$249,0,U$252))+P262)))</f>
        <v>0</v>
      </c>
      <c r="T262" s="3" cm="1">
        <f t="array" ref="T262">IF(V$252=-1,U262,IF(V$252=99,S262,IF(V$252=0,INDEX($H255:$O255,0,V$250),(INDEX($H255:$O255,0,V$252+1)-INDEX($H255:$O255,0,V$252))/(INDEX($H$249:$O$249,0,V$252+1)-INDEX($H$249:$O$249,0,V$252))+S262)))</f>
        <v>0</v>
      </c>
      <c r="U262" s="3" cm="1">
        <f t="array" ref="U262">IF(W$252=-1,V262,IF(W$252=99,T262,IF(W$252=0,INDEX($H255:$O255,0,W$250),(INDEX($H255:$O255,0,W$252+1)-INDEX($H255:$O255,0,W$252))/(INDEX($H$249:$O$249,0,W$252+1)-INDEX($H$249:$O$249,0,W$252))+T262)))</f>
        <v>0</v>
      </c>
      <c r="V262" s="3" cm="1">
        <f t="array" ref="V262">IF(X$252=-1,W262,IF(X$252=99,U262,IF(X$252=0,INDEX($H255:$O255,0,X$250),(INDEX($H255:$O255,0,X$252+1)-INDEX($H255:$O255,0,X$252))/(INDEX($H$249:$O$249,0,X$252+1)-INDEX($H$249:$O$249,0,X$252))+U262)))</f>
        <v>0.16401910129802044</v>
      </c>
      <c r="W262" s="3" cm="1">
        <f t="array" ref="W262">IF(Y$252=-1,X262,IF(Y$252=99,V262,IF(Y$252=0,INDEX($H255:$O255,0,Y$250),(INDEX($H255:$O255,0,Y$252+1)-INDEX($H255:$O255,0,Y$252))/(INDEX($H$249:$O$249,0,Y$252+1)-INDEX($H$249:$O$249,0,Y$252))+V262)))</f>
        <v>0.32803820259604088</v>
      </c>
      <c r="X262" s="3" cm="1">
        <f t="array" ref="X262">IF(Z$252=-1,Y262,IF(Z$252=99,W262,IF(Z$252=0,INDEX($H255:$O255,0,Z$250),(INDEX($H255:$O255,0,Z$252+1)-INDEX($H255:$O255,0,Z$252))/(INDEX($H$249:$O$249,0,Z$252+1)-INDEX($H$249:$O$249,0,Z$252))+W262)))</f>
        <v>0.49205730389406133</v>
      </c>
      <c r="Y262" s="3" cm="1">
        <f t="array" ref="Y262">IF(AA$252=-1,Z262,IF(AA$252=99,X262,IF(AA$252=0,INDEX($H255:$O255,0,AA$250),(INDEX($H255:$O255,0,AA$252+1)-INDEX($H255:$O255,0,AA$252))/(INDEX($H$249:$O$249,0,AA$252+1)-INDEX($H$249:$O$249,0,AA$252))+X262)))</f>
        <v>0.49832838157426496</v>
      </c>
      <c r="Z262" s="3" cm="1">
        <f t="array" ref="Z262">IF(AD$252=-1,AA262,IF(AD$252=99,Y262,IF(AD$252=0,INDEX($H255:$O255,0,AD$250),(INDEX($H255:$O255,0,AD$252+1)-INDEX($H255:$O255,0,AD$252))/(INDEX($H$249:$O$249,0,AD$252+1)-INDEX($H$249:$O$249,0,AD$252))+Y262)))</f>
        <v>0.50459945925446859</v>
      </c>
      <c r="AA262" s="3" cm="1">
        <f t="array" ref="AA262">IF(AE$252=-1,AD262,IF(AE$252=99,Z262,IF(AE$252=0,INDEX($H255:$O255,0,AE$250),(INDEX($H255:$O255,0,AE$252+1)-INDEX($H255:$O255,0,AE$252))/(INDEX($H$249:$O$249,0,AE$252+1)-INDEX($H$249:$O$249,0,AE$252))+Z262)))</f>
        <v>0.51087053693467221</v>
      </c>
      <c r="AB262" s="3" cm="1">
        <f t="array" ref="AB262">IF(AE$252=-1,AD262,IF(AE$252=99,Z262,IF(AE$252=0,INDEX($H255:$O255,0,AE$250),(INDEX($H255:$O255,0,AE$252+1)-INDEX($H255:$O255,0,AE$252))/(INDEX($H$249:$O$249,0,AE$252+1)-INDEX($H$249:$O$249,0,AE$252))+Z262)))</f>
        <v>0.51087053693467221</v>
      </c>
      <c r="AC262" s="3" cm="1">
        <f t="array" ref="AC262">IF(AE$252=-1,AD262,IF(AE$252=99,Z262,IF(AE$252=0,INDEX($H255:$O255,0,AE$250),(INDEX($H255:$O255,0,AE$252+1)-INDEX($H255:$O255,0,AE$252))/(INDEX($H$249:$O$249,0,AE$252+1)-INDEX($H$249:$O$249,0,AE$252))+Z262)))</f>
        <v>0.51087053693467221</v>
      </c>
      <c r="AD262" s="3" cm="1">
        <f t="array" ref="AD262">IF(AF$252=-1,AE262,IF(AF$252=99,AA262,IF(AF$252=0,INDEX($H255:$O255,0,AF$250),(INDEX($H255:$O255,0,AF$252+1)-INDEX($H255:$O255,0,AF$252))/(INDEX($H$249:$O$249,0,AF$252+1)-INDEX($H$249:$O$249,0,AF$252))+AA262)))</f>
        <v>0.51714161461487584</v>
      </c>
      <c r="AE262" s="3" cm="1">
        <f t="array" ref="AE262">IF(AG$252=-1,AF262,IF(AG$252=99,AD262,IF(AG$252=0,INDEX($H255:$O255,0,AG$250),(INDEX($H255:$O255,0,AG$252+1)-INDEX($H255:$O255,0,AG$252))/(INDEX($H$249:$O$249,0,AG$252+1)-INDEX($H$249:$O$249,0,AG$252))+AD262)))</f>
        <v>0.52341269229507947</v>
      </c>
      <c r="AF262" s="3" cm="1">
        <f t="array" ref="AF262">IF(AH$252=-1,AG262,IF(AH$252=99,AE262,IF(AH$252=0,INDEX($H255:$O255,0,AH$250),(INDEX($H255:$O255,0,AH$252+1)-INDEX($H255:$O255,0,AH$252))/(INDEX($H$249:$O$249,0,AH$252+1)-INDEX($H$249:$O$249,0,AH$252))+AE262)))</f>
        <v>0.5296837699752831</v>
      </c>
      <c r="AG262" s="3" cm="1">
        <f t="array" ref="AG262">IF(AI$252=-1,AH262,IF(AI$252=99,AF262,IF(AI$252=0,INDEX($H255:$O255,0,AI$250),(INDEX($H255:$O255,0,AI$252+1)-INDEX($H255:$O255,0,AI$252))/(INDEX($H$249:$O$249,0,AI$252+1)-INDEX($H$249:$O$249,0,AI$252))+AF262)))</f>
        <v>0.53595484765548673</v>
      </c>
      <c r="AH262" s="3" cm="1">
        <f t="array" ref="AH262">IF(AJ$252=-1,AI262,IF(AJ$252=99,AG262,IF(AJ$252=0,INDEX($H255:$O255,0,AJ$250),(INDEX($H255:$O255,0,AJ$252+1)-INDEX($H255:$O255,0,AJ$252))/(INDEX($H$249:$O$249,0,AJ$252+1)-INDEX($H$249:$O$249,0,AJ$252))+AG262)))</f>
        <v>0.54222592533569036</v>
      </c>
      <c r="AI262" s="3" cm="1">
        <f t="array" ref="AI262">IF(AK$252=-1,AJ262,IF(AK$252=99,AH262,IF(AK$252=0,INDEX($H255:$O255,0,AK$250),(INDEX($H255:$O255,0,AK$252+1)-INDEX($H255:$O255,0,AK$252))/(INDEX($H$249:$O$249,0,AK$252+1)-INDEX($H$249:$O$249,0,AK$252))+AH262)))</f>
        <v>0.54849700301589399</v>
      </c>
      <c r="AJ262" s="3" cm="1">
        <f t="array" ref="AJ262">IF(AL$252=-1,AK262,IF(AL$252=99,AI262,IF(AL$252=0,INDEX($H255:$O255,0,AL$250),(INDEX($H255:$O255,0,AL$252+1)-INDEX($H255:$O255,0,AL$252))/(INDEX($H$249:$O$249,0,AL$252+1)-INDEX($H$249:$O$249,0,AL$252))+AI262)))</f>
        <v>0.55476808069609751</v>
      </c>
      <c r="AK262" s="3" cm="1">
        <f t="array" ref="AK262">IF(AO$252=-1,AL262,IF(AO$252=99,AJ262,IF(AO$252=0,INDEX($H255:$O255,0,AO$250),(INDEX($H255:$O255,0,AO$252+1)-INDEX($H255:$O255,0,AO$252))/(INDEX($H$249:$O$249,0,AO$252+1)-INDEX($H$249:$O$249,0,AO$252))+AJ262)))</f>
        <v>0.55476808069609751</v>
      </c>
      <c r="AL262" s="3" cm="1">
        <f t="array" ref="AL262">IF(AP$252=-1,AO262,IF(AP$252=99,AK262,IF(AP$252=0,INDEX($H255:$O255,0,AP$250),(INDEX($H255:$O255,0,AP$252+1)-INDEX($H255:$O255,0,AP$252))/(INDEX($H$249:$O$249,0,AP$252+1)-INDEX($H$249:$O$249,0,AP$252))+AK262)))</f>
        <v>0.55476808069609751</v>
      </c>
      <c r="AM262" s="3" cm="1">
        <f t="array" ref="AM262">IF(AP$252=-1,AO262,IF(AP$252=99,AK262,IF(AP$252=0,INDEX($H255:$O255,0,AP$250),(INDEX($H255:$O255,0,AP$252+1)-INDEX($H255:$O255,0,AP$252))/(INDEX($H$249:$O$249,0,AP$252+1)-INDEX($H$249:$O$249,0,AP$252))+AK262)))</f>
        <v>0.55476808069609751</v>
      </c>
      <c r="AN262" s="3" cm="1">
        <f t="array" ref="AN262">IF(AP$252=-1,AO262,IF(AP$252=99,AK262,IF(AP$252=0,INDEX($H255:$O255,0,AP$250),(INDEX($H255:$O255,0,AP$252+1)-INDEX($H255:$O255,0,AP$252))/(INDEX($H$249:$O$249,0,AP$252+1)-INDEX($H$249:$O$249,0,AP$252))+AK262)))</f>
        <v>0.55476808069609751</v>
      </c>
      <c r="AO262" s="3" cm="1">
        <f t="array" ref="AO262">IF(AQ$252=-1,AP262,IF(AQ$252=99,AL262,IF(AQ$252=0,INDEX($H255:$O255,0,AQ$250),(INDEX($H255:$O255,0,AQ$252+1)-INDEX($H255:$O255,0,AQ$252))/(INDEX($H$249:$O$249,0,AQ$252+1)-INDEX($H$249:$O$249,0,AQ$252))+AL262)))</f>
        <v>0.55476808069609751</v>
      </c>
      <c r="AP262" s="3" cm="1">
        <f t="array" ref="AP262">IF(AR$252=-1,AQ262,IF(AR$252=99,AO262,IF(AR$252=0,INDEX($H255:$O255,0,AR$250),(INDEX($H255:$O255,0,AR$252+1)-INDEX($H255:$O255,0,AR$252))/(INDEX($H$249:$O$249,0,AR$252+1)-INDEX($H$249:$O$249,0,AR$252))+AO262)))</f>
        <v>0.55476808069609751</v>
      </c>
      <c r="AQ262" s="3" cm="1">
        <f t="array" ref="AQ262">IF(AS$252=-1,AR262,IF(AS$252=99,AP262,IF(AS$252=0,INDEX($H255:$O255,0,AS$250),(INDEX($H255:$O255,0,AS$252+1)-INDEX($H255:$O255,0,AS$252))/(INDEX($H$249:$O$249,0,AS$252+1)-INDEX($H$249:$O$249,0,AS$252))+AP262)))</f>
        <v>0.55476808069609751</v>
      </c>
      <c r="AR262" s="3" cm="1">
        <f t="array" ref="AR262">IF(AT$252=-1,AS262,IF(AT$252=99,AQ262,IF(AT$252=0,INDEX($H255:$O255,0,AT$250),(INDEX($H255:$O255,0,AT$252+1)-INDEX($H255:$O255,0,AT$252))/(INDEX($H$249:$O$249,0,AT$252+1)-INDEX($H$249:$O$249,0,AT$252))+AQ262)))</f>
        <v>0.55476808069609751</v>
      </c>
      <c r="AS262" s="3" cm="1">
        <f t="array" ref="AS262">IF(AV$252=-1,AT262,IF(AV$252=99,AR262,IF(AV$252=0,INDEX($H255:$O255,0,AV$250),(INDEX($H255:$O255,0,AV$252+1)-INDEX($H255:$O255,0,AV$252))/(INDEX($H$249:$O$249,0,AV$252+1)-INDEX($H$249:$O$249,0,AV$252))+AR262)))</f>
        <v>0.55476808069609751</v>
      </c>
      <c r="AT262" s="3" cm="1">
        <f t="array" ref="AT262">IF(AX$252=-1,AV262,IF(AX$252=99,AS262,IF(AX$252=0,INDEX($H255:$O255,0,AX$250),(INDEX($H255:$O255,0,AX$252+1)-INDEX($H255:$O255,0,AX$252))/(INDEX($H$249:$O$249,0,AX$252+1)-INDEX($H$249:$O$249,0,AX$252))+AS262)))</f>
        <v>0.55476808069609751</v>
      </c>
      <c r="AU262" s="3" cm="1">
        <f t="array" ref="AU262">IF(AX$252=-1,AW262,IF(AX$252=99,AS262,IF(AX$252=0,INDEX($H255:$O255,0,AX$250),(INDEX($H255:$O255,0,AX$252+1)-INDEX($H255:$O255,0,AX$252))/(INDEX($H$249:$O$249,0,AX$252+1)-INDEX($H$249:$O$249,0,AX$252))+AS262)))</f>
        <v>0.55476808069609751</v>
      </c>
      <c r="AV262" s="3" cm="1">
        <f t="array" ref="AV262">IF(AY$252=-1,AX262,IF(AY$252=99,AT262,IF(AY$252=0,INDEX($H255:$O255,0,AY$250),(INDEX($H255:$O255,0,AY$252+1)-INDEX($H255:$O255,0,AY$252))/(INDEX($H$249:$O$249,0,AY$252+1)-INDEX($H$249:$O$249,0,AY$252))+AT262)))</f>
        <v>0.55476808069609751</v>
      </c>
      <c r="AW262" s="3" cm="1">
        <f t="array" ref="AW262">IF(AZ$252=-1,AY262,IF(AZ$252=99,AV262,IF(AZ$252=0,INDEX($H255:$O255,0,AZ$250),(INDEX($H255:$O255,0,AZ$252+1)-INDEX($H255:$O255,0,AZ$252))/(INDEX($H$249:$O$249,0,AZ$252+1)-INDEX($H$249:$O$249,0,AZ$252))+AV262)))</f>
        <v>0.55476808069609751</v>
      </c>
      <c r="AX262" s="3" cm="1">
        <f t="array" ref="AX262">IF(AZ$252=-1,AY262,IF(AZ$252=99,AV262,IF(AZ$252=0,INDEX($H255:$O255,0,AZ$250),(INDEX($H255:$O255,0,AZ$252+1)-INDEX($H255:$O255,0,AZ$252))/(INDEX($H$249:$O$249,0,AZ$252+1)-INDEX($H$249:$O$249,0,AZ$252))+AV262)))</f>
        <v>0.55476808069609751</v>
      </c>
      <c r="AY262" s="3" cm="1">
        <f t="array" ref="AY262">IF(BA$252=-1,AZ262,IF(BA$252=99,AX262,IF(BA$252=0,INDEX($H255:$O255,0,BA$250),(INDEX($H255:$O255,0,BA$252+1)-INDEX($H255:$O255,0,BA$252))/(INDEX($H$249:$O$249,0,BA$252+1)-INDEX($H$249:$O$249,0,BA$252))+AX262)))</f>
        <v>0.55476808069609751</v>
      </c>
      <c r="AZ262" s="3" cm="1">
        <f t="array" ref="AZ262">IF(BB$252=-1,BA262,IF(BB$252=99,AY262,IF(BB$252=0,INDEX($H255:$O255,0,BB$250),(INDEX($H255:$O255,0,BB$252+1)-INDEX($H255:$O255,0,BB$252))/(INDEX($H$249:$O$249,0,BB$252+1)-INDEX($H$249:$O$249,0,BB$252))+AY262)))</f>
        <v>0.55476808069609751</v>
      </c>
      <c r="BA262" s="3" cm="1">
        <f t="array" ref="BA262">IF(BC$252=-1,BB262,IF(BC$252=99,AZ262,IF(BC$252=0,INDEX($H255:$O255,0,BC$250),(INDEX($H255:$O255,0,BC$252+1)-INDEX($H255:$O255,0,BC$252))/(INDEX($H$249:$O$249,0,BC$252+1)-INDEX($H$249:$O$249,0,BC$252))+AZ262)))</f>
        <v>0.55476808069609751</v>
      </c>
      <c r="BB262" s="3" cm="1">
        <f t="array" ref="BB262">IF(BD$252=-1,BC262,IF(BD$252=99,BA262,IF(BD$252=0,INDEX($H255:$O255,0,BD$250),(INDEX($H255:$O255,0,BD$252+1)-INDEX($H255:$O255,0,BD$252))/(INDEX($H$249:$O$249,0,BD$252+1)-INDEX($H$249:$O$249,0,BD$252))+BA262)))</f>
        <v>0.55476808069609751</v>
      </c>
      <c r="BC262" s="3" cm="1">
        <f t="array" ref="BC262">IF(BE$252=-1,BD262,IF(BE$252=99,BB262,IF(BE$252=0,INDEX($H255:$O255,0,BE$250),(INDEX($H255:$O255,0,BE$252+1)-INDEX($H255:$O255,0,BE$252))/(INDEX($H$249:$O$249,0,BE$252+1)-INDEX($H$249:$O$249,0,BE$252))+BB262)))</f>
        <v>0.55476808069609751</v>
      </c>
      <c r="BD262" s="3" cm="1">
        <f t="array" ref="BD262">IF(BF$252=-1,BI262,IF(BF$252=99,BC262,IF(BF$252=0,INDEX($H255:$O255,0,BF$250),(INDEX($H255:$O255,0,BF$252+1)-INDEX($H255:$O255,0,BF$252))/(INDEX($H$249:$O$249,0,BF$252+1)-INDEX($H$249:$O$249,0,BF$252))+BC262)))</f>
        <v>0.55476808069609751</v>
      </c>
      <c r="BE262" s="3" cm="1">
        <f t="array" ref="BE262">IF(BG$252=-1,BJ262,IF(BG$252=99,BD262,IF(BG$252=0,INDEX($H255:$O255,0,BG$250),(INDEX($H255:$O255,0,BG$252+1)-INDEX($H255:$O255,0,BG$252))/(INDEX($H$249:$O$249,0,BG$252+1)-INDEX($H$249:$O$249,0,BG$252))+BD262)))</f>
        <v>0.55476808069609751</v>
      </c>
      <c r="BF262" s="3" cm="1">
        <f t="array" ref="BF262">IF(BH$252=-1,BK262,IF(BH$252=99,BE262,IF(BH$252=0,INDEX($H255:$O255,0,BH$250),(INDEX($H255:$O255,0,BH$252+1)-INDEX($H255:$O255,0,BH$252))/(INDEX($H$249:$O$249,0,BH$252+1)-INDEX($H$249:$O$249,0,BH$252))+BE262)))</f>
        <v>0.55476808069609751</v>
      </c>
      <c r="BG262" s="3" cm="1">
        <f t="array" ref="BG262">IF(BI$252=-1,BL262,IF(BI$252=99,BF262,IF(BI$252=0,INDEX($H255:$O255,0,BI$250),(INDEX($H255:$O255,0,BI$252+1)-INDEX($H255:$O255,0,BI$252))/(INDEX($H$249:$O$249,0,BI$252+1)-INDEX($H$249:$O$249,0,BI$252))+BF262)))</f>
        <v>0.55476808069609751</v>
      </c>
      <c r="BH262" s="3" cm="1">
        <f t="array" ref="BH262">IF(BJ$252=-1,BM262,IF(BJ$252=99,BG262,IF(BJ$252=0,INDEX($H255:$O255,0,BJ$250),(INDEX($H255:$O255,0,BJ$252+1)-INDEX($H255:$O255,0,BJ$252))/(INDEX($H$249:$O$249,0,BJ$252+1)-INDEX($H$249:$O$249,0,BJ$252))+BG262)))</f>
        <v>0.55476808069609751</v>
      </c>
      <c r="BI262" s="3" cm="1">
        <f t="array" ref="BI262">IF(BK$252=-1,BN262,IF(BK$252=99,BH262,IF(BK$252=0,INDEX($H255:$O255,0,BK$250),(INDEX($H255:$O255,0,BK$252+1)-INDEX($H255:$O255,0,BK$252))/(INDEX($H$249:$O$249,0,BK$252+1)-INDEX($H$249:$O$249,0,BK$252))+BH262)))</f>
        <v>0.55476808069609751</v>
      </c>
      <c r="BJ262" s="3" cm="1">
        <f t="array" ref="BJ262">IF(BH$252=-1,BL262,IF(BH$252=99,BI262,IF(BH$252=0,INDEX($H255:$O255,0,BH$250),(INDEX($H255:$O255,0,BH$252+1)-INDEX($H255:$O255,0,BH$252))/(INDEX($H$249:$O$249,0,BH$252+1)-INDEX($H$249:$O$249,0,BH$252))+BI262)))</f>
        <v>0.55476808069609751</v>
      </c>
      <c r="BK262" s="3" cm="1">
        <f t="array" ref="BK262">IF(BI$252=-1,BM262,IF(BI$252=99,BJ262,IF(BI$252=0,INDEX($H255:$O255,0,BI$250),(INDEX($H255:$O255,0,BI$252+1)-INDEX($H255:$O255,0,BI$252))/(INDEX($H$249:$O$249,0,BI$252+1)-INDEX($H$249:$O$249,0,BI$252))+BJ262)))</f>
        <v>0.55476808069609751</v>
      </c>
      <c r="BL262" s="3" cm="1">
        <f t="array" ref="BL262">IF(BJ$252=-1,BN262,IF(BJ$252=99,BK262,IF(BJ$252=0,INDEX($H255:$O255,0,BJ$250),(INDEX($H255:$O255,0,BJ$252+1)-INDEX($H255:$O255,0,BJ$252))/(INDEX($H$249:$O$249,0,BJ$252+1)-INDEX($H$249:$O$249,0,BJ$252))+BK262)))</f>
        <v>0.55476808069609751</v>
      </c>
      <c r="BM262" s="3" cm="1">
        <f t="array" ref="BM262">IF(BK$252=-1,BO262,IF(BK$252=99,BL262,IF(BK$252=0,INDEX($H255:$O255,0,BK$250),(INDEX($H255:$O255,0,BK$252+1)-INDEX($H255:$O255,0,BK$252))/(INDEX($H$249:$O$249,0,BK$252+1)-INDEX($H$249:$O$249,0,BK$252))+BL262)))</f>
        <v>0.55476808069609751</v>
      </c>
      <c r="BN262" s="3" cm="1">
        <f t="array" ref="BN262">IF(BL$252=-1,BP262,IF(BL$252=99,BM262,IF(BL$252=0,INDEX($H255:$O255,0,BL$250),(INDEX($H255:$O255,0,BL$252+1)-INDEX($H255:$O255,0,BL$252))/(INDEX($H$249:$O$249,0,BL$252+1)-INDEX($H$249:$O$249,0,BL$252))+BM262)))</f>
        <v>0.55476808069609751</v>
      </c>
      <c r="BO262" s="3" cm="1">
        <f t="array" ref="BO262">IF(BM$252=-1,BQ262,IF(BM$252=99,BN262,IF(BM$252=0,INDEX($H255:$O255,0,BM$250),(INDEX($H255:$O255,0,BM$252+1)-INDEX($H255:$O255,0,BM$252))/(INDEX($H$249:$O$249,0,BM$252+1)-INDEX($H$249:$O$249,0,BM$252))+BN262)))</f>
        <v>0.55476808069609751</v>
      </c>
      <c r="BP262" s="3" cm="1">
        <f t="array" ref="BP262">IF(BN$252=-1,BR262,IF(BN$252=99,BO262,IF(BN$252=0,INDEX($H255:$O255,0,BN$250),(INDEX($H255:$O255,0,BN$252+1)-INDEX($H255:$O255,0,BN$252))/(INDEX($H$249:$O$249,0,BN$252+1)-INDEX($H$249:$O$249,0,BN$252))+BO262)))</f>
        <v>0.55476808069609751</v>
      </c>
    </row>
    <row r="263" spans="5:68">
      <c r="E263" t="s">
        <v>16</v>
      </c>
      <c r="I263" t="s">
        <v>426</v>
      </c>
      <c r="J263" t="s">
        <v>426</v>
      </c>
      <c r="K263" t="str">
        <f>K260</f>
        <v>low income</v>
      </c>
      <c r="L263" s="3" t="s">
        <v>423</v>
      </c>
      <c r="M263" t="str">
        <f>M260</f>
        <v>hhd-le</v>
      </c>
      <c r="N263" s="3" t="e">
        <f t="shared" si="572"/>
        <v>#REF!</v>
      </c>
      <c r="O263" s="3" cm="1">
        <f t="array" ref="O263">IF(S$252=-1,P263,IF(S$252=99,N263,IF(S$252=0,INDEX($H256:$O256,0,S$250),(INDEX($H256:$O256,0,S$252+1)-INDEX($H256:$O256,0,S$252))/(INDEX($H$249:$O$249,0,S$252+1)-INDEX($H$249:$O$249,0,S$252))+N263)))</f>
        <v>0</v>
      </c>
      <c r="P263" s="3" cm="1">
        <f t="array" ref="P263">IF(T$252=-1,S263,IF(T$252=99,O263,IF(T$252=0,INDEX($H256:$O256,0,T$250),(INDEX($H256:$O256,0,T$252+1)-INDEX($H256:$O256,0,T$252))/(INDEX($H$249:$O$249,0,T$252+1)-INDEX($H$249:$O$249,0,T$252))+O263)))</f>
        <v>0</v>
      </c>
      <c r="Q263" s="3" cm="1">
        <f t="array" ref="Q263">IF(T$252=-1,S263,IF(T$252=99,O263,IF(T$252=0,INDEX($H256:$O256,0,T$250),(INDEX($H256:$O256,0,T$252+1)-INDEX($H256:$O256,0,T$252))/(INDEX($H$249:$O$249,0,T$252+1)-INDEX($H$249:$O$249,0,T$252))+O263)))</f>
        <v>0</v>
      </c>
      <c r="R263" s="3" cm="1">
        <f t="array" ref="R263">IF(T$252=-1,S263,IF(T$252=99,O263,IF(T$252=0,INDEX($H256:$O256,0,T$250),(INDEX($H256:$O256,0,T$252+1)-INDEX($H256:$O256,0,T$252))/(INDEX($H$249:$O$249,0,T$252+1)-INDEX($H$249:$O$249,0,T$252))+O263)))</f>
        <v>0</v>
      </c>
      <c r="S263" s="3" cm="1">
        <f t="array" ref="S263">IF(U$252=-1,T263,IF(U$252=99,P263,IF(U$252=0,INDEX($H256:$O256,0,U$250),(INDEX($H256:$O256,0,U$252+1)-INDEX($H256:$O256,0,U$252))/(INDEX($H$249:$O$249,0,U$252+1)-INDEX($H$249:$O$249,0,U$252))+P263)))</f>
        <v>0</v>
      </c>
      <c r="T263" s="3" cm="1">
        <f t="array" ref="T263">IF(V$252=-1,U263,IF(V$252=99,S263,IF(V$252=0,INDEX($H256:$O256,0,V$250),(INDEX($H256:$O256,0,V$252+1)-INDEX($H256:$O256,0,V$252))/(INDEX($H$249:$O$249,0,V$252+1)-INDEX($H$249:$O$249,0,V$252))+S263)))</f>
        <v>0</v>
      </c>
      <c r="U263" s="3" cm="1">
        <f t="array" ref="U263">IF(W$252=-1,V263,IF(W$252=99,T263,IF(W$252=0,INDEX($H256:$O256,0,W$250),(INDEX($H256:$O256,0,W$252+1)-INDEX($H256:$O256,0,W$252))/(INDEX($H$249:$O$249,0,W$252+1)-INDEX($H$249:$O$249,0,W$252))+T263)))</f>
        <v>0</v>
      </c>
      <c r="V263" s="3" cm="1">
        <f t="array" ref="V263">IF(X$252=-1,W263,IF(X$252=99,U263,IF(X$252=0,INDEX($H256:$O256,0,X$250),(INDEX($H256:$O256,0,X$252+1)-INDEX($H256:$O256,0,X$252))/(INDEX($H$249:$O$249,0,X$252+1)-INDEX($H$249:$O$249,0,X$252))+U263)))</f>
        <v>0.1892097123929837</v>
      </c>
      <c r="W263" s="3" cm="1">
        <f t="array" ref="W263">IF(Y$252=-1,X263,IF(Y$252=99,V263,IF(Y$252=0,INDEX($H256:$O256,0,Y$250),(INDEX($H256:$O256,0,Y$252+1)-INDEX($H256:$O256,0,Y$252))/(INDEX($H$249:$O$249,0,Y$252+1)-INDEX($H$249:$O$249,0,Y$252))+V263)))</f>
        <v>0.37841942478596741</v>
      </c>
      <c r="X263" s="3" cm="1">
        <f t="array" ref="X263">IF(Z$252=-1,Y263,IF(Z$252=99,W263,IF(Z$252=0,INDEX($H256:$O256,0,Z$250),(INDEX($H256:$O256,0,Z$252+1)-INDEX($H256:$O256,0,Z$252))/(INDEX($H$249:$O$249,0,Z$252+1)-INDEX($H$249:$O$249,0,Z$252))+W263)))</f>
        <v>0.56762913717895114</v>
      </c>
      <c r="Y263" s="3" cm="1">
        <f t="array" ref="Y263">IF(AA$252=-1,Z263,IF(AA$252=99,X263,IF(AA$252=0,INDEX($H256:$O256,0,AA$250),(INDEX($H256:$O256,0,AA$252+1)-INDEX($H256:$O256,0,AA$252))/(INDEX($H$249:$O$249,0,AA$252+1)-INDEX($H$249:$O$249,0,AA$252))+X263)))</f>
        <v>0.56166808309619265</v>
      </c>
      <c r="Z263" s="3" cm="1">
        <f t="array" ref="Z263">IF(AD$252=-1,AA263,IF(AD$252=99,Y263,IF(AD$252=0,INDEX($H256:$O256,0,AD$250),(INDEX($H256:$O256,0,AD$252+1)-INDEX($H256:$O256,0,AD$252))/(INDEX($H$249:$O$249,0,AD$252+1)-INDEX($H$249:$O$249,0,AD$252))+Y263)))</f>
        <v>0.55570702901343416</v>
      </c>
      <c r="AA263" s="3" cm="1">
        <f t="array" ref="AA263">IF(AE$252=-1,AD263,IF(AE$252=99,Z263,IF(AE$252=0,INDEX($H256:$O256,0,AE$250),(INDEX($H256:$O256,0,AE$252+1)-INDEX($H256:$O256,0,AE$252))/(INDEX($H$249:$O$249,0,AE$252+1)-INDEX($H$249:$O$249,0,AE$252))+Z263)))</f>
        <v>0.54974597493067567</v>
      </c>
      <c r="AB263" s="3" cm="1">
        <f t="array" ref="AB263">IF(AE$252=-1,AD263,IF(AE$252=99,Z263,IF(AE$252=0,INDEX($H256:$O256,0,AE$250),(INDEX($H256:$O256,0,AE$252+1)-INDEX($H256:$O256,0,AE$252))/(INDEX($H$249:$O$249,0,AE$252+1)-INDEX($H$249:$O$249,0,AE$252))+Z263)))</f>
        <v>0.54974597493067567</v>
      </c>
      <c r="AC263" s="3" cm="1">
        <f t="array" ref="AC263">IF(AE$252=-1,AD263,IF(AE$252=99,Z263,IF(AE$252=0,INDEX($H256:$O256,0,AE$250),(INDEX($H256:$O256,0,AE$252+1)-INDEX($H256:$O256,0,AE$252))/(INDEX($H$249:$O$249,0,AE$252+1)-INDEX($H$249:$O$249,0,AE$252))+Z263)))</f>
        <v>0.54974597493067567</v>
      </c>
      <c r="AD263" s="3" cm="1">
        <f t="array" ref="AD263">IF(AF$252=-1,AE263,IF(AF$252=99,AA263,IF(AF$252=0,INDEX($H256:$O256,0,AF$250),(INDEX($H256:$O256,0,AF$252+1)-INDEX($H256:$O256,0,AF$252))/(INDEX($H$249:$O$249,0,AF$252+1)-INDEX($H$249:$O$249,0,AF$252))+AA263)))</f>
        <v>0.54378492084791719</v>
      </c>
      <c r="AE263" s="3" cm="1">
        <f t="array" ref="AE263">IF(AG$252=-1,AF263,IF(AG$252=99,AD263,IF(AG$252=0,INDEX($H256:$O256,0,AG$250),(INDEX($H256:$O256,0,AG$252+1)-INDEX($H256:$O256,0,AG$252))/(INDEX($H$249:$O$249,0,AG$252+1)-INDEX($H$249:$O$249,0,AG$252))+AD263)))</f>
        <v>0.5378238667651587</v>
      </c>
      <c r="AF263" s="3" cm="1">
        <f t="array" ref="AF263">IF(AH$252=-1,AG263,IF(AH$252=99,AE263,IF(AH$252=0,INDEX($H256:$O256,0,AH$250),(INDEX($H256:$O256,0,AH$252+1)-INDEX($H256:$O256,0,AH$252))/(INDEX($H$249:$O$249,0,AH$252+1)-INDEX($H$249:$O$249,0,AH$252))+AE263)))</f>
        <v>0.53186281268240021</v>
      </c>
      <c r="AG263" s="3" cm="1">
        <f t="array" ref="AG263">IF(AI$252=-1,AH263,IF(AI$252=99,AF263,IF(AI$252=0,INDEX($H256:$O256,0,AI$250),(INDEX($H256:$O256,0,AI$252+1)-INDEX($H256:$O256,0,AI$252))/(INDEX($H$249:$O$249,0,AI$252+1)-INDEX($H$249:$O$249,0,AI$252))+AF263)))</f>
        <v>0.52590175859964172</v>
      </c>
      <c r="AH263" s="3" cm="1">
        <f t="array" ref="AH263">IF(AJ$252=-1,AI263,IF(AJ$252=99,AG263,IF(AJ$252=0,INDEX($H256:$O256,0,AJ$250),(INDEX($H256:$O256,0,AJ$252+1)-INDEX($H256:$O256,0,AJ$252))/(INDEX($H$249:$O$249,0,AJ$252+1)-INDEX($H$249:$O$249,0,AJ$252))+AG263)))</f>
        <v>0.51994070451688323</v>
      </c>
      <c r="AI263" s="3" cm="1">
        <f t="array" ref="AI263">IF(AK$252=-1,AJ263,IF(AK$252=99,AH263,IF(AK$252=0,INDEX($H256:$O256,0,AK$250),(INDEX($H256:$O256,0,AK$252+1)-INDEX($H256:$O256,0,AK$252))/(INDEX($H$249:$O$249,0,AK$252+1)-INDEX($H$249:$O$249,0,AK$252))+AH263)))</f>
        <v>0.51397965043412475</v>
      </c>
      <c r="AJ263" s="3" cm="1">
        <f t="array" ref="AJ263">IF(AL$252=-1,AK263,IF(AL$252=99,AI263,IF(AL$252=0,INDEX($H256:$O256,0,AL$250),(INDEX($H256:$O256,0,AL$252+1)-INDEX($H256:$O256,0,AL$252))/(INDEX($H$249:$O$249,0,AL$252+1)-INDEX($H$249:$O$249,0,AL$252))+AI263)))</f>
        <v>0.50801859635136615</v>
      </c>
      <c r="AK263" s="3" cm="1">
        <f t="array" ref="AK263">IF(AO$252=-1,AL263,IF(AO$252=99,AJ263,IF(AO$252=0,INDEX($H256:$O256,0,AO$250),(INDEX($H256:$O256,0,AO$252+1)-INDEX($H256:$O256,0,AO$252))/(INDEX($H$249:$O$249,0,AO$252+1)-INDEX($H$249:$O$249,0,AO$252))+AJ263)))</f>
        <v>0.50801859635136615</v>
      </c>
      <c r="AL263" s="3" cm="1">
        <f t="array" ref="AL263">IF(AP$252=-1,AO263,IF(AP$252=99,AK263,IF(AP$252=0,INDEX($H256:$O256,0,AP$250),(INDEX($H256:$O256,0,AP$252+1)-INDEX($H256:$O256,0,AP$252))/(INDEX($H$249:$O$249,0,AP$252+1)-INDEX($H$249:$O$249,0,AP$252))+AK263)))</f>
        <v>0.50801859635136615</v>
      </c>
      <c r="AM263" s="3" cm="1">
        <f t="array" ref="AM263">IF(AP$252=-1,AO263,IF(AP$252=99,AK263,IF(AP$252=0,INDEX($H256:$O256,0,AP$250),(INDEX($H256:$O256,0,AP$252+1)-INDEX($H256:$O256,0,AP$252))/(INDEX($H$249:$O$249,0,AP$252+1)-INDEX($H$249:$O$249,0,AP$252))+AK263)))</f>
        <v>0.50801859635136615</v>
      </c>
      <c r="AN263" s="3" cm="1">
        <f t="array" ref="AN263">IF(AP$252=-1,AO263,IF(AP$252=99,AK263,IF(AP$252=0,INDEX($H256:$O256,0,AP$250),(INDEX($H256:$O256,0,AP$252+1)-INDEX($H256:$O256,0,AP$252))/(INDEX($H$249:$O$249,0,AP$252+1)-INDEX($H$249:$O$249,0,AP$252))+AK263)))</f>
        <v>0.50801859635136615</v>
      </c>
      <c r="AO263" s="3" cm="1">
        <f t="array" ref="AO263">IF(AQ$252=-1,AP263,IF(AQ$252=99,AL263,IF(AQ$252=0,INDEX($H256:$O256,0,AQ$250),(INDEX($H256:$O256,0,AQ$252+1)-INDEX($H256:$O256,0,AQ$252))/(INDEX($H$249:$O$249,0,AQ$252+1)-INDEX($H$249:$O$249,0,AQ$252))+AL263)))</f>
        <v>0.50801859635136615</v>
      </c>
      <c r="AP263" s="3" cm="1">
        <f t="array" ref="AP263">IF(AR$252=-1,AQ263,IF(AR$252=99,AO263,IF(AR$252=0,INDEX($H256:$O256,0,AR$250),(INDEX($H256:$O256,0,AR$252+1)-INDEX($H256:$O256,0,AR$252))/(INDEX($H$249:$O$249,0,AR$252+1)-INDEX($H$249:$O$249,0,AR$252))+AO263)))</f>
        <v>0.50801859635136615</v>
      </c>
      <c r="AQ263" s="3" cm="1">
        <f t="array" ref="AQ263">IF(AS$252=-1,AR263,IF(AS$252=99,AP263,IF(AS$252=0,INDEX($H256:$O256,0,AS$250),(INDEX($H256:$O256,0,AS$252+1)-INDEX($H256:$O256,0,AS$252))/(INDEX($H$249:$O$249,0,AS$252+1)-INDEX($H$249:$O$249,0,AS$252))+AP263)))</f>
        <v>0.50801859635136615</v>
      </c>
      <c r="AR263" s="3" cm="1">
        <f t="array" ref="AR263">IF(AT$252=-1,AS263,IF(AT$252=99,AQ263,IF(AT$252=0,INDEX($H256:$O256,0,AT$250),(INDEX($H256:$O256,0,AT$252+1)-INDEX($H256:$O256,0,AT$252))/(INDEX($H$249:$O$249,0,AT$252+1)-INDEX($H$249:$O$249,0,AT$252))+AQ263)))</f>
        <v>0.50801859635136615</v>
      </c>
      <c r="AS263" s="3" cm="1">
        <f t="array" ref="AS263">IF(AV$252=-1,AT263,IF(AV$252=99,AR263,IF(AV$252=0,INDEX($H256:$O256,0,AV$250),(INDEX($H256:$O256,0,AV$252+1)-INDEX($H256:$O256,0,AV$252))/(INDEX($H$249:$O$249,0,AV$252+1)-INDEX($H$249:$O$249,0,AV$252))+AR263)))</f>
        <v>0.50801859635136615</v>
      </c>
      <c r="AT263" s="3" cm="1">
        <f t="array" ref="AT263">IF(AX$252=-1,AV263,IF(AX$252=99,AS263,IF(AX$252=0,INDEX($H256:$O256,0,AX$250),(INDEX($H256:$O256,0,AX$252+1)-INDEX($H256:$O256,0,AX$252))/(INDEX($H$249:$O$249,0,AX$252+1)-INDEX($H$249:$O$249,0,AX$252))+AS263)))</f>
        <v>0.50801859635136615</v>
      </c>
      <c r="AU263" s="3" cm="1">
        <f t="array" ref="AU263">IF(AX$252=-1,AW263,IF(AX$252=99,AS263,IF(AX$252=0,INDEX($H256:$O256,0,AX$250),(INDEX($H256:$O256,0,AX$252+1)-INDEX($H256:$O256,0,AX$252))/(INDEX($H$249:$O$249,0,AX$252+1)-INDEX($H$249:$O$249,0,AX$252))+AS263)))</f>
        <v>0.50801859635136615</v>
      </c>
      <c r="AV263" s="3" cm="1">
        <f t="array" ref="AV263">IF(AY$252=-1,AX263,IF(AY$252=99,AT263,IF(AY$252=0,INDEX($H256:$O256,0,AY$250),(INDEX($H256:$O256,0,AY$252+1)-INDEX($H256:$O256,0,AY$252))/(INDEX($H$249:$O$249,0,AY$252+1)-INDEX($H$249:$O$249,0,AY$252))+AT263)))</f>
        <v>0.50801859635136615</v>
      </c>
      <c r="AW263" s="3" cm="1">
        <f t="array" ref="AW263">IF(AZ$252=-1,AY263,IF(AZ$252=99,AV263,IF(AZ$252=0,INDEX($H256:$O256,0,AZ$250),(INDEX($H256:$O256,0,AZ$252+1)-INDEX($H256:$O256,0,AZ$252))/(INDEX($H$249:$O$249,0,AZ$252+1)-INDEX($H$249:$O$249,0,AZ$252))+AV263)))</f>
        <v>0.50801859635136615</v>
      </c>
      <c r="AX263" s="3" cm="1">
        <f t="array" ref="AX263">IF(AZ$252=-1,AY263,IF(AZ$252=99,AV263,IF(AZ$252=0,INDEX($H256:$O256,0,AZ$250),(INDEX($H256:$O256,0,AZ$252+1)-INDEX($H256:$O256,0,AZ$252))/(INDEX($H$249:$O$249,0,AZ$252+1)-INDEX($H$249:$O$249,0,AZ$252))+AV263)))</f>
        <v>0.50801859635136615</v>
      </c>
      <c r="AY263" s="3" cm="1">
        <f t="array" ref="AY263">IF(BA$252=-1,AZ263,IF(BA$252=99,AX263,IF(BA$252=0,INDEX($H256:$O256,0,BA$250),(INDEX($H256:$O256,0,BA$252+1)-INDEX($H256:$O256,0,BA$252))/(INDEX($H$249:$O$249,0,BA$252+1)-INDEX($H$249:$O$249,0,BA$252))+AX263)))</f>
        <v>0.50801859635136615</v>
      </c>
      <c r="AZ263" s="3" cm="1">
        <f t="array" ref="AZ263">IF(BB$252=-1,BA263,IF(BB$252=99,AY263,IF(BB$252=0,INDEX($H256:$O256,0,BB$250),(INDEX($H256:$O256,0,BB$252+1)-INDEX($H256:$O256,0,BB$252))/(INDEX($H$249:$O$249,0,BB$252+1)-INDEX($H$249:$O$249,0,BB$252))+AY263)))</f>
        <v>0.50801859635136615</v>
      </c>
      <c r="BA263" s="3" cm="1">
        <f t="array" ref="BA263">IF(BC$252=-1,BB263,IF(BC$252=99,AZ263,IF(BC$252=0,INDEX($H256:$O256,0,BC$250),(INDEX($H256:$O256,0,BC$252+1)-INDEX($H256:$O256,0,BC$252))/(INDEX($H$249:$O$249,0,BC$252+1)-INDEX($H$249:$O$249,0,BC$252))+AZ263)))</f>
        <v>0.50801859635136615</v>
      </c>
      <c r="BB263" s="3" cm="1">
        <f t="array" ref="BB263">IF(BD$252=-1,BC263,IF(BD$252=99,BA263,IF(BD$252=0,INDEX($H256:$O256,0,BD$250),(INDEX($H256:$O256,0,BD$252+1)-INDEX($H256:$O256,0,BD$252))/(INDEX($H$249:$O$249,0,BD$252+1)-INDEX($H$249:$O$249,0,BD$252))+BA263)))</f>
        <v>0.50801859635136615</v>
      </c>
      <c r="BC263" s="3" cm="1">
        <f t="array" ref="BC263">IF(BE$252=-1,BD263,IF(BE$252=99,BB263,IF(BE$252=0,INDEX($H256:$O256,0,BE$250),(INDEX($H256:$O256,0,BE$252+1)-INDEX($H256:$O256,0,BE$252))/(INDEX($H$249:$O$249,0,BE$252+1)-INDEX($H$249:$O$249,0,BE$252))+BB263)))</f>
        <v>0.50801859635136615</v>
      </c>
      <c r="BD263" s="3" cm="1">
        <f t="array" ref="BD263">IF(BF$252=-1,BI263,IF(BF$252=99,BC263,IF(BF$252=0,INDEX($H256:$O256,0,BF$250),(INDEX($H256:$O256,0,BF$252+1)-INDEX($H256:$O256,0,BF$252))/(INDEX($H$249:$O$249,0,BF$252+1)-INDEX($H$249:$O$249,0,BF$252))+BC263)))</f>
        <v>0.50801859635136615</v>
      </c>
      <c r="BE263" s="3" cm="1">
        <f t="array" ref="BE263">IF(BG$252=-1,BJ263,IF(BG$252=99,BD263,IF(BG$252=0,INDEX($H256:$O256,0,BG$250),(INDEX($H256:$O256,0,BG$252+1)-INDEX($H256:$O256,0,BG$252))/(INDEX($H$249:$O$249,0,BG$252+1)-INDEX($H$249:$O$249,0,BG$252))+BD263)))</f>
        <v>0.50801859635136615</v>
      </c>
      <c r="BF263" s="3" cm="1">
        <f t="array" ref="BF263">IF(BH$252=-1,BK263,IF(BH$252=99,BE263,IF(BH$252=0,INDEX($H256:$O256,0,BH$250),(INDEX($H256:$O256,0,BH$252+1)-INDEX($H256:$O256,0,BH$252))/(INDEX($H$249:$O$249,0,BH$252+1)-INDEX($H$249:$O$249,0,BH$252))+BE263)))</f>
        <v>0.50801859635136615</v>
      </c>
      <c r="BG263" s="3" cm="1">
        <f t="array" ref="BG263">IF(BI$252=-1,BL263,IF(BI$252=99,BF263,IF(BI$252=0,INDEX($H256:$O256,0,BI$250),(INDEX($H256:$O256,0,BI$252+1)-INDEX($H256:$O256,0,BI$252))/(INDEX($H$249:$O$249,0,BI$252+1)-INDEX($H$249:$O$249,0,BI$252))+BF263)))</f>
        <v>0.50801859635136615</v>
      </c>
      <c r="BH263" s="3" cm="1">
        <f t="array" ref="BH263">IF(BJ$252=-1,BM263,IF(BJ$252=99,BG263,IF(BJ$252=0,INDEX($H256:$O256,0,BJ$250),(INDEX($H256:$O256,0,BJ$252+1)-INDEX($H256:$O256,0,BJ$252))/(INDEX($H$249:$O$249,0,BJ$252+1)-INDEX($H$249:$O$249,0,BJ$252))+BG263)))</f>
        <v>0.50801859635136615</v>
      </c>
      <c r="BI263" s="3" cm="1">
        <f t="array" ref="BI263">IF(BK$252=-1,BN263,IF(BK$252=99,BH263,IF(BK$252=0,INDEX($H256:$O256,0,BK$250),(INDEX($H256:$O256,0,BK$252+1)-INDEX($H256:$O256,0,BK$252))/(INDEX($H$249:$O$249,0,BK$252+1)-INDEX($H$249:$O$249,0,BK$252))+BH263)))</f>
        <v>0.50801859635136615</v>
      </c>
      <c r="BJ263" s="3" cm="1">
        <f t="array" ref="BJ263">IF(BH$252=-1,BL263,IF(BH$252=99,BI263,IF(BH$252=0,INDEX($H256:$O256,0,BH$250),(INDEX($H256:$O256,0,BH$252+1)-INDEX($H256:$O256,0,BH$252))/(INDEX($H$249:$O$249,0,BH$252+1)-INDEX($H$249:$O$249,0,BH$252))+BI263)))</f>
        <v>0.50801859635136615</v>
      </c>
      <c r="BK263" s="3" cm="1">
        <f t="array" ref="BK263">IF(BI$252=-1,BM263,IF(BI$252=99,BJ263,IF(BI$252=0,INDEX($H256:$O256,0,BI$250),(INDEX($H256:$O256,0,BI$252+1)-INDEX($H256:$O256,0,BI$252))/(INDEX($H$249:$O$249,0,BI$252+1)-INDEX($H$249:$O$249,0,BI$252))+BJ263)))</f>
        <v>0.50801859635136615</v>
      </c>
      <c r="BL263" s="3" cm="1">
        <f t="array" ref="BL263">IF(BJ$252=-1,BN263,IF(BJ$252=99,BK263,IF(BJ$252=0,INDEX($H256:$O256,0,BJ$250),(INDEX($H256:$O256,0,BJ$252+1)-INDEX($H256:$O256,0,BJ$252))/(INDEX($H$249:$O$249,0,BJ$252+1)-INDEX($H$249:$O$249,0,BJ$252))+BK263)))</f>
        <v>0.50801859635136615</v>
      </c>
      <c r="BM263" s="3" cm="1">
        <f t="array" ref="BM263">IF(BK$252=-1,BO263,IF(BK$252=99,BL263,IF(BK$252=0,INDEX($H256:$O256,0,BK$250),(INDEX($H256:$O256,0,BK$252+1)-INDEX($H256:$O256,0,BK$252))/(INDEX($H$249:$O$249,0,BK$252+1)-INDEX($H$249:$O$249,0,BK$252))+BL263)))</f>
        <v>0.50801859635136615</v>
      </c>
      <c r="BN263" s="3" cm="1">
        <f t="array" ref="BN263">IF(BL$252=-1,BP263,IF(BL$252=99,BM263,IF(BL$252=0,INDEX($H256:$O256,0,BL$250),(INDEX($H256:$O256,0,BL$252+1)-INDEX($H256:$O256,0,BL$252))/(INDEX($H$249:$O$249,0,BL$252+1)-INDEX($H$249:$O$249,0,BL$252))+BM263)))</f>
        <v>0.50801859635136615</v>
      </c>
      <c r="BO263" s="3" cm="1">
        <f t="array" ref="BO263">IF(BM$252=-1,BQ263,IF(BM$252=99,BN263,IF(BM$252=0,INDEX($H256:$O256,0,BM$250),(INDEX($H256:$O256,0,BM$252+1)-INDEX($H256:$O256,0,BM$252))/(INDEX($H$249:$O$249,0,BM$252+1)-INDEX($H$249:$O$249,0,BM$252))+BN263)))</f>
        <v>0.50801859635136615</v>
      </c>
      <c r="BP263" s="3" cm="1">
        <f t="array" ref="BP263">IF(BN$252=-1,BR263,IF(BN$252=99,BO263,IF(BN$252=0,INDEX($H256:$O256,0,BN$250),(INDEX($H256:$O256,0,BN$252+1)-INDEX($H256:$O256,0,BN$252))/(INDEX($H$249:$O$249,0,BN$252+1)-INDEX($H$249:$O$249,0,BN$252))+BO263)))</f>
        <v>0.50801859635136615</v>
      </c>
    </row>
    <row r="264" spans="5:68">
      <c r="E264" t="s">
        <v>16</v>
      </c>
      <c r="I264" t="s">
        <v>426</v>
      </c>
      <c r="J264" t="s">
        <v>426</v>
      </c>
      <c r="K264" t="str">
        <f>K261</f>
        <v>medium income</v>
      </c>
      <c r="L264" s="3" t="s">
        <v>423</v>
      </c>
      <c r="M264" t="str">
        <f>M261</f>
        <v>hhd-me</v>
      </c>
      <c r="N264" s="3" t="e">
        <f t="shared" si="572"/>
        <v>#REF!</v>
      </c>
      <c r="O264" s="3" cm="1">
        <f t="array" ref="O264">IF(S$252=-1,P264,IF(S$252=99,N264,IF(S$252=0,INDEX($H257:$O257,0,S$250),(INDEX($H257:$O257,0,S$252+1)-INDEX($H257:$O257,0,S$252))/(INDEX($H$249:$O$249,0,S$252+1)-INDEX($H$249:$O$249,0,S$252))+N264)))</f>
        <v>0</v>
      </c>
      <c r="P264" s="3" cm="1">
        <f t="array" ref="P264">IF(T$252=-1,S264,IF(T$252=99,O264,IF(T$252=0,INDEX($H257:$O257,0,T$250),(INDEX($H257:$O257,0,T$252+1)-INDEX($H257:$O257,0,T$252))/(INDEX($H$249:$O$249,0,T$252+1)-INDEX($H$249:$O$249,0,T$252))+O264)))</f>
        <v>0</v>
      </c>
      <c r="Q264" s="3" cm="1">
        <f t="array" ref="Q264">IF(T$252=-1,S264,IF(T$252=99,O264,IF(T$252=0,INDEX($H257:$O257,0,T$250),(INDEX($H257:$O257,0,T$252+1)-INDEX($H257:$O257,0,T$252))/(INDEX($H$249:$O$249,0,T$252+1)-INDEX($H$249:$O$249,0,T$252))+O264)))</f>
        <v>0</v>
      </c>
      <c r="R264" s="3" cm="1">
        <f t="array" ref="R264">IF(T$252=-1,S264,IF(T$252=99,O264,IF(T$252=0,INDEX($H257:$O257,0,T$250),(INDEX($H257:$O257,0,T$252+1)-INDEX($H257:$O257,0,T$252))/(INDEX($H$249:$O$249,0,T$252+1)-INDEX($H$249:$O$249,0,T$252))+O264)))</f>
        <v>0</v>
      </c>
      <c r="S264" s="3" cm="1">
        <f t="array" ref="S264">IF(U$252=-1,T264,IF(U$252=99,P264,IF(U$252=0,INDEX($H257:$O257,0,U$250),(INDEX($H257:$O257,0,U$252+1)-INDEX($H257:$O257,0,U$252))/(INDEX($H$249:$O$249,0,U$252+1)-INDEX($H$249:$O$249,0,U$252))+P264)))</f>
        <v>0</v>
      </c>
      <c r="T264" s="3" cm="1">
        <f t="array" ref="T264">IF(V$252=-1,U264,IF(V$252=99,S264,IF(V$252=0,INDEX($H257:$O257,0,V$250),(INDEX($H257:$O257,0,V$252+1)-INDEX($H257:$O257,0,V$252))/(INDEX($H$249:$O$249,0,V$252+1)-INDEX($H$249:$O$249,0,V$252))+S264)))</f>
        <v>0</v>
      </c>
      <c r="U264" s="3" cm="1">
        <f t="array" ref="U264">IF(W$252=-1,V264,IF(W$252=99,T264,IF(W$252=0,INDEX($H257:$O257,0,W$250),(INDEX($H257:$O257,0,W$252+1)-INDEX($H257:$O257,0,W$252))/(INDEX($H$249:$O$249,0,W$252+1)-INDEX($H$249:$O$249,0,W$252))+T264)))</f>
        <v>0</v>
      </c>
      <c r="V264" s="3" cm="1">
        <f t="array" ref="V264">IF(X$252=-1,W264,IF(X$252=99,U264,IF(X$252=0,INDEX($H257:$O257,0,X$250),(INDEX($H257:$O257,0,X$252+1)-INDEX($H257:$O257,0,X$252))/(INDEX($H$249:$O$249,0,X$252+1)-INDEX($H$249:$O$249,0,X$252))+U264)))</f>
        <v>0.10274697455524125</v>
      </c>
      <c r="W264" s="3" cm="1">
        <f t="array" ref="W264">IF(Y$252=-1,X264,IF(Y$252=99,V264,IF(Y$252=0,INDEX($H257:$O257,0,Y$250),(INDEX($H257:$O257,0,Y$252+1)-INDEX($H257:$O257,0,Y$252))/(INDEX($H$249:$O$249,0,Y$252+1)-INDEX($H$249:$O$249,0,Y$252))+V264)))</f>
        <v>0.20549394911048249</v>
      </c>
      <c r="X264" s="3" cm="1">
        <f t="array" ref="X264">IF(Z$252=-1,Y264,IF(Z$252=99,W264,IF(Z$252=0,INDEX($H257:$O257,0,Z$250),(INDEX($H257:$O257,0,Z$252+1)-INDEX($H257:$O257,0,Z$252))/(INDEX($H$249:$O$249,0,Z$252+1)-INDEX($H$249:$O$249,0,Z$252))+W264)))</f>
        <v>0.30824092366572375</v>
      </c>
      <c r="Y264" s="3" cm="1">
        <f t="array" ref="Y264">IF(AA$252=-1,Z264,IF(AA$252=99,X264,IF(AA$252=0,INDEX($H257:$O257,0,AA$250),(INDEX($H257:$O257,0,AA$252+1)-INDEX($H257:$O257,0,AA$252))/(INDEX($H$249:$O$249,0,AA$252+1)-INDEX($H$249:$O$249,0,AA$252))+X264)))</f>
        <v>0.30928643447898052</v>
      </c>
      <c r="Z264" s="3" cm="1">
        <f t="array" ref="Z264">IF(AD$252=-1,AA264,IF(AD$252=99,Y264,IF(AD$252=0,INDEX($H257:$O257,0,AD$250),(INDEX($H257:$O257,0,AD$252+1)-INDEX($H257:$O257,0,AD$252))/(INDEX($H$249:$O$249,0,AD$252+1)-INDEX($H$249:$O$249,0,AD$252))+Y264)))</f>
        <v>0.31033194529223729</v>
      </c>
      <c r="AA264" s="3" cm="1">
        <f t="array" ref="AA264">IF(AE$252=-1,AD264,IF(AE$252=99,Z264,IF(AE$252=0,INDEX($H257:$O257,0,AE$250),(INDEX($H257:$O257,0,AE$252+1)-INDEX($H257:$O257,0,AE$252))/(INDEX($H$249:$O$249,0,AE$252+1)-INDEX($H$249:$O$249,0,AE$252))+Z264)))</f>
        <v>0.31137745610549405</v>
      </c>
      <c r="AB264" s="3" cm="1">
        <f t="array" ref="AB264">IF(AE$252=-1,AD264,IF(AE$252=99,Z264,IF(AE$252=0,INDEX($H257:$O257,0,AE$250),(INDEX($H257:$O257,0,AE$252+1)-INDEX($H257:$O257,0,AE$252))/(INDEX($H$249:$O$249,0,AE$252+1)-INDEX($H$249:$O$249,0,AE$252))+Z264)))</f>
        <v>0.31137745610549405</v>
      </c>
      <c r="AC264" s="3" cm="1">
        <f t="array" ref="AC264">IF(AE$252=-1,AD264,IF(AE$252=99,Z264,IF(AE$252=0,INDEX($H257:$O257,0,AE$250),(INDEX($H257:$O257,0,AE$252+1)-INDEX($H257:$O257,0,AE$252))/(INDEX($H$249:$O$249,0,AE$252+1)-INDEX($H$249:$O$249,0,AE$252))+Z264)))</f>
        <v>0.31137745610549405</v>
      </c>
      <c r="AD264" s="3" cm="1">
        <f t="array" ref="AD264">IF(AF$252=-1,AE264,IF(AF$252=99,AA264,IF(AF$252=0,INDEX($H257:$O257,0,AF$250),(INDEX($H257:$O257,0,AF$252+1)-INDEX($H257:$O257,0,AF$252))/(INDEX($H$249:$O$249,0,AF$252+1)-INDEX($H$249:$O$249,0,AF$252))+AA264)))</f>
        <v>0.31242296691875082</v>
      </c>
      <c r="AE264" s="3" cm="1">
        <f t="array" ref="AE264">IF(AG$252=-1,AF264,IF(AG$252=99,AD264,IF(AG$252=0,INDEX($H257:$O257,0,AG$250),(INDEX($H257:$O257,0,AG$252+1)-INDEX($H257:$O257,0,AG$252))/(INDEX($H$249:$O$249,0,AG$252+1)-INDEX($H$249:$O$249,0,AG$252))+AD264)))</f>
        <v>0.31346847773200759</v>
      </c>
      <c r="AF264" s="3" cm="1">
        <f t="array" ref="AF264">IF(AH$252=-1,AG264,IF(AH$252=99,AE264,IF(AH$252=0,INDEX($H257:$O257,0,AH$250),(INDEX($H257:$O257,0,AH$252+1)-INDEX($H257:$O257,0,AH$252))/(INDEX($H$249:$O$249,0,AH$252+1)-INDEX($H$249:$O$249,0,AH$252))+AE264)))</f>
        <v>0.31451398854526436</v>
      </c>
      <c r="AG264" s="3" cm="1">
        <f t="array" ref="AG264">IF(AI$252=-1,AH264,IF(AI$252=99,AF264,IF(AI$252=0,INDEX($H257:$O257,0,AI$250),(INDEX($H257:$O257,0,AI$252+1)-INDEX($H257:$O257,0,AI$252))/(INDEX($H$249:$O$249,0,AI$252+1)-INDEX($H$249:$O$249,0,AI$252))+AF264)))</f>
        <v>0.31555949935852112</v>
      </c>
      <c r="AH264" s="3" cm="1">
        <f t="array" ref="AH264">IF(AJ$252=-1,AI264,IF(AJ$252=99,AG264,IF(AJ$252=0,INDEX($H257:$O257,0,AJ$250),(INDEX($H257:$O257,0,AJ$252+1)-INDEX($H257:$O257,0,AJ$252))/(INDEX($H$249:$O$249,0,AJ$252+1)-INDEX($H$249:$O$249,0,AJ$252))+AG264)))</f>
        <v>0.31660501017177789</v>
      </c>
      <c r="AI264" s="3" cm="1">
        <f t="array" ref="AI264">IF(AK$252=-1,AJ264,IF(AK$252=99,AH264,IF(AK$252=0,INDEX($H257:$O257,0,AK$250),(INDEX($H257:$O257,0,AK$252+1)-INDEX($H257:$O257,0,AK$252))/(INDEX($H$249:$O$249,0,AK$252+1)-INDEX($H$249:$O$249,0,AK$252))+AH264)))</f>
        <v>0.31765052098503466</v>
      </c>
      <c r="AJ264" s="3" cm="1">
        <f t="array" ref="AJ264">IF(AL$252=-1,AK264,IF(AL$252=99,AI264,IF(AL$252=0,INDEX($H257:$O257,0,AL$250),(INDEX($H257:$O257,0,AL$252+1)-INDEX($H257:$O257,0,AL$252))/(INDEX($H$249:$O$249,0,AL$252+1)-INDEX($H$249:$O$249,0,AL$252))+AI264)))</f>
        <v>0.31869603179829115</v>
      </c>
      <c r="AK264" s="3" cm="1">
        <f t="array" ref="AK264">IF(AO$252=-1,AL264,IF(AO$252=99,AJ264,IF(AO$252=0,INDEX($H257:$O257,0,AO$250),(INDEX($H257:$O257,0,AO$252+1)-INDEX($H257:$O257,0,AO$252))/(INDEX($H$249:$O$249,0,AO$252+1)-INDEX($H$249:$O$249,0,AO$252))+AJ264)))</f>
        <v>0.31869603179829115</v>
      </c>
      <c r="AL264" s="3" cm="1">
        <f t="array" ref="AL264">IF(AP$252=-1,AO264,IF(AP$252=99,AK264,IF(AP$252=0,INDEX($H257:$O257,0,AP$250),(INDEX($H257:$O257,0,AP$252+1)-INDEX($H257:$O257,0,AP$252))/(INDEX($H$249:$O$249,0,AP$252+1)-INDEX($H$249:$O$249,0,AP$252))+AK264)))</f>
        <v>0.31869603179829115</v>
      </c>
      <c r="AM264" s="3" cm="1">
        <f t="array" ref="AM264">IF(AP$252=-1,AO264,IF(AP$252=99,AK264,IF(AP$252=0,INDEX($H257:$O257,0,AP$250),(INDEX($H257:$O257,0,AP$252+1)-INDEX($H257:$O257,0,AP$252))/(INDEX($H$249:$O$249,0,AP$252+1)-INDEX($H$249:$O$249,0,AP$252))+AK264)))</f>
        <v>0.31869603179829115</v>
      </c>
      <c r="AN264" s="3" cm="1">
        <f t="array" ref="AN264">IF(AP$252=-1,AO264,IF(AP$252=99,AK264,IF(AP$252=0,INDEX($H257:$O257,0,AP$250),(INDEX($H257:$O257,0,AP$252+1)-INDEX($H257:$O257,0,AP$252))/(INDEX($H$249:$O$249,0,AP$252+1)-INDEX($H$249:$O$249,0,AP$252))+AK264)))</f>
        <v>0.31869603179829115</v>
      </c>
      <c r="AO264" s="3" cm="1">
        <f t="array" ref="AO264">IF(AQ$252=-1,AP264,IF(AQ$252=99,AL264,IF(AQ$252=0,INDEX($H257:$O257,0,AQ$250),(INDEX($H257:$O257,0,AQ$252+1)-INDEX($H257:$O257,0,AQ$252))/(INDEX($H$249:$O$249,0,AQ$252+1)-INDEX($H$249:$O$249,0,AQ$252))+AL264)))</f>
        <v>0.31869603179829115</v>
      </c>
      <c r="AP264" s="3" cm="1">
        <f t="array" ref="AP264">IF(AR$252=-1,AQ264,IF(AR$252=99,AO264,IF(AR$252=0,INDEX($H257:$O257,0,AR$250),(INDEX($H257:$O257,0,AR$252+1)-INDEX($H257:$O257,0,AR$252))/(INDEX($H$249:$O$249,0,AR$252+1)-INDEX($H$249:$O$249,0,AR$252))+AO264)))</f>
        <v>0.31869603179829115</v>
      </c>
      <c r="AQ264" s="3" cm="1">
        <f t="array" ref="AQ264">IF(AS$252=-1,AR264,IF(AS$252=99,AP264,IF(AS$252=0,INDEX($H257:$O257,0,AS$250),(INDEX($H257:$O257,0,AS$252+1)-INDEX($H257:$O257,0,AS$252))/(INDEX($H$249:$O$249,0,AS$252+1)-INDEX($H$249:$O$249,0,AS$252))+AP264)))</f>
        <v>0.31869603179829115</v>
      </c>
      <c r="AR264" s="3" cm="1">
        <f t="array" ref="AR264">IF(AT$252=-1,AS264,IF(AT$252=99,AQ264,IF(AT$252=0,INDEX($H257:$O257,0,AT$250),(INDEX($H257:$O257,0,AT$252+1)-INDEX($H257:$O257,0,AT$252))/(INDEX($H$249:$O$249,0,AT$252+1)-INDEX($H$249:$O$249,0,AT$252))+AQ264)))</f>
        <v>0.31869603179829115</v>
      </c>
      <c r="AS264" s="3" cm="1">
        <f t="array" ref="AS264">IF(AV$252=-1,AT264,IF(AV$252=99,AR264,IF(AV$252=0,INDEX($H257:$O257,0,AV$250),(INDEX($H257:$O257,0,AV$252+1)-INDEX($H257:$O257,0,AV$252))/(INDEX($H$249:$O$249,0,AV$252+1)-INDEX($H$249:$O$249,0,AV$252))+AR264)))</f>
        <v>0.31869603179829115</v>
      </c>
      <c r="AT264" s="3" cm="1">
        <f t="array" ref="AT264">IF(AX$252=-1,AV264,IF(AX$252=99,AS264,IF(AX$252=0,INDEX($H257:$O257,0,AX$250),(INDEX($H257:$O257,0,AX$252+1)-INDEX($H257:$O257,0,AX$252))/(INDEX($H$249:$O$249,0,AX$252+1)-INDEX($H$249:$O$249,0,AX$252))+AS264)))</f>
        <v>0.31869603179829115</v>
      </c>
      <c r="AU264" s="3" cm="1">
        <f t="array" ref="AU264">IF(AX$252=-1,AW264,IF(AX$252=99,AS264,IF(AX$252=0,INDEX($H257:$O257,0,AX$250),(INDEX($H257:$O257,0,AX$252+1)-INDEX($H257:$O257,0,AX$252))/(INDEX($H$249:$O$249,0,AX$252+1)-INDEX($H$249:$O$249,0,AX$252))+AS264)))</f>
        <v>0.31869603179829115</v>
      </c>
      <c r="AV264" s="3" cm="1">
        <f t="array" ref="AV264">IF(AY$252=-1,AX264,IF(AY$252=99,AT264,IF(AY$252=0,INDEX($H257:$O257,0,AY$250),(INDEX($H257:$O257,0,AY$252+1)-INDEX($H257:$O257,0,AY$252))/(INDEX($H$249:$O$249,0,AY$252+1)-INDEX($H$249:$O$249,0,AY$252))+AT264)))</f>
        <v>0.31869603179829115</v>
      </c>
      <c r="AW264" s="3" cm="1">
        <f t="array" ref="AW264">IF(AZ$252=-1,AY264,IF(AZ$252=99,AV264,IF(AZ$252=0,INDEX($H257:$O257,0,AZ$250),(INDEX($H257:$O257,0,AZ$252+1)-INDEX($H257:$O257,0,AZ$252))/(INDEX($H$249:$O$249,0,AZ$252+1)-INDEX($H$249:$O$249,0,AZ$252))+AV264)))</f>
        <v>0.31869603179829115</v>
      </c>
      <c r="AX264" s="3" cm="1">
        <f t="array" ref="AX264">IF(AZ$252=-1,AY264,IF(AZ$252=99,AV264,IF(AZ$252=0,INDEX($H257:$O257,0,AZ$250),(INDEX($H257:$O257,0,AZ$252+1)-INDEX($H257:$O257,0,AZ$252))/(INDEX($H$249:$O$249,0,AZ$252+1)-INDEX($H$249:$O$249,0,AZ$252))+AV264)))</f>
        <v>0.31869603179829115</v>
      </c>
      <c r="AY264" s="3" cm="1">
        <f t="array" ref="AY264">IF(BA$252=-1,AZ264,IF(BA$252=99,AX264,IF(BA$252=0,INDEX($H257:$O257,0,BA$250),(INDEX($H257:$O257,0,BA$252+1)-INDEX($H257:$O257,0,BA$252))/(INDEX($H$249:$O$249,0,BA$252+1)-INDEX($H$249:$O$249,0,BA$252))+AX264)))</f>
        <v>0.31869603179829115</v>
      </c>
      <c r="AZ264" s="3" cm="1">
        <f t="array" ref="AZ264">IF(BB$252=-1,BA264,IF(BB$252=99,AY264,IF(BB$252=0,INDEX($H257:$O257,0,BB$250),(INDEX($H257:$O257,0,BB$252+1)-INDEX($H257:$O257,0,BB$252))/(INDEX($H$249:$O$249,0,BB$252+1)-INDEX($H$249:$O$249,0,BB$252))+AY264)))</f>
        <v>0.31869603179829115</v>
      </c>
      <c r="BA264" s="3" cm="1">
        <f t="array" ref="BA264">IF(BC$252=-1,BB264,IF(BC$252=99,AZ264,IF(BC$252=0,INDEX($H257:$O257,0,BC$250),(INDEX($H257:$O257,0,BC$252+1)-INDEX($H257:$O257,0,BC$252))/(INDEX($H$249:$O$249,0,BC$252+1)-INDEX($H$249:$O$249,0,BC$252))+AZ264)))</f>
        <v>0.31869603179829115</v>
      </c>
      <c r="BB264" s="3" cm="1">
        <f t="array" ref="BB264">IF(BD$252=-1,BC264,IF(BD$252=99,BA264,IF(BD$252=0,INDEX($H257:$O257,0,BD$250),(INDEX($H257:$O257,0,BD$252+1)-INDEX($H257:$O257,0,BD$252))/(INDEX($H$249:$O$249,0,BD$252+1)-INDEX($H$249:$O$249,0,BD$252))+BA264)))</f>
        <v>0.31869603179829115</v>
      </c>
      <c r="BC264" s="3" cm="1">
        <f t="array" ref="BC264">IF(BE$252=-1,BD264,IF(BE$252=99,BB264,IF(BE$252=0,INDEX($H257:$O257,0,BE$250),(INDEX($H257:$O257,0,BE$252+1)-INDEX($H257:$O257,0,BE$252))/(INDEX($H$249:$O$249,0,BE$252+1)-INDEX($H$249:$O$249,0,BE$252))+BB264)))</f>
        <v>0.31869603179829115</v>
      </c>
      <c r="BD264" s="3" cm="1">
        <f t="array" ref="BD264">IF(BF$252=-1,BI264,IF(BF$252=99,BC264,IF(BF$252=0,INDEX($H257:$O257,0,BF$250),(INDEX($H257:$O257,0,BF$252+1)-INDEX($H257:$O257,0,BF$252))/(INDEX($H$249:$O$249,0,BF$252+1)-INDEX($H$249:$O$249,0,BF$252))+BC264)))</f>
        <v>0.31869603179829115</v>
      </c>
      <c r="BE264" s="3" cm="1">
        <f t="array" ref="BE264">IF(BG$252=-1,BJ264,IF(BG$252=99,BD264,IF(BG$252=0,INDEX($H257:$O257,0,BG$250),(INDEX($H257:$O257,0,BG$252+1)-INDEX($H257:$O257,0,BG$252))/(INDEX($H$249:$O$249,0,BG$252+1)-INDEX($H$249:$O$249,0,BG$252))+BD264)))</f>
        <v>0.31869603179829115</v>
      </c>
      <c r="BF264" s="3" cm="1">
        <f t="array" ref="BF264">IF(BH$252=-1,BK264,IF(BH$252=99,BE264,IF(BH$252=0,INDEX($H257:$O257,0,BH$250),(INDEX($H257:$O257,0,BH$252+1)-INDEX($H257:$O257,0,BH$252))/(INDEX($H$249:$O$249,0,BH$252+1)-INDEX($H$249:$O$249,0,BH$252))+BE264)))</f>
        <v>0.31869603179829115</v>
      </c>
      <c r="BG264" s="3" cm="1">
        <f t="array" ref="BG264">IF(BI$252=-1,BL264,IF(BI$252=99,BF264,IF(BI$252=0,INDEX($H257:$O257,0,BI$250),(INDEX($H257:$O257,0,BI$252+1)-INDEX($H257:$O257,0,BI$252))/(INDEX($H$249:$O$249,0,BI$252+1)-INDEX($H$249:$O$249,0,BI$252))+BF264)))</f>
        <v>0.31869603179829115</v>
      </c>
      <c r="BH264" s="3" cm="1">
        <f t="array" ref="BH264">IF(BJ$252=-1,BM264,IF(BJ$252=99,BG264,IF(BJ$252=0,INDEX($H257:$O257,0,BJ$250),(INDEX($H257:$O257,0,BJ$252+1)-INDEX($H257:$O257,0,BJ$252))/(INDEX($H$249:$O$249,0,BJ$252+1)-INDEX($H$249:$O$249,0,BJ$252))+BG264)))</f>
        <v>0.31869603179829115</v>
      </c>
      <c r="BI264" s="3" cm="1">
        <f t="array" ref="BI264">IF(BK$252=-1,BN264,IF(BK$252=99,BH264,IF(BK$252=0,INDEX($H257:$O257,0,BK$250),(INDEX($H257:$O257,0,BK$252+1)-INDEX($H257:$O257,0,BK$252))/(INDEX($H$249:$O$249,0,BK$252+1)-INDEX($H$249:$O$249,0,BK$252))+BH264)))</f>
        <v>0.31869603179829115</v>
      </c>
      <c r="BJ264" s="3" cm="1">
        <f t="array" ref="BJ264">IF(BH$252=-1,BL264,IF(BH$252=99,BI264,IF(BH$252=0,INDEX($H257:$O257,0,BH$250),(INDEX($H257:$O257,0,BH$252+1)-INDEX($H257:$O257,0,BH$252))/(INDEX($H$249:$O$249,0,BH$252+1)-INDEX($H$249:$O$249,0,BH$252))+BI264)))</f>
        <v>0.31869603179829115</v>
      </c>
      <c r="BK264" s="3" cm="1">
        <f t="array" ref="BK264">IF(BI$252=-1,BM264,IF(BI$252=99,BJ264,IF(BI$252=0,INDEX($H257:$O257,0,BI$250),(INDEX($H257:$O257,0,BI$252+1)-INDEX($H257:$O257,0,BI$252))/(INDEX($H$249:$O$249,0,BI$252+1)-INDEX($H$249:$O$249,0,BI$252))+BJ264)))</f>
        <v>0.31869603179829115</v>
      </c>
      <c r="BL264" s="3" cm="1">
        <f t="array" ref="BL264">IF(BJ$252=-1,BN264,IF(BJ$252=99,BK264,IF(BJ$252=0,INDEX($H257:$O257,0,BJ$250),(INDEX($H257:$O257,0,BJ$252+1)-INDEX($H257:$O257,0,BJ$252))/(INDEX($H$249:$O$249,0,BJ$252+1)-INDEX($H$249:$O$249,0,BJ$252))+BK264)))</f>
        <v>0.31869603179829115</v>
      </c>
      <c r="BM264" s="3" cm="1">
        <f t="array" ref="BM264">IF(BK$252=-1,BO264,IF(BK$252=99,BL264,IF(BK$252=0,INDEX($H257:$O257,0,BK$250),(INDEX($H257:$O257,0,BK$252+1)-INDEX($H257:$O257,0,BK$252))/(INDEX($H$249:$O$249,0,BK$252+1)-INDEX($H$249:$O$249,0,BK$252))+BL264)))</f>
        <v>0.31869603179829115</v>
      </c>
      <c r="BN264" s="3" cm="1">
        <f t="array" ref="BN264">IF(BL$252=-1,BP264,IF(BL$252=99,BM264,IF(BL$252=0,INDEX($H257:$O257,0,BL$250),(INDEX($H257:$O257,0,BL$252+1)-INDEX($H257:$O257,0,BL$252))/(INDEX($H$249:$O$249,0,BL$252+1)-INDEX($H$249:$O$249,0,BL$252))+BM264)))</f>
        <v>0.31869603179829115</v>
      </c>
      <c r="BO264" s="3" cm="1">
        <f t="array" ref="BO264">IF(BM$252=-1,BQ264,IF(BM$252=99,BN264,IF(BM$252=0,INDEX($H257:$O257,0,BM$250),(INDEX($H257:$O257,0,BM$252+1)-INDEX($H257:$O257,0,BM$252))/(INDEX($H$249:$O$249,0,BM$252+1)-INDEX($H$249:$O$249,0,BM$252))+BN264)))</f>
        <v>0.31869603179829115</v>
      </c>
      <c r="BP264" s="3" cm="1">
        <f t="array" ref="BP264">IF(BN$252=-1,BR264,IF(BN$252=99,BO264,IF(BN$252=0,INDEX($H257:$O257,0,BN$250),(INDEX($H257:$O257,0,BN$252+1)-INDEX($H257:$O257,0,BN$252))/(INDEX($H$249:$O$249,0,BN$252+1)-INDEX($H$249:$O$249,0,BN$252))+BO264)))</f>
        <v>0.31869603179829115</v>
      </c>
    </row>
    <row r="265" spans="5:68">
      <c r="E265" t="s">
        <v>16</v>
      </c>
      <c r="I265" t="s">
        <v>426</v>
      </c>
      <c r="J265" t="s">
        <v>426</v>
      </c>
      <c r="K265" t="str">
        <f>K262</f>
        <v>high income</v>
      </c>
      <c r="L265" s="3" t="s">
        <v>423</v>
      </c>
      <c r="M265" t="str">
        <f>M262</f>
        <v>hhd-he</v>
      </c>
      <c r="N265" s="3" t="e">
        <f t="shared" si="572"/>
        <v>#REF!</v>
      </c>
      <c r="O265" s="3" cm="1">
        <f t="array" ref="O265">IF(S$252=-1,P265,IF(S$252=99,N265,IF(S$252=0,INDEX($H258:$O258,0,S$250),(INDEX($H258:$O258,0,S$252+1)-INDEX($H258:$O258,0,S$252))/(INDEX($H$249:$O$249,0,S$252+1)-INDEX($H$249:$O$249,0,S$252))+N265)))</f>
        <v>0</v>
      </c>
      <c r="P265" s="3" cm="1">
        <f t="array" ref="P265">IF(T$252=-1,S265,IF(T$252=99,O265,IF(T$252=0,INDEX($H258:$O258,0,T$250),(INDEX($H258:$O258,0,T$252+1)-INDEX($H258:$O258,0,T$252))/(INDEX($H$249:$O$249,0,T$252+1)-INDEX($H$249:$O$249,0,T$252))+O265)))</f>
        <v>0</v>
      </c>
      <c r="Q265" s="3" cm="1">
        <f t="array" ref="Q265">IF(T$252=-1,S265,IF(T$252=99,O265,IF(T$252=0,INDEX($H258:$O258,0,T$250),(INDEX($H258:$O258,0,T$252+1)-INDEX($H258:$O258,0,T$252))/(INDEX($H$249:$O$249,0,T$252+1)-INDEX($H$249:$O$249,0,T$252))+O265)))</f>
        <v>0</v>
      </c>
      <c r="R265" s="3" cm="1">
        <f t="array" ref="R265">IF(T$252=-1,S265,IF(T$252=99,O265,IF(T$252=0,INDEX($H258:$O258,0,T$250),(INDEX($H258:$O258,0,T$252+1)-INDEX($H258:$O258,0,T$252))/(INDEX($H$249:$O$249,0,T$252+1)-INDEX($H$249:$O$249,0,T$252))+O265)))</f>
        <v>0</v>
      </c>
      <c r="S265" s="3" cm="1">
        <f t="array" ref="S265">IF(U$252=-1,T265,IF(U$252=99,P265,IF(U$252=0,INDEX($H258:$O258,0,U$250),(INDEX($H258:$O258,0,U$252+1)-INDEX($H258:$O258,0,U$252))/(INDEX($H$249:$O$249,0,U$252+1)-INDEX($H$249:$O$249,0,U$252))+P265)))</f>
        <v>0</v>
      </c>
      <c r="T265" s="3" cm="1">
        <f t="array" ref="T265">IF(V$252=-1,U265,IF(V$252=99,S265,IF(V$252=0,INDEX($H258:$O258,0,V$250),(INDEX($H258:$O258,0,V$252+1)-INDEX($H258:$O258,0,V$252))/(INDEX($H$249:$O$249,0,V$252+1)-INDEX($H$249:$O$249,0,V$252))+S265)))</f>
        <v>0</v>
      </c>
      <c r="U265" s="3" cm="1">
        <f t="array" ref="U265">IF(W$252=-1,V265,IF(W$252=99,T265,IF(W$252=0,INDEX($H258:$O258,0,W$250),(INDEX($H258:$O258,0,W$252+1)-INDEX($H258:$O258,0,W$252))/(INDEX($H$249:$O$249,0,W$252+1)-INDEX($H$249:$O$249,0,W$252))+T265)))</f>
        <v>0</v>
      </c>
      <c r="V265" s="3" cm="1">
        <f t="array" ref="V265">IF(X$252=-1,W265,IF(X$252=99,U265,IF(X$252=0,INDEX($H258:$O258,0,X$250),(INDEX($H258:$O258,0,X$252+1)-INDEX($H258:$O258,0,X$252))/(INDEX($H$249:$O$249,0,X$252+1)-INDEX($H$249:$O$249,0,X$252))+U265)))</f>
        <v>4.1376646385108379E-2</v>
      </c>
      <c r="W265" s="3" cm="1">
        <f t="array" ref="W265">IF(Y$252=-1,X265,IF(Y$252=99,V265,IF(Y$252=0,INDEX($H258:$O258,0,Y$250),(INDEX($H258:$O258,0,Y$252+1)-INDEX($H258:$O258,0,Y$252))/(INDEX($H$249:$O$249,0,Y$252+1)-INDEX($H$249:$O$249,0,Y$252))+V265)))</f>
        <v>8.2753292770216758E-2</v>
      </c>
      <c r="X265" s="3" cm="1">
        <f t="array" ref="X265">IF(Z$252=-1,Y265,IF(Z$252=99,W265,IF(Z$252=0,INDEX($H258:$O258,0,Z$250),(INDEX($H258:$O258,0,Z$252+1)-INDEX($H258:$O258,0,Z$252))/(INDEX($H$249:$O$249,0,Z$252+1)-INDEX($H$249:$O$249,0,Z$252))+W265)))</f>
        <v>0.12412993915532514</v>
      </c>
      <c r="Y265" s="3" cm="1">
        <f t="array" ref="Y265">IF(AA$252=-1,Z265,IF(AA$252=99,X265,IF(AA$252=0,INDEX($H258:$O258,0,AA$250),(INDEX($H258:$O258,0,AA$252+1)-INDEX($H258:$O258,0,AA$252))/(INDEX($H$249:$O$249,0,AA$252+1)-INDEX($H$249:$O$249,0,AA$252))+X265)))</f>
        <v>0.12904548242482689</v>
      </c>
      <c r="Z265" s="3" cm="1">
        <f t="array" ref="Z265">IF(AD$252=-1,AA265,IF(AD$252=99,Y265,IF(AD$252=0,INDEX($H258:$O258,0,AD$250),(INDEX($H258:$O258,0,AD$252+1)-INDEX($H258:$O258,0,AD$252))/(INDEX($H$249:$O$249,0,AD$252+1)-INDEX($H$249:$O$249,0,AD$252))+Y265)))</f>
        <v>0.13396102569432866</v>
      </c>
      <c r="AA265" s="3" cm="1">
        <f t="array" ref="AA265">IF(AE$252=-1,AD265,IF(AE$252=99,Z265,IF(AE$252=0,INDEX($H258:$O258,0,AE$250),(INDEX($H258:$O258,0,AE$252+1)-INDEX($H258:$O258,0,AE$252))/(INDEX($H$249:$O$249,0,AE$252+1)-INDEX($H$249:$O$249,0,AE$252))+Z265)))</f>
        <v>0.13887656896383044</v>
      </c>
      <c r="AB265" s="3" cm="1">
        <f t="array" ref="AB265">IF(AE$252=-1,AD265,IF(AE$252=99,Z265,IF(AE$252=0,INDEX($H258:$O258,0,AE$250),(INDEX($H258:$O258,0,AE$252+1)-INDEX($H258:$O258,0,AE$252))/(INDEX($H$249:$O$249,0,AE$252+1)-INDEX($H$249:$O$249,0,AE$252))+Z265)))</f>
        <v>0.13887656896383044</v>
      </c>
      <c r="AC265" s="3" cm="1">
        <f t="array" ref="AC265">IF(AE$252=-1,AD265,IF(AE$252=99,Z265,IF(AE$252=0,INDEX($H258:$O258,0,AE$250),(INDEX($H258:$O258,0,AE$252+1)-INDEX($H258:$O258,0,AE$252))/(INDEX($H$249:$O$249,0,AE$252+1)-INDEX($H$249:$O$249,0,AE$252))+Z265)))</f>
        <v>0.13887656896383044</v>
      </c>
      <c r="AD265" s="3" cm="1">
        <f t="array" ref="AD265">IF(AF$252=-1,AE265,IF(AF$252=99,AA265,IF(AF$252=0,INDEX($H258:$O258,0,AF$250),(INDEX($H258:$O258,0,AF$252+1)-INDEX($H258:$O258,0,AF$252))/(INDEX($H$249:$O$249,0,AF$252+1)-INDEX($H$249:$O$249,0,AF$252))+AA265)))</f>
        <v>0.14379211223333221</v>
      </c>
      <c r="AE265" s="3" cm="1">
        <f t="array" ref="AE265">IF(AG$252=-1,AF265,IF(AG$252=99,AD265,IF(AG$252=0,INDEX($H258:$O258,0,AG$250),(INDEX($H258:$O258,0,AG$252+1)-INDEX($H258:$O258,0,AG$252))/(INDEX($H$249:$O$249,0,AG$252+1)-INDEX($H$249:$O$249,0,AG$252))+AD265)))</f>
        <v>0.14870765550283399</v>
      </c>
      <c r="AF265" s="3" cm="1">
        <f t="array" ref="AF265">IF(AH$252=-1,AG265,IF(AH$252=99,AE265,IF(AH$252=0,INDEX($H258:$O258,0,AH$250),(INDEX($H258:$O258,0,AH$252+1)-INDEX($H258:$O258,0,AH$252))/(INDEX($H$249:$O$249,0,AH$252+1)-INDEX($H$249:$O$249,0,AH$252))+AE265)))</f>
        <v>0.15362319877233577</v>
      </c>
      <c r="AG265" s="3" cm="1">
        <f t="array" ref="AG265">IF(AI$252=-1,AH265,IF(AI$252=99,AF265,IF(AI$252=0,INDEX($H258:$O258,0,AI$250),(INDEX($H258:$O258,0,AI$252+1)-INDEX($H258:$O258,0,AI$252))/(INDEX($H$249:$O$249,0,AI$252+1)-INDEX($H$249:$O$249,0,AI$252))+AF265)))</f>
        <v>0.15853874204183754</v>
      </c>
      <c r="AH265" s="3" cm="1">
        <f t="array" ref="AH265">IF(AJ$252=-1,AI265,IF(AJ$252=99,AG265,IF(AJ$252=0,INDEX($H258:$O258,0,AJ$250),(INDEX($H258:$O258,0,AJ$252+1)-INDEX($H258:$O258,0,AJ$252))/(INDEX($H$249:$O$249,0,AJ$252+1)-INDEX($H$249:$O$249,0,AJ$252))+AG265)))</f>
        <v>0.16345428531133932</v>
      </c>
      <c r="AI265" s="3" cm="1">
        <f t="array" ref="AI265">IF(AK$252=-1,AJ265,IF(AK$252=99,AH265,IF(AK$252=0,INDEX($H258:$O258,0,AK$250),(INDEX($H258:$O258,0,AK$252+1)-INDEX($H258:$O258,0,AK$252))/(INDEX($H$249:$O$249,0,AK$252+1)-INDEX($H$249:$O$249,0,AK$252))+AH265)))</f>
        <v>0.1683698285808411</v>
      </c>
      <c r="AJ265" s="3" cm="1">
        <f t="array" ref="AJ265">IF(AL$252=-1,AK265,IF(AL$252=99,AI265,IF(AL$252=0,INDEX($H258:$O258,0,AL$250),(INDEX($H258:$O258,0,AL$252+1)-INDEX($H258:$O258,0,AL$252))/(INDEX($H$249:$O$249,0,AL$252+1)-INDEX($H$249:$O$249,0,AL$252))+AI265)))</f>
        <v>0.17328537185034276</v>
      </c>
      <c r="AK265" s="3" cm="1">
        <f t="array" ref="AK265">IF(AO$252=-1,AL265,IF(AO$252=99,AJ265,IF(AO$252=0,INDEX($H258:$O258,0,AO$250),(INDEX($H258:$O258,0,AO$252+1)-INDEX($H258:$O258,0,AO$252))/(INDEX($H$249:$O$249,0,AO$252+1)-INDEX($H$249:$O$249,0,AO$252))+AJ265)))</f>
        <v>0.17328537185034276</v>
      </c>
      <c r="AL265" s="3" cm="1">
        <f t="array" ref="AL265">IF(AP$252=-1,AO265,IF(AP$252=99,AK265,IF(AP$252=0,INDEX($H258:$O258,0,AP$250),(INDEX($H258:$O258,0,AP$252+1)-INDEX($H258:$O258,0,AP$252))/(INDEX($H$249:$O$249,0,AP$252+1)-INDEX($H$249:$O$249,0,AP$252))+AK265)))</f>
        <v>0.17328537185034276</v>
      </c>
      <c r="AM265" s="3" cm="1">
        <f t="array" ref="AM265">IF(AP$252=-1,AO265,IF(AP$252=99,AK265,IF(AP$252=0,INDEX($H258:$O258,0,AP$250),(INDEX($H258:$O258,0,AP$252+1)-INDEX($H258:$O258,0,AP$252))/(INDEX($H$249:$O$249,0,AP$252+1)-INDEX($H$249:$O$249,0,AP$252))+AK265)))</f>
        <v>0.17328537185034276</v>
      </c>
      <c r="AN265" s="3" cm="1">
        <f t="array" ref="AN265">IF(AP$252=-1,AO265,IF(AP$252=99,AK265,IF(AP$252=0,INDEX($H258:$O258,0,AP$250),(INDEX($H258:$O258,0,AP$252+1)-INDEX($H258:$O258,0,AP$252))/(INDEX($H$249:$O$249,0,AP$252+1)-INDEX($H$249:$O$249,0,AP$252))+AK265)))</f>
        <v>0.17328537185034276</v>
      </c>
      <c r="AO265" s="3" cm="1">
        <f t="array" ref="AO265">IF(AQ$252=-1,AP265,IF(AQ$252=99,AL265,IF(AQ$252=0,INDEX($H258:$O258,0,AQ$250),(INDEX($H258:$O258,0,AQ$252+1)-INDEX($H258:$O258,0,AQ$252))/(INDEX($H$249:$O$249,0,AQ$252+1)-INDEX($H$249:$O$249,0,AQ$252))+AL265)))</f>
        <v>0.17328537185034276</v>
      </c>
      <c r="AP265" s="3" cm="1">
        <f t="array" ref="AP265">IF(AR$252=-1,AQ265,IF(AR$252=99,AO265,IF(AR$252=0,INDEX($H258:$O258,0,AR$250),(INDEX($H258:$O258,0,AR$252+1)-INDEX($H258:$O258,0,AR$252))/(INDEX($H$249:$O$249,0,AR$252+1)-INDEX($H$249:$O$249,0,AR$252))+AO265)))</f>
        <v>0.17328537185034276</v>
      </c>
      <c r="AQ265" s="3" cm="1">
        <f t="array" ref="AQ265">IF(AS$252=-1,AR265,IF(AS$252=99,AP265,IF(AS$252=0,INDEX($H258:$O258,0,AS$250),(INDEX($H258:$O258,0,AS$252+1)-INDEX($H258:$O258,0,AS$252))/(INDEX($H$249:$O$249,0,AS$252+1)-INDEX($H$249:$O$249,0,AS$252))+AP265)))</f>
        <v>0.17328537185034276</v>
      </c>
      <c r="AR265" s="3" cm="1">
        <f t="array" ref="AR265">IF(AT$252=-1,AS265,IF(AT$252=99,AQ265,IF(AT$252=0,INDEX($H258:$O258,0,AT$250),(INDEX($H258:$O258,0,AT$252+1)-INDEX($H258:$O258,0,AT$252))/(INDEX($H$249:$O$249,0,AT$252+1)-INDEX($H$249:$O$249,0,AT$252))+AQ265)))</f>
        <v>0.17328537185034276</v>
      </c>
      <c r="AS265" s="3" cm="1">
        <f t="array" ref="AS265">IF(AV$252=-1,AT265,IF(AV$252=99,AR265,IF(AV$252=0,INDEX($H258:$O258,0,AV$250),(INDEX($H258:$O258,0,AV$252+1)-INDEX($H258:$O258,0,AV$252))/(INDEX($H$249:$O$249,0,AV$252+1)-INDEX($H$249:$O$249,0,AV$252))+AR265)))</f>
        <v>0.17328537185034276</v>
      </c>
      <c r="AT265" s="3" cm="1">
        <f t="array" ref="AT265">IF(AX$252=-1,AV265,IF(AX$252=99,AS265,IF(AX$252=0,INDEX($H258:$O258,0,AX$250),(INDEX($H258:$O258,0,AX$252+1)-INDEX($H258:$O258,0,AX$252))/(INDEX($H$249:$O$249,0,AX$252+1)-INDEX($H$249:$O$249,0,AX$252))+AS265)))</f>
        <v>0.17328537185034276</v>
      </c>
      <c r="AU265" s="3" cm="1">
        <f t="array" ref="AU265">IF(AX$252=-1,AW265,IF(AX$252=99,AS265,IF(AX$252=0,INDEX($H258:$O258,0,AX$250),(INDEX($H258:$O258,0,AX$252+1)-INDEX($H258:$O258,0,AX$252))/(INDEX($H$249:$O$249,0,AX$252+1)-INDEX($H$249:$O$249,0,AX$252))+AS265)))</f>
        <v>0.17328537185034276</v>
      </c>
      <c r="AV265" s="3" cm="1">
        <f t="array" ref="AV265">IF(AY$252=-1,AX265,IF(AY$252=99,AT265,IF(AY$252=0,INDEX($H258:$O258,0,AY$250),(INDEX($H258:$O258,0,AY$252+1)-INDEX($H258:$O258,0,AY$252))/(INDEX($H$249:$O$249,0,AY$252+1)-INDEX($H$249:$O$249,0,AY$252))+AT265)))</f>
        <v>0.17328537185034276</v>
      </c>
      <c r="AW265" s="3" cm="1">
        <f t="array" ref="AW265">IF(AZ$252=-1,AY265,IF(AZ$252=99,AV265,IF(AZ$252=0,INDEX($H258:$O258,0,AZ$250),(INDEX($H258:$O258,0,AZ$252+1)-INDEX($H258:$O258,0,AZ$252))/(INDEX($H$249:$O$249,0,AZ$252+1)-INDEX($H$249:$O$249,0,AZ$252))+AV265)))</f>
        <v>0.17328537185034276</v>
      </c>
      <c r="AX265" s="3" cm="1">
        <f t="array" ref="AX265">IF(AZ$252=-1,AY265,IF(AZ$252=99,AV265,IF(AZ$252=0,INDEX($H258:$O258,0,AZ$250),(INDEX($H258:$O258,0,AZ$252+1)-INDEX($H258:$O258,0,AZ$252))/(INDEX($H$249:$O$249,0,AZ$252+1)-INDEX($H$249:$O$249,0,AZ$252))+AV265)))</f>
        <v>0.17328537185034276</v>
      </c>
      <c r="AY265" s="3" cm="1">
        <f t="array" ref="AY265">IF(BA$252=-1,AZ265,IF(BA$252=99,AX265,IF(BA$252=0,INDEX($H258:$O258,0,BA$250),(INDEX($H258:$O258,0,BA$252+1)-INDEX($H258:$O258,0,BA$252))/(INDEX($H$249:$O$249,0,BA$252+1)-INDEX($H$249:$O$249,0,BA$252))+AX265)))</f>
        <v>0.17328537185034276</v>
      </c>
      <c r="AZ265" s="3" cm="1">
        <f t="array" ref="AZ265">IF(BB$252=-1,BA265,IF(BB$252=99,AY265,IF(BB$252=0,INDEX($H258:$O258,0,BB$250),(INDEX($H258:$O258,0,BB$252+1)-INDEX($H258:$O258,0,BB$252))/(INDEX($H$249:$O$249,0,BB$252+1)-INDEX($H$249:$O$249,0,BB$252))+AY265)))</f>
        <v>0.17328537185034276</v>
      </c>
      <c r="BA265" s="3" cm="1">
        <f t="array" ref="BA265">IF(BC$252=-1,BB265,IF(BC$252=99,AZ265,IF(BC$252=0,INDEX($H258:$O258,0,BC$250),(INDEX($H258:$O258,0,BC$252+1)-INDEX($H258:$O258,0,BC$252))/(INDEX($H$249:$O$249,0,BC$252+1)-INDEX($H$249:$O$249,0,BC$252))+AZ265)))</f>
        <v>0.17328537185034276</v>
      </c>
      <c r="BB265" s="3" cm="1">
        <f t="array" ref="BB265">IF(BD$252=-1,BC265,IF(BD$252=99,BA265,IF(BD$252=0,INDEX($H258:$O258,0,BD$250),(INDEX($H258:$O258,0,BD$252+1)-INDEX($H258:$O258,0,BD$252))/(INDEX($H$249:$O$249,0,BD$252+1)-INDEX($H$249:$O$249,0,BD$252))+BA265)))</f>
        <v>0.17328537185034276</v>
      </c>
      <c r="BC265" s="3" cm="1">
        <f t="array" ref="BC265">IF(BE$252=-1,BD265,IF(BE$252=99,BB265,IF(BE$252=0,INDEX($H258:$O258,0,BE$250),(INDEX($H258:$O258,0,BE$252+1)-INDEX($H258:$O258,0,BE$252))/(INDEX($H$249:$O$249,0,BE$252+1)-INDEX($H$249:$O$249,0,BE$252))+BB265)))</f>
        <v>0.17328537185034276</v>
      </c>
      <c r="BD265" s="3" cm="1">
        <f t="array" ref="BD265">IF(BF$252=-1,BI265,IF(BF$252=99,BC265,IF(BF$252=0,INDEX($H258:$O258,0,BF$250),(INDEX($H258:$O258,0,BF$252+1)-INDEX($H258:$O258,0,BF$252))/(INDEX($H$249:$O$249,0,BF$252+1)-INDEX($H$249:$O$249,0,BF$252))+BC265)))</f>
        <v>0.17328537185034276</v>
      </c>
      <c r="BE265" s="3" cm="1">
        <f t="array" ref="BE265">IF(BG$252=-1,BJ265,IF(BG$252=99,BD265,IF(BG$252=0,INDEX($H258:$O258,0,BG$250),(INDEX($H258:$O258,0,BG$252+1)-INDEX($H258:$O258,0,BG$252))/(INDEX($H$249:$O$249,0,BG$252+1)-INDEX($H$249:$O$249,0,BG$252))+BD265)))</f>
        <v>0.17328537185034276</v>
      </c>
      <c r="BF265" s="3" cm="1">
        <f t="array" ref="BF265">IF(BH$252=-1,BK265,IF(BH$252=99,BE265,IF(BH$252=0,INDEX($H258:$O258,0,BH$250),(INDEX($H258:$O258,0,BH$252+1)-INDEX($H258:$O258,0,BH$252))/(INDEX($H$249:$O$249,0,BH$252+1)-INDEX($H$249:$O$249,0,BH$252))+BE265)))</f>
        <v>0.17328537185034276</v>
      </c>
      <c r="BG265" s="3" cm="1">
        <f t="array" ref="BG265">IF(BI$252=-1,BL265,IF(BI$252=99,BF265,IF(BI$252=0,INDEX($H258:$O258,0,BI$250),(INDEX($H258:$O258,0,BI$252+1)-INDEX($H258:$O258,0,BI$252))/(INDEX($H$249:$O$249,0,BI$252+1)-INDEX($H$249:$O$249,0,BI$252))+BF265)))</f>
        <v>0.17328537185034276</v>
      </c>
      <c r="BH265" s="3" cm="1">
        <f t="array" ref="BH265">IF(BJ$252=-1,BM265,IF(BJ$252=99,BG265,IF(BJ$252=0,INDEX($H258:$O258,0,BJ$250),(INDEX($H258:$O258,0,BJ$252+1)-INDEX($H258:$O258,0,BJ$252))/(INDEX($H$249:$O$249,0,BJ$252+1)-INDEX($H$249:$O$249,0,BJ$252))+BG265)))</f>
        <v>0.17328537185034276</v>
      </c>
      <c r="BI265" s="3" cm="1">
        <f t="array" ref="BI265">IF(BK$252=-1,BN265,IF(BK$252=99,BH265,IF(BK$252=0,INDEX($H258:$O258,0,BK$250),(INDEX($H258:$O258,0,BK$252+1)-INDEX($H258:$O258,0,BK$252))/(INDEX($H$249:$O$249,0,BK$252+1)-INDEX($H$249:$O$249,0,BK$252))+BH265)))</f>
        <v>0.17328537185034276</v>
      </c>
      <c r="BJ265" s="3" cm="1">
        <f t="array" ref="BJ265">IF(BH$252=-1,BL265,IF(BH$252=99,BI265,IF(BH$252=0,INDEX($H258:$O258,0,BH$250),(INDEX($H258:$O258,0,BH$252+1)-INDEX($H258:$O258,0,BH$252))/(INDEX($H$249:$O$249,0,BH$252+1)-INDEX($H$249:$O$249,0,BH$252))+BI265)))</f>
        <v>0.17328537185034276</v>
      </c>
      <c r="BK265" s="3" cm="1">
        <f t="array" ref="BK265">IF(BI$252=-1,BM265,IF(BI$252=99,BJ265,IF(BI$252=0,INDEX($H258:$O258,0,BI$250),(INDEX($H258:$O258,0,BI$252+1)-INDEX($H258:$O258,0,BI$252))/(INDEX($H$249:$O$249,0,BI$252+1)-INDEX($H$249:$O$249,0,BI$252))+BJ265)))</f>
        <v>0.17328537185034276</v>
      </c>
      <c r="BL265" s="3" cm="1">
        <f t="array" ref="BL265">IF(BJ$252=-1,BN265,IF(BJ$252=99,BK265,IF(BJ$252=0,INDEX($H258:$O258,0,BJ$250),(INDEX($H258:$O258,0,BJ$252+1)-INDEX($H258:$O258,0,BJ$252))/(INDEX($H$249:$O$249,0,BJ$252+1)-INDEX($H$249:$O$249,0,BJ$252))+BK265)))</f>
        <v>0.17328537185034276</v>
      </c>
      <c r="BM265" s="3" cm="1">
        <f t="array" ref="BM265">IF(BK$252=-1,BO265,IF(BK$252=99,BL265,IF(BK$252=0,INDEX($H258:$O258,0,BK$250),(INDEX($H258:$O258,0,BK$252+1)-INDEX($H258:$O258,0,BK$252))/(INDEX($H$249:$O$249,0,BK$252+1)-INDEX($H$249:$O$249,0,BK$252))+BL265)))</f>
        <v>0.17328537185034276</v>
      </c>
      <c r="BN265" s="3" cm="1">
        <f t="array" ref="BN265">IF(BL$252=-1,BP265,IF(BL$252=99,BM265,IF(BL$252=0,INDEX($H258:$O258,0,BL$250),(INDEX($H258:$O258,0,BL$252+1)-INDEX($H258:$O258,0,BL$252))/(INDEX($H$249:$O$249,0,BL$252+1)-INDEX($H$249:$O$249,0,BL$252))+BM265)))</f>
        <v>0.17328537185034276</v>
      </c>
      <c r="BO265" s="3" cm="1">
        <f t="array" ref="BO265">IF(BM$252=-1,BQ265,IF(BM$252=99,BN265,IF(BM$252=0,INDEX($H258:$O258,0,BM$250),(INDEX($H258:$O258,0,BM$252+1)-INDEX($H258:$O258,0,BM$252))/(INDEX($H$249:$O$249,0,BM$252+1)-INDEX($H$249:$O$249,0,BM$252))+BN265)))</f>
        <v>0.17328537185034276</v>
      </c>
      <c r="BP265" s="3" cm="1">
        <f t="array" ref="BP265">IF(BN$252=-1,BR265,IF(BN$252=99,BO265,IF(BN$252=0,INDEX($H258:$O258,0,BN$250),(INDEX($H258:$O258,0,BN$252+1)-INDEX($H258:$O258,0,BN$252))/(INDEX($H$249:$O$249,0,BN$252+1)-INDEX($H$249:$O$249,0,BN$252))+BO265)))</f>
        <v>0.17328537185034276</v>
      </c>
    </row>
    <row r="266" spans="5:68">
      <c r="E266" t="s">
        <v>16</v>
      </c>
      <c r="J266"/>
      <c r="P266" s="31"/>
    </row>
    <row r="267" spans="5:68">
      <c r="E267" t="s">
        <v>16</v>
      </c>
      <c r="J267"/>
      <c r="P267" s="31"/>
    </row>
    <row r="268" spans="5:68">
      <c r="E268" t="s">
        <v>16</v>
      </c>
      <c r="J268"/>
      <c r="P268" s="31"/>
    </row>
    <row r="269" spans="5:68">
      <c r="E269" t="s">
        <v>16</v>
      </c>
      <c r="J269"/>
      <c r="P269" s="31"/>
    </row>
    <row r="270" spans="5:68">
      <c r="E270" t="s">
        <v>16</v>
      </c>
      <c r="J270"/>
      <c r="P270" s="31"/>
    </row>
    <row r="271" spans="5:68">
      <c r="E271" t="s">
        <v>16</v>
      </c>
      <c r="J271"/>
      <c r="P271" s="31"/>
    </row>
    <row r="272" spans="5:68">
      <c r="E272" t="s">
        <v>16</v>
      </c>
      <c r="J272"/>
      <c r="P272" s="31"/>
    </row>
    <row r="273" spans="5:16">
      <c r="E273" t="s">
        <v>16</v>
      </c>
      <c r="J273"/>
      <c r="P273" s="31"/>
    </row>
    <row r="274" spans="5:16">
      <c r="E274" t="s">
        <v>16</v>
      </c>
      <c r="J274"/>
      <c r="P274" s="31"/>
    </row>
    <row r="275" spans="5:16">
      <c r="E275" t="s">
        <v>16</v>
      </c>
      <c r="J275"/>
      <c r="P275" s="31"/>
    </row>
    <row r="276" spans="5:16">
      <c r="E276" t="s">
        <v>16</v>
      </c>
      <c r="J276"/>
      <c r="P276" s="31"/>
    </row>
    <row r="277" spans="5:16">
      <c r="E277" t="s">
        <v>16</v>
      </c>
      <c r="J277"/>
      <c r="P277" s="31"/>
    </row>
    <row r="278" spans="5:16">
      <c r="E278" t="s">
        <v>16</v>
      </c>
      <c r="J278"/>
      <c r="P278" s="31"/>
    </row>
    <row r="279" spans="5:16">
      <c r="E279" t="s">
        <v>16</v>
      </c>
      <c r="J279"/>
      <c r="P279" s="31"/>
    </row>
    <row r="280" spans="5:16">
      <c r="E280" t="s">
        <v>16</v>
      </c>
      <c r="J280"/>
      <c r="P280" s="31"/>
    </row>
    <row r="281" spans="5:16">
      <c r="E281" t="s">
        <v>16</v>
      </c>
      <c r="J281"/>
      <c r="P281" s="31"/>
    </row>
    <row r="282" spans="5:16">
      <c r="E282" t="s">
        <v>16</v>
      </c>
      <c r="J282"/>
      <c r="P282" s="31"/>
    </row>
    <row r="283" spans="5:16">
      <c r="J283"/>
      <c r="P283" s="31"/>
    </row>
    <row r="284" spans="5:16">
      <c r="J284"/>
      <c r="P284" s="31"/>
    </row>
    <row r="285" spans="5:16">
      <c r="J285"/>
      <c r="P285" s="31"/>
    </row>
    <row r="286" spans="5:16">
      <c r="J286"/>
      <c r="P286" s="31"/>
    </row>
    <row r="287" spans="5:16">
      <c r="J287"/>
      <c r="P287" s="31"/>
    </row>
    <row r="288" spans="5:16">
      <c r="J288"/>
      <c r="P288" s="31"/>
    </row>
    <row r="289" spans="10:16">
      <c r="J289"/>
      <c r="P289" s="31"/>
    </row>
    <row r="290" spans="10:16">
      <c r="J290"/>
      <c r="P290" s="31"/>
    </row>
    <row r="291" spans="10:16">
      <c r="J291"/>
      <c r="P291" s="31"/>
    </row>
  </sheetData>
  <mergeCells count="2">
    <mergeCell ref="B2:C2"/>
    <mergeCell ref="P1:Z1"/>
  </mergeCells>
  <phoneticPr fontId="166"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Y56"/>
  <sheetViews>
    <sheetView workbookViewId="0">
      <selection activeCell="B34" sqref="B34"/>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1"/>
    </row>
    <row r="2" spans="1:43" ht="15.75" thickBot="1">
      <c r="A2" t="s">
        <v>16</v>
      </c>
      <c r="B2" s="369" t="s">
        <v>280</v>
      </c>
      <c r="C2" s="369"/>
      <c r="J2" s="31"/>
    </row>
    <row r="3" spans="1:43">
      <c r="A3" t="s">
        <v>16</v>
      </c>
      <c r="B3" s="222" t="s">
        <v>609</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2"/>
      <c r="AE3" s="12"/>
      <c r="AF3" s="12"/>
      <c r="AG3" s="12"/>
      <c r="AH3" s="12"/>
      <c r="AI3" s="12"/>
      <c r="AJ3" s="12"/>
      <c r="AK3" s="12"/>
      <c r="AL3" s="12"/>
      <c r="AM3" s="12"/>
      <c r="AN3" s="12"/>
      <c r="AO3" s="12"/>
      <c r="AP3" s="12"/>
      <c r="AQ3" s="12"/>
    </row>
    <row r="4" spans="1:43" ht="18" thickBot="1">
      <c r="A4" t="s">
        <v>16</v>
      </c>
      <c r="B4" s="49" t="s">
        <v>144</v>
      </c>
      <c r="C4" s="9"/>
      <c r="D4" s="9" t="s">
        <v>123</v>
      </c>
      <c r="E4" s="9"/>
      <c r="F4" s="9"/>
      <c r="G4" s="9"/>
      <c r="H4" s="9"/>
      <c r="I4" s="9" t="s">
        <v>123</v>
      </c>
      <c r="J4">
        <v>2012</v>
      </c>
      <c r="K4">
        <v>2015</v>
      </c>
      <c r="L4">
        <v>2017</v>
      </c>
      <c r="M4">
        <v>2019</v>
      </c>
      <c r="N4">
        <v>2020</v>
      </c>
      <c r="O4">
        <v>2021</v>
      </c>
      <c r="P4">
        <v>2030</v>
      </c>
      <c r="Q4">
        <v>2040</v>
      </c>
      <c r="R4">
        <v>2050</v>
      </c>
      <c r="S4">
        <v>2060</v>
      </c>
      <c r="T4">
        <v>2070</v>
      </c>
    </row>
    <row r="5" spans="1:43" ht="15.75" thickTop="1">
      <c r="A5" t="s">
        <v>16</v>
      </c>
      <c r="B5" s="3" t="s">
        <v>801</v>
      </c>
      <c r="C5" s="3" t="s">
        <v>578</v>
      </c>
      <c r="D5">
        <f>MATCH(B5,Drivers!$A$7:$A$25,0)</f>
        <v>19</v>
      </c>
      <c r="E5" s="3"/>
      <c r="J5" s="17" cm="1">
        <f t="array" ref="J5">INDEX(Drivers!$C$7:$AG$25,$D5,J$3)</f>
        <v>6.4158612357306808</v>
      </c>
      <c r="K5" s="17" cm="1">
        <f t="array" ref="K5">INDEX(Drivers!$C$7:$AG$25,$D5,K$3)</f>
        <v>6.9251895229982949</v>
      </c>
      <c r="L5" s="17" cm="1">
        <f t="array" ref="L5">INDEX(Drivers!$C$7:$AG$25,$D5,L$3)</f>
        <v>7.0969867972742753</v>
      </c>
      <c r="M5" s="17" cm="1">
        <f t="array" ref="M5">INDEX(Drivers!$C$7:$AG$25,$D5,M$3)</f>
        <v>7.29</v>
      </c>
      <c r="N5" s="17" cm="1">
        <f t="array" ref="N5">INDEX(Drivers!$C$7:$AG$25,$D5,N$3)</f>
        <v>6.9</v>
      </c>
      <c r="O5" s="17" cm="1">
        <f t="array" ref="O5">INDEX(Drivers!$C$7:$AG$25,$D5,O$3)</f>
        <v>7.0390063361474446</v>
      </c>
      <c r="P5" s="17" cm="1">
        <f t="array" ref="P5">INDEX(Drivers!$C$7:$AG$25,$D5,P$3)</f>
        <v>8.1432063602192937</v>
      </c>
      <c r="Q5" s="17" cm="1">
        <f t="array" ref="Q5">INDEX(Drivers!$C$7:$AG$25,$D5,Q$3)</f>
        <v>11.730459428654374</v>
      </c>
      <c r="R5" s="17" cm="1">
        <f t="array" ref="R5">INDEX(Drivers!$C$7:$AG$25,$D5,R$3)</f>
        <v>16.835280697268328</v>
      </c>
      <c r="S5" s="17" cm="1">
        <f t="array" ref="S5">INDEX(Drivers!$C$7:$AK$25,$D5,S$3)</f>
        <v>22.099444966136996</v>
      </c>
      <c r="T5" s="17" cm="1">
        <f t="array" ref="T5">INDEX(Drivers!$C$7:$AK$25,$D5,T$3)</f>
        <v>24.16767024796556</v>
      </c>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670</v>
      </c>
      <c r="V6" s="3"/>
      <c r="W6" s="3"/>
      <c r="X6" s="3"/>
      <c r="Y6" s="3"/>
      <c r="Z6" s="3"/>
      <c r="AA6" s="3"/>
      <c r="AB6" s="3"/>
      <c r="AC6" s="3"/>
      <c r="AD6" s="3"/>
      <c r="AE6" s="3"/>
      <c r="AF6" s="3"/>
      <c r="AG6" s="3"/>
      <c r="AH6" s="3"/>
      <c r="AI6" s="3"/>
      <c r="AJ6" s="3"/>
      <c r="AK6" s="3"/>
      <c r="AL6" s="3"/>
      <c r="AM6" s="3"/>
      <c r="AN6" s="3"/>
      <c r="AO6" s="3"/>
    </row>
    <row r="7" spans="1:43" ht="15.75" thickBot="1">
      <c r="A7" t="s">
        <v>16</v>
      </c>
      <c r="B7" s="9" t="s">
        <v>93</v>
      </c>
      <c r="C7" s="9"/>
      <c r="D7">
        <f>D32</f>
        <v>0</v>
      </c>
      <c r="E7">
        <f>E32</f>
        <v>2017</v>
      </c>
      <c r="F7">
        <f>F32</f>
        <v>2020</v>
      </c>
      <c r="G7">
        <f>G32</f>
        <v>2030</v>
      </c>
      <c r="H7">
        <f>H32</f>
        <v>2050</v>
      </c>
      <c r="U7" s="282" t="str">
        <f>$C$14</f>
        <v>SDS improvement</v>
      </c>
      <c r="V7" s="282"/>
      <c r="W7" s="282"/>
      <c r="X7" s="282"/>
      <c r="Y7" s="282"/>
      <c r="Z7" s="282"/>
      <c r="AA7" s="100"/>
      <c r="AB7" s="100"/>
      <c r="AC7" s="100"/>
      <c r="AD7" s="100"/>
      <c r="AE7" s="100"/>
      <c r="AF7" s="100"/>
      <c r="AG7" s="100"/>
      <c r="AH7" s="100"/>
      <c r="AI7" s="100"/>
      <c r="AJ7" s="100"/>
      <c r="AK7" s="100"/>
      <c r="AL7" s="100"/>
      <c r="AM7" s="100"/>
      <c r="AN7" s="3"/>
    </row>
    <row r="8" spans="1:43">
      <c r="A8" t="s">
        <v>16</v>
      </c>
      <c r="B8" t="s">
        <v>681</v>
      </c>
      <c r="U8" t="s">
        <v>673</v>
      </c>
      <c r="AB8" s="279">
        <v>2012</v>
      </c>
      <c r="AC8" s="279">
        <v>2013</v>
      </c>
      <c r="AD8" s="279">
        <v>2014</v>
      </c>
      <c r="AE8" s="279">
        <v>2015</v>
      </c>
      <c r="AF8" s="279">
        <v>2016</v>
      </c>
      <c r="AG8" s="279">
        <v>2017</v>
      </c>
      <c r="AH8" s="279">
        <v>2018</v>
      </c>
      <c r="AI8" s="279">
        <v>2019</v>
      </c>
      <c r="AJ8" s="280">
        <v>2020</v>
      </c>
      <c r="AK8" s="280">
        <v>2030</v>
      </c>
      <c r="AL8" s="280">
        <v>2040</v>
      </c>
      <c r="AM8" s="280">
        <v>2050</v>
      </c>
      <c r="AN8" s="280">
        <v>2060</v>
      </c>
      <c r="AO8" s="280">
        <v>2070</v>
      </c>
    </row>
    <row r="9" spans="1:43">
      <c r="A9" t="s">
        <v>16</v>
      </c>
      <c r="U9" t="s">
        <v>674</v>
      </c>
      <c r="AB9">
        <v>14.1</v>
      </c>
      <c r="AC9">
        <v>13.9</v>
      </c>
      <c r="AD9">
        <v>13.5</v>
      </c>
      <c r="AE9">
        <v>13.5</v>
      </c>
      <c r="AF9">
        <v>13.3</v>
      </c>
      <c r="AG9">
        <v>13</v>
      </c>
      <c r="AH9">
        <v>12.6</v>
      </c>
      <c r="AI9">
        <v>12.3</v>
      </c>
      <c r="AJ9">
        <f>IF(ISBLANK(INDEX(AJ$14:AJ$16,MATCH($U$7,$U$14:$U$16,0))),"",INDEX(AJ$14:AJ$16,MATCH($U$7,$U$14:$U$16,0)))</f>
        <v>1</v>
      </c>
      <c r="AK9">
        <f>IF(ISBLANK(INDEX(AK$14:AK$16,MATCH($U$7,$U$14:$U$16,0))),"",INDEX(AK$14:AK$16,MATCH($U$7,$U$14:$U$16,0)))</f>
        <v>0.55384615384615388</v>
      </c>
      <c r="AL9">
        <f>IF(ISBLANK(INDEX(AL$14:AL$16,MATCH($U$7,$U$14:$U$16,0))),"",INDEX(AL$14:AL$16,MATCH($U$7,$U$14:$U$16,0)))</f>
        <v>0.5115384615384615</v>
      </c>
      <c r="AM9">
        <f>IF(ISBLANK(INDEX(AM$14:AM$16,MATCH($U$7,$U$14:$U$16,0))),"",INDEX(AM$14:AM$16,MATCH($U$7,$U$14:$U$16,0)))</f>
        <v>0.46923076923076923</v>
      </c>
      <c r="AN9">
        <v>1</v>
      </c>
      <c r="AO9">
        <v>1</v>
      </c>
    </row>
    <row r="10" spans="1:43">
      <c r="A10" t="s">
        <v>16</v>
      </c>
      <c r="AN10" s="3"/>
    </row>
    <row r="11" spans="1:43">
      <c r="A11" t="s">
        <v>16</v>
      </c>
      <c r="U11" t="s">
        <v>671</v>
      </c>
      <c r="Y11" s="283" t="s">
        <v>678</v>
      </c>
      <c r="AI11" s="3">
        <f>AI30</f>
        <v>10.9</v>
      </c>
      <c r="AK11" s="3">
        <f>AJ29+AI$9-AI11</f>
        <v>10.999999999999998</v>
      </c>
      <c r="AM11" s="3">
        <f>AK29+AI9-AI11</f>
        <v>10.1</v>
      </c>
      <c r="AN11" s="3"/>
    </row>
    <row r="12" spans="1:43">
      <c r="A12" t="s">
        <v>16</v>
      </c>
      <c r="U12" t="s">
        <v>672</v>
      </c>
      <c r="Y12" t="s">
        <v>677</v>
      </c>
      <c r="AI12" s="3">
        <f>AI30</f>
        <v>10.9</v>
      </c>
      <c r="AK12" s="3">
        <f>AJ30</f>
        <v>7.2</v>
      </c>
      <c r="AM12" s="3">
        <f>AK30</f>
        <v>6.1</v>
      </c>
      <c r="AN12" s="3"/>
    </row>
    <row r="13" spans="1:43">
      <c r="A13" t="s">
        <v>16</v>
      </c>
      <c r="AN13" s="3"/>
    </row>
    <row r="14" spans="1:43">
      <c r="A14" t="s">
        <v>16</v>
      </c>
      <c r="B14" s="41" t="s">
        <v>82</v>
      </c>
      <c r="C14" s="281" t="str">
        <f>IF(PTRA!D3=-1,U14,IF(PTRA!D3=2,U15,U16))</f>
        <v>SDS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0.55384615384615388</v>
      </c>
      <c r="Q14" s="3">
        <f t="shared" ref="Q14:R15" si="2">INDEX($AK$9:$AM$9,MATCH(Q$4,$AK$8:$AM$8,0))</f>
        <v>0.5115384615384615</v>
      </c>
      <c r="R14" s="3">
        <f t="shared" si="2"/>
        <v>0.46923076923076923</v>
      </c>
      <c r="S14" s="3">
        <f>INDEX($AK$9:$AO$9,MATCH(S$4,$AK$8:$AO$8,0))</f>
        <v>1</v>
      </c>
      <c r="T14" s="3">
        <f>INDEX($AK$9:$AO$9,MATCH(T$4,$AK$8:$AO$8,0))</f>
        <v>1</v>
      </c>
      <c r="U14" t="s">
        <v>676</v>
      </c>
      <c r="AG14">
        <v>1</v>
      </c>
      <c r="AJ14">
        <v>1</v>
      </c>
      <c r="AK14">
        <v>1</v>
      </c>
      <c r="AL14">
        <v>1</v>
      </c>
      <c r="AM14">
        <v>1</v>
      </c>
      <c r="AN14" s="3"/>
    </row>
    <row r="15" spans="1:43">
      <c r="A15" t="s">
        <v>16</v>
      </c>
      <c r="B15" s="41" t="s">
        <v>94</v>
      </c>
      <c r="C15" t="str">
        <f>C14</f>
        <v>SDS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0.55384615384615388</v>
      </c>
      <c r="Q15" s="3">
        <f t="shared" si="2"/>
        <v>0.5115384615384615</v>
      </c>
      <c r="R15" s="3">
        <f t="shared" si="2"/>
        <v>0.46923076923076923</v>
      </c>
      <c r="S15" s="3">
        <f>INDEX($AK$9:$AO$9,MATCH(S$4,$AK$8:$AO$8,0))</f>
        <v>1</v>
      </c>
      <c r="T15" s="3">
        <f>INDEX($AK$9:$AO$9,MATCH(T$4,$AK$8:$AO$8,0))</f>
        <v>1</v>
      </c>
      <c r="U15" t="s">
        <v>671</v>
      </c>
      <c r="W15" t="s">
        <v>39</v>
      </c>
      <c r="X15" t="s">
        <v>675</v>
      </c>
      <c r="AG15">
        <f>AG9/AG9</f>
        <v>1</v>
      </c>
      <c r="AJ15">
        <v>1</v>
      </c>
      <c r="AK15">
        <f>AK11/AF9</f>
        <v>0.82706766917293217</v>
      </c>
      <c r="AL15">
        <f>AVERAGE(AK15,AM15)</f>
        <v>0.8019953730480045</v>
      </c>
      <c r="AM15">
        <f>AM11/AG9</f>
        <v>0.77692307692307694</v>
      </c>
      <c r="AN15" s="3"/>
    </row>
    <row r="16" spans="1:43">
      <c r="A16" t="s">
        <v>16</v>
      </c>
      <c r="B16" t="s">
        <v>84</v>
      </c>
      <c r="C16" t="s">
        <v>676</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f t="shared" ref="S16" si="10">M16</f>
        <v>1</v>
      </c>
      <c r="T16" s="6">
        <f t="shared" ref="T16" si="11">N16</f>
        <v>1</v>
      </c>
      <c r="U16" t="s">
        <v>672</v>
      </c>
      <c r="V16" s="6"/>
      <c r="W16" s="6" t="s">
        <v>39</v>
      </c>
      <c r="X16" t="s">
        <v>675</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75" thickBot="1">
      <c r="A19" t="s">
        <v>16</v>
      </c>
      <c r="B19" s="9" t="s">
        <v>91</v>
      </c>
      <c r="C19" s="9"/>
      <c r="D19">
        <f>D7</f>
        <v>0</v>
      </c>
      <c r="E19">
        <f>E7</f>
        <v>2017</v>
      </c>
      <c r="F19">
        <f>F7</f>
        <v>2020</v>
      </c>
      <c r="G19">
        <f>G7</f>
        <v>2030</v>
      </c>
      <c r="H19">
        <f>H7</f>
        <v>2050</v>
      </c>
      <c r="I19" s="40"/>
    </row>
    <row r="20" spans="1:43">
      <c r="A20" t="s">
        <v>16</v>
      </c>
      <c r="B20" t="s">
        <v>81</v>
      </c>
      <c r="E20" s="3"/>
      <c r="F20" s="3"/>
      <c r="G20" s="3"/>
      <c r="H20" s="3"/>
    </row>
    <row r="21" spans="1:43">
      <c r="A21" t="s">
        <v>16</v>
      </c>
      <c r="B21" t="s">
        <v>82</v>
      </c>
      <c r="C21" s="3">
        <v>1</v>
      </c>
      <c r="D21" s="3">
        <f>C21</f>
        <v>1</v>
      </c>
      <c r="E21" s="3">
        <f>D21</f>
        <v>1</v>
      </c>
      <c r="F21" s="3">
        <f>E21</f>
        <v>1</v>
      </c>
      <c r="G21" s="3">
        <f>F21</f>
        <v>1</v>
      </c>
      <c r="H21" s="3">
        <f>G21</f>
        <v>1</v>
      </c>
      <c r="I21" s="19" t="s">
        <v>30</v>
      </c>
      <c r="J21" s="96">
        <f>E27</f>
        <v>68.938999999999993</v>
      </c>
      <c r="K21" s="27">
        <f>J21*(1+$C$21*(K5/J5-1))</f>
        <v>74.41177777773558</v>
      </c>
      <c r="L21" s="27">
        <f>K21*(1+$C$21*(L5/K5-1))</f>
        <v>76.257754780067515</v>
      </c>
      <c r="M21" s="27">
        <f>L21*(1+$C$21*(M5/L5-1))</f>
        <v>78.331698821844057</v>
      </c>
      <c r="N21" s="27">
        <f>M21*(1+$C$21*(N5/M5-1))</f>
        <v>74.141114111210427</v>
      </c>
      <c r="O21" s="27">
        <f>N21*(1+$C$21*(O5/N5-1))</f>
        <v>75.634749564904482</v>
      </c>
      <c r="P21" s="27">
        <f>N21*(1+$C$21*(P5/N5-1))</f>
        <v>87.499477099152628</v>
      </c>
      <c r="Q21" s="27">
        <f>P21*(1+$C$21*(Q5/P5-1))</f>
        <v>126.04483059083887</v>
      </c>
      <c r="R21" s="27">
        <f>Q21*(1+$C$21*(R5/Q5-1))</f>
        <v>180.8965894594825</v>
      </c>
      <c r="S21" s="27">
        <f t="shared" ref="S21:T21" si="12">R21*(1+$C$21*(S5/R5-1))</f>
        <v>237.46050304764896</v>
      </c>
      <c r="T21" s="27">
        <f t="shared" si="12"/>
        <v>259.68376777630721</v>
      </c>
      <c r="V21" s="27"/>
      <c r="W21" s="27"/>
      <c r="X21" s="27"/>
      <c r="Y21" s="27"/>
      <c r="Z21" s="27"/>
      <c r="AA21" s="27"/>
      <c r="AB21" s="27"/>
      <c r="AC21" s="27"/>
      <c r="AD21" s="27"/>
      <c r="AE21" s="27"/>
      <c r="AF21" s="27"/>
      <c r="AG21" s="27"/>
      <c r="AH21" s="27"/>
      <c r="AI21" s="27"/>
    </row>
    <row r="22" spans="1:43">
      <c r="A22" t="s">
        <v>16</v>
      </c>
      <c r="B22" t="s">
        <v>83</v>
      </c>
      <c r="C22" s="3">
        <v>1</v>
      </c>
      <c r="D22" s="3">
        <v>1</v>
      </c>
      <c r="E22" s="3">
        <v>1</v>
      </c>
      <c r="F22" s="3">
        <v>1</v>
      </c>
      <c r="G22" s="3">
        <v>1</v>
      </c>
      <c r="H22" s="3">
        <v>1</v>
      </c>
      <c r="I22" s="19" t="s">
        <v>30</v>
      </c>
      <c r="J22" s="96">
        <f>E28</f>
        <v>20.483000000000001</v>
      </c>
      <c r="K22" s="27">
        <f>J22*(1+$C$22*(K5/J5-1))</f>
        <v>22.109059374539203</v>
      </c>
      <c r="L22" s="27">
        <f>K22*(1+$C$22*(L5/K5-1))</f>
        <v>22.65753189283458</v>
      </c>
      <c r="M22" s="27">
        <f>L22*(1+$C$22*(M5/L5-1))</f>
        <v>23.273737463088121</v>
      </c>
      <c r="N22" s="27">
        <f>M22*(1+$C$22*(N5/M5-1))</f>
        <v>22.028640397161595</v>
      </c>
      <c r="O22" s="27">
        <f>N22*(1+$C$22*(O5/N5-1))</f>
        <v>22.472425990193337</v>
      </c>
      <c r="P22" s="27">
        <f>N22*(1+$C$22*(P5/N5-1))</f>
        <v>25.997647041905793</v>
      </c>
      <c r="Q22" s="27">
        <f>P22*(1+$C$22*(Q5/P5-1))</f>
        <v>37.450155427147955</v>
      </c>
      <c r="R22" s="27">
        <f>Q22*(1+$C$22*(R5/Q5-1))</f>
        <v>53.747586154405788</v>
      </c>
      <c r="S22" s="27">
        <f t="shared" ref="S22:T22" si="13">R22*(1+$C$22*(S5/R5-1))</f>
        <v>70.553728425492025</v>
      </c>
      <c r="T22" s="27">
        <f t="shared" si="13"/>
        <v>77.156654656465889</v>
      </c>
      <c r="V22" s="27"/>
      <c r="W22" s="27"/>
      <c r="X22" s="27"/>
      <c r="Y22" s="27"/>
      <c r="Z22" s="27"/>
      <c r="AA22" s="27"/>
      <c r="AB22" s="27"/>
      <c r="AC22" s="27"/>
      <c r="AD22" s="27"/>
      <c r="AE22" s="27"/>
      <c r="AF22" s="27"/>
      <c r="AG22" s="27"/>
      <c r="AH22" s="27"/>
      <c r="AI22" s="27"/>
    </row>
    <row r="23" spans="1:43">
      <c r="A23" t="s">
        <v>16</v>
      </c>
      <c r="B23" t="s">
        <v>83</v>
      </c>
      <c r="C23" s="3">
        <v>1</v>
      </c>
      <c r="D23" s="3">
        <v>1</v>
      </c>
      <c r="E23" s="3">
        <v>1</v>
      </c>
      <c r="F23" s="3">
        <v>1</v>
      </c>
      <c r="G23" s="3">
        <v>1</v>
      </c>
      <c r="H23" s="3">
        <v>1</v>
      </c>
      <c r="I23" s="19" t="s">
        <v>30</v>
      </c>
      <c r="J23" s="96">
        <f>E29</f>
        <v>0.82199999999999995</v>
      </c>
      <c r="K23" s="27">
        <f>J23*(1+$C$23*(K5/J5-1))</f>
        <v>0.88725512892990399</v>
      </c>
      <c r="L23" s="27">
        <f>K23*(1+$C$23*(L5/K5-1))</f>
        <v>0.90926579192061818</v>
      </c>
      <c r="M23" s="27">
        <f>L23*(1+$C$23*(M5/L5-1))</f>
        <v>0.9339946391963303</v>
      </c>
      <c r="N23" s="27">
        <f>M23*(1+$C$23*(N5/M5-1))</f>
        <v>0.88402784779899579</v>
      </c>
      <c r="O23" s="27">
        <f>N23*(1+$C$23*(O5/N5-1))</f>
        <v>0.90183733651998843</v>
      </c>
      <c r="P23" s="27">
        <f>N23*(1+$C$23*(P5/N5-1))</f>
        <v>1.0433074192475009</v>
      </c>
      <c r="Q23" s="27">
        <f>P23*(1+$C$23*(Q5/P5-1))</f>
        <v>1.5029062032473572</v>
      </c>
      <c r="R23" s="27">
        <f>Q23*(1+$C$23*(R5/Q5-1))</f>
        <v>2.1569357915794343</v>
      </c>
      <c r="S23" s="27">
        <f t="shared" ref="S23:T23" si="14">R23*(1+$C$23*(S5/R5-1))</f>
        <v>2.8313804015893393</v>
      </c>
      <c r="T23" s="27">
        <f t="shared" si="14"/>
        <v>3.0963613790760607</v>
      </c>
      <c r="U23" s="27"/>
      <c r="V23" s="27"/>
      <c r="W23" s="27"/>
      <c r="X23" s="27"/>
      <c r="Y23" s="27"/>
      <c r="Z23" s="27"/>
      <c r="AA23" s="27"/>
      <c r="AB23" s="27"/>
      <c r="AC23" s="27"/>
      <c r="AD23" s="27"/>
      <c r="AE23" s="27"/>
      <c r="AF23" s="27"/>
      <c r="AG23" s="27"/>
      <c r="AH23" s="27"/>
      <c r="AI23" s="27"/>
    </row>
    <row r="24" spans="1:43">
      <c r="A24" t="s">
        <v>16</v>
      </c>
      <c r="H24" s="6"/>
      <c r="I24" s="6"/>
      <c r="J24" s="6"/>
      <c r="K24" s="7"/>
      <c r="L24" s="7"/>
    </row>
    <row r="25" spans="1:43">
      <c r="A25" t="s">
        <v>16</v>
      </c>
      <c r="H25" s="6"/>
      <c r="I25" s="6"/>
    </row>
    <row r="26" spans="1:43">
      <c r="A26" t="s">
        <v>16</v>
      </c>
      <c r="C26" s="2" t="s">
        <v>86</v>
      </c>
      <c r="E26" t="s">
        <v>15</v>
      </c>
    </row>
    <row r="27" spans="1:43">
      <c r="A27" t="s">
        <v>16</v>
      </c>
      <c r="B27" s="3" t="s">
        <v>586</v>
      </c>
      <c r="C27" s="3" t="s">
        <v>757</v>
      </c>
      <c r="D27" s="19" t="s">
        <v>30</v>
      </c>
      <c r="E27" s="154">
        <f>'BY-DMD'!I84</f>
        <v>68.938999999999993</v>
      </c>
      <c r="F27" s="3"/>
      <c r="J27" s="3">
        <f>E27</f>
        <v>68.938999999999993</v>
      </c>
      <c r="K27" s="3">
        <f>(K21*K14)</f>
        <v>74.41177777773558</v>
      </c>
      <c r="L27" s="233">
        <v>68.939278175231294</v>
      </c>
      <c r="M27" s="3">
        <f t="shared" ref="M27:R27" si="15">(M21*M14)</f>
        <v>78.331698821844057</v>
      </c>
      <c r="N27" s="3">
        <f t="shared" si="15"/>
        <v>74.141114111210427</v>
      </c>
      <c r="O27" s="3">
        <f t="shared" si="15"/>
        <v>75.634749564904482</v>
      </c>
      <c r="P27" s="3">
        <f t="shared" si="15"/>
        <v>48.461248854915304</v>
      </c>
      <c r="Q27" s="3">
        <f t="shared" si="15"/>
        <v>64.476778725313721</v>
      </c>
      <c r="R27" s="3">
        <f t="shared" si="15"/>
        <v>84.882245823295634</v>
      </c>
      <c r="S27" s="3">
        <f t="shared" ref="S27:T27" si="16">(S21*S14)</f>
        <v>237.46050304764896</v>
      </c>
      <c r="T27" s="3">
        <f t="shared" si="16"/>
        <v>259.68376777630721</v>
      </c>
      <c r="U27" s="3" t="s">
        <v>682</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
        <v>587</v>
      </c>
      <c r="C28" s="3" t="s">
        <v>758</v>
      </c>
      <c r="D28" s="19" t="s">
        <v>30</v>
      </c>
      <c r="E28" s="154">
        <f>'BY-DMD'!I85</f>
        <v>20.483000000000001</v>
      </c>
      <c r="F28" s="3"/>
      <c r="J28" s="3">
        <f>E28</f>
        <v>20.483000000000001</v>
      </c>
      <c r="K28" s="3">
        <f>(K22*K15)</f>
        <v>22.109059374539203</v>
      </c>
      <c r="L28" s="234">
        <v>20.465228059152793</v>
      </c>
      <c r="M28" s="3">
        <f t="shared" ref="M28" si="17">(M22*M15)</f>
        <v>23.273737463088121</v>
      </c>
      <c r="N28" s="3">
        <f t="shared" ref="N28" si="18">(N22*N15)</f>
        <v>22.028640397161595</v>
      </c>
      <c r="O28" s="3">
        <f t="shared" ref="O28" si="19">(O22*O15)</f>
        <v>22.472425990193337</v>
      </c>
      <c r="P28" s="3">
        <f t="shared" ref="P28:R29" si="20">(P22*P15)</f>
        <v>14.398696823209363</v>
      </c>
      <c r="Q28" s="3">
        <f t="shared" si="20"/>
        <v>19.157194891579529</v>
      </c>
      <c r="R28" s="3">
        <f t="shared" si="20"/>
        <v>25.220021195528869</v>
      </c>
      <c r="S28" s="3">
        <f t="shared" ref="S28:T28" si="21">(S22*S15)</f>
        <v>70.553728425492025</v>
      </c>
      <c r="T28" s="3">
        <f t="shared" si="21"/>
        <v>77.156654656465889</v>
      </c>
      <c r="U28" t="s">
        <v>681</v>
      </c>
      <c r="AF28" s="284"/>
      <c r="AG28" s="285">
        <v>2017</v>
      </c>
      <c r="AH28" s="285">
        <v>2018</v>
      </c>
      <c r="AI28" s="285">
        <v>2019</v>
      </c>
      <c r="AJ28" s="285">
        <v>2025</v>
      </c>
      <c r="AK28" s="285">
        <v>2030</v>
      </c>
      <c r="AN28" s="3"/>
      <c r="AO28" s="3"/>
      <c r="AP28" s="3"/>
      <c r="AQ28" s="3"/>
    </row>
    <row r="29" spans="1:43">
      <c r="A29" t="s">
        <v>16</v>
      </c>
      <c r="B29" s="3" t="s">
        <v>365</v>
      </c>
      <c r="C29" s="3" t="s">
        <v>759</v>
      </c>
      <c r="D29" s="19" t="s">
        <v>30</v>
      </c>
      <c r="E29" s="154">
        <f>'BY-DMD'!I86</f>
        <v>0.82199999999999995</v>
      </c>
      <c r="F29" s="3"/>
      <c r="J29" s="3">
        <f t="shared" ref="J29" si="22">E29</f>
        <v>0.82199999999999995</v>
      </c>
      <c r="K29" s="3">
        <f>(K23*K16)</f>
        <v>0.88725512892990399</v>
      </c>
      <c r="L29" s="235">
        <f>(L23*L16)</f>
        <v>0.90926579192061818</v>
      </c>
      <c r="M29" s="3">
        <f>(M23*M16)</f>
        <v>0.9339946391963303</v>
      </c>
      <c r="N29" s="3">
        <f>(N23*N16)</f>
        <v>0.88402784779899579</v>
      </c>
      <c r="O29" s="3">
        <f>(O23*O16)</f>
        <v>0</v>
      </c>
      <c r="P29" s="3">
        <f t="shared" si="20"/>
        <v>1.0433074192475009</v>
      </c>
      <c r="Q29" s="3">
        <f t="shared" si="20"/>
        <v>1.5029062032473572</v>
      </c>
      <c r="R29" s="3">
        <f>(R23*R16)</f>
        <v>2.1569357915794343</v>
      </c>
      <c r="S29" s="3">
        <f t="shared" ref="S29:T29" si="23">(S23*S16)</f>
        <v>2.8313804015893393</v>
      </c>
      <c r="T29" s="3">
        <f t="shared" si="23"/>
        <v>3.0963613790760607</v>
      </c>
      <c r="U29" t="s">
        <v>671</v>
      </c>
      <c r="V29" s="21"/>
      <c r="X29" t="s">
        <v>680</v>
      </c>
      <c r="Y29" s="3"/>
      <c r="Z29" s="3"/>
      <c r="AA29" s="3"/>
      <c r="AB29" s="3"/>
      <c r="AC29" s="3"/>
      <c r="AD29" s="3"/>
      <c r="AE29" s="3"/>
      <c r="AF29" s="286" t="s">
        <v>683</v>
      </c>
      <c r="AG29" s="284">
        <v>13</v>
      </c>
      <c r="AH29" s="284">
        <v>12.6</v>
      </c>
      <c r="AI29" s="284">
        <v>12.3</v>
      </c>
      <c r="AJ29" s="286">
        <v>9.6</v>
      </c>
      <c r="AK29" s="286">
        <v>8.6999999999999993</v>
      </c>
      <c r="AL29" s="3"/>
      <c r="AM29" s="3"/>
      <c r="AN29" s="3"/>
      <c r="AO29" s="3"/>
      <c r="AP29" s="3"/>
      <c r="AQ29" s="3"/>
    </row>
    <row r="30" spans="1:43">
      <c r="A30" t="s">
        <v>16</v>
      </c>
      <c r="D30" s="19"/>
      <c r="E30" s="44"/>
      <c r="F30" s="3"/>
      <c r="J30" s="3"/>
      <c r="K30" s="3"/>
      <c r="L30" s="3"/>
      <c r="N30" s="3"/>
      <c r="P30" s="3"/>
      <c r="Q30" s="3"/>
      <c r="R30" s="3"/>
      <c r="S30" s="3"/>
      <c r="T30" s="3"/>
      <c r="U30" t="s">
        <v>672</v>
      </c>
      <c r="V30" s="3"/>
      <c r="W30" s="3"/>
      <c r="X30" t="s">
        <v>677</v>
      </c>
      <c r="Y30" s="3"/>
      <c r="Z30" s="3"/>
      <c r="AA30" s="3"/>
      <c r="AB30" s="3"/>
      <c r="AD30" s="3"/>
      <c r="AE30" s="3"/>
      <c r="AF30" s="286" t="s">
        <v>683</v>
      </c>
      <c r="AG30" s="286">
        <v>11.3</v>
      </c>
      <c r="AH30" s="286">
        <v>11</v>
      </c>
      <c r="AI30" s="286">
        <v>10.9</v>
      </c>
      <c r="AJ30" s="286">
        <v>7.2</v>
      </c>
      <c r="AK30" s="286">
        <v>6.1</v>
      </c>
      <c r="AL30" s="3"/>
      <c r="AM30" s="3"/>
      <c r="AN30" s="3"/>
      <c r="AO30" s="3"/>
      <c r="AP30" s="3"/>
      <c r="AQ30" s="3"/>
    </row>
    <row r="31" spans="1:43" ht="18" thickBot="1">
      <c r="A31" t="s">
        <v>16</v>
      </c>
      <c r="B31" s="49" t="s">
        <v>579</v>
      </c>
      <c r="C31" s="13"/>
      <c r="D31" s="9"/>
      <c r="E31" s="9"/>
      <c r="F31" s="9"/>
      <c r="G31" s="9"/>
      <c r="H31" s="9"/>
      <c r="I31" s="9"/>
    </row>
    <row r="32" spans="1:43" ht="15.75" thickTop="1">
      <c r="A32" t="s">
        <v>16</v>
      </c>
      <c r="E32">
        <v>2017</v>
      </c>
      <c r="F32">
        <v>2020</v>
      </c>
      <c r="G32">
        <v>2030</v>
      </c>
      <c r="H32">
        <v>2050</v>
      </c>
    </row>
    <row r="33" spans="1:77">
      <c r="A33" t="s">
        <v>16</v>
      </c>
      <c r="B33" s="3" t="s">
        <v>801</v>
      </c>
      <c r="C33" s="3" t="s">
        <v>579</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7.0390063361474446</v>
      </c>
      <c r="P33" s="3" cm="1">
        <f t="array" ref="P33">INDEX(Drivers!$C$7:$AG$25,$D33,P$3)</f>
        <v>8.1432063602192937</v>
      </c>
      <c r="Q33" s="3" cm="1">
        <f t="array" ref="Q33">INDEX(Drivers!$C$7:$AG$25,$D33,Q$3)</f>
        <v>11.730459428654374</v>
      </c>
      <c r="R33" s="3" cm="1">
        <f t="array" ref="R33">INDEX(Drivers!$C$7:$AG$25,$D33,R$3)</f>
        <v>16.835280697268328</v>
      </c>
      <c r="S33" s="3" cm="1">
        <f t="array" ref="S33">INDEX(Drivers!$C$7:$AK$25,$D33,S$3)</f>
        <v>22.099444966136996</v>
      </c>
      <c r="T33" s="3" cm="1">
        <f t="array" ref="T33">INDEX(Drivers!$C$7:$AK$25,$D33,T$3)</f>
        <v>24.16767024796556</v>
      </c>
      <c r="U33" s="3"/>
      <c r="V33" s="3"/>
      <c r="W33" s="3"/>
      <c r="X33" s="3"/>
      <c r="Y33" s="3"/>
      <c r="Z33" s="3"/>
      <c r="AA33" s="3"/>
      <c r="AB33" s="3"/>
      <c r="AC33" s="3"/>
      <c r="AD33" s="3"/>
      <c r="AE33" s="3"/>
      <c r="AF33" s="3"/>
      <c r="AG33" s="3"/>
      <c r="AH33" s="3"/>
      <c r="AI33" s="3"/>
      <c r="AJ33" s="3"/>
      <c r="AK33" s="3"/>
      <c r="AL33" s="3"/>
      <c r="AM33" s="3"/>
      <c r="AN33" s="3"/>
      <c r="AO33" s="3"/>
      <c r="AP33" s="3"/>
      <c r="AQ33" s="3"/>
    </row>
    <row r="34" spans="1:77">
      <c r="A34" t="s">
        <v>16</v>
      </c>
    </row>
    <row r="35" spans="1:77">
      <c r="A35" t="s">
        <v>16</v>
      </c>
    </row>
    <row r="36" spans="1:77" ht="15.75" thickBot="1">
      <c r="A36" t="s">
        <v>16</v>
      </c>
      <c r="B36" s="13" t="s">
        <v>143</v>
      </c>
    </row>
    <row r="37" spans="1:77">
      <c r="A37" t="s">
        <v>16</v>
      </c>
      <c r="E37" t="s">
        <v>15</v>
      </c>
    </row>
    <row r="38" spans="1:77">
      <c r="A38" t="s">
        <v>16</v>
      </c>
      <c r="B38" t="s">
        <v>122</v>
      </c>
      <c r="C38" t="s">
        <v>92</v>
      </c>
      <c r="D38" t="s">
        <v>30</v>
      </c>
      <c r="E38" s="44">
        <f>'[2]TS BYDem'!$J$33</f>
        <v>0.820564128</v>
      </c>
      <c r="J38" s="3">
        <f>E38</f>
        <v>0.820564128</v>
      </c>
      <c r="K38" s="3">
        <f>J38</f>
        <v>0.820564128</v>
      </c>
      <c r="L38" s="235">
        <f>K38</f>
        <v>0.820564128</v>
      </c>
      <c r="M38" s="3">
        <f>AVERAGE(L38,J38,K38)</f>
        <v>0.820564128</v>
      </c>
      <c r="N38" s="3">
        <f>M38</f>
        <v>0.820564128</v>
      </c>
      <c r="O38" s="3">
        <f t="shared" ref="O38:T38" si="24">N38</f>
        <v>0.820564128</v>
      </c>
      <c r="P38" s="3">
        <f t="shared" si="24"/>
        <v>0.820564128</v>
      </c>
      <c r="Q38" s="3">
        <f t="shared" si="24"/>
        <v>0.820564128</v>
      </c>
      <c r="R38" s="3">
        <f t="shared" si="24"/>
        <v>0.820564128</v>
      </c>
      <c r="S38" s="3">
        <f t="shared" si="24"/>
        <v>0.820564128</v>
      </c>
      <c r="T38" s="3">
        <f t="shared" si="24"/>
        <v>0.820564128</v>
      </c>
    </row>
    <row r="39" spans="1:77">
      <c r="A39" t="s">
        <v>16</v>
      </c>
    </row>
    <row r="40" spans="1:77" ht="18" thickBot="1">
      <c r="A40" t="s">
        <v>16</v>
      </c>
      <c r="C40" s="49" t="s">
        <v>145</v>
      </c>
    </row>
    <row r="41" spans="1:77" ht="15.75" thickTop="1">
      <c r="A41" t="s">
        <v>16</v>
      </c>
      <c r="B41" t="s">
        <v>146</v>
      </c>
      <c r="C41" t="s">
        <v>147</v>
      </c>
      <c r="D41" s="19" t="s">
        <v>30</v>
      </c>
      <c r="E41" s="44">
        <f>'[2]TS BYDem'!$J$37</f>
        <v>4.5090000000000003</v>
      </c>
      <c r="J41" s="3">
        <f>E41</f>
        <v>4.5090000000000003</v>
      </c>
      <c r="K41" s="3">
        <f>K$33/J$33*J41</f>
        <v>4.8669505794950583</v>
      </c>
      <c r="L41" s="234">
        <f>0.001*(26455.61401-21947)</f>
        <v>4.5086140100000014</v>
      </c>
      <c r="M41" s="3">
        <f>M$33/J$33*J41</f>
        <v>5.123335557343375</v>
      </c>
      <c r="N41" s="3">
        <f>N$33/K$33*K41</f>
        <v>4.849247646868216</v>
      </c>
      <c r="O41" s="3">
        <f>O$33/L$33*L41</f>
        <v>4.4717798539264564</v>
      </c>
      <c r="P41" s="3">
        <f>P$33/N$33*N41</f>
        <v>5.7229600406167682</v>
      </c>
      <c r="Q41" s="3">
        <f>Q$33/P$33*P41</f>
        <v>8.2440438813167116</v>
      </c>
      <c r="R41" s="3">
        <f>R$33/Q$33*Q41</f>
        <v>11.83165873994121</v>
      </c>
      <c r="S41" s="3">
        <f t="shared" ref="S41:T41" si="25">S$33/R$33*R41</f>
        <v>15.531258188280216</v>
      </c>
      <c r="T41" s="3">
        <f t="shared" si="25"/>
        <v>16.984785229019423</v>
      </c>
      <c r="U41" s="3"/>
      <c r="V41" s="3"/>
      <c r="W41" s="3"/>
      <c r="X41" s="3"/>
      <c r="Y41" s="3"/>
      <c r="Z41" s="3"/>
      <c r="AA41" s="3"/>
      <c r="AB41" s="3"/>
      <c r="AC41" s="3"/>
      <c r="AD41" s="3"/>
      <c r="AE41" s="3"/>
      <c r="AF41" s="3"/>
      <c r="AG41" s="3"/>
      <c r="AH41" s="3"/>
      <c r="AI41" s="3"/>
      <c r="AJ41" s="3"/>
      <c r="AK41" s="3"/>
      <c r="AL41" s="3"/>
      <c r="AM41" s="3"/>
      <c r="AN41" s="3"/>
      <c r="AO41" s="3"/>
      <c r="AP41" s="3"/>
      <c r="AQ41" s="3"/>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1"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77">
      <c r="A45" s="31"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3.25">
      <c r="A47" s="31" t="s">
        <v>16</v>
      </c>
      <c r="B47" s="101" t="s">
        <v>19</v>
      </c>
      <c r="C47" s="101" t="s">
        <v>20</v>
      </c>
      <c r="D47" s="101" t="s">
        <v>21</v>
      </c>
      <c r="E47" s="101" t="s">
        <v>22</v>
      </c>
      <c r="F47" s="101" t="s">
        <v>23</v>
      </c>
      <c r="G47" s="101" t="s">
        <v>24</v>
      </c>
      <c r="H47" s="101" t="s">
        <v>594</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6">MATCH(J$47,$C$43:$K$43,$B43)</f>
        <v>1</v>
      </c>
      <c r="K48" s="98">
        <f>MATCH(K$47,$C$43:$K$43,$B43)</f>
        <v>1</v>
      </c>
      <c r="L48" s="98">
        <f t="shared" si="26"/>
        <v>2</v>
      </c>
      <c r="M48" s="98">
        <f t="shared" si="26"/>
        <v>3</v>
      </c>
      <c r="N48" s="98">
        <f t="shared" si="26"/>
        <v>4</v>
      </c>
      <c r="O48" s="98">
        <f t="shared" si="26"/>
        <v>4</v>
      </c>
      <c r="P48" s="98">
        <f t="shared" si="26"/>
        <v>4</v>
      </c>
      <c r="Q48" s="98">
        <f t="shared" si="26"/>
        <v>4</v>
      </c>
      <c r="R48" s="98">
        <f t="shared" si="26"/>
        <v>4</v>
      </c>
      <c r="S48" s="98">
        <f t="shared" si="26"/>
        <v>4</v>
      </c>
      <c r="T48" s="98">
        <f t="shared" si="26"/>
        <v>4</v>
      </c>
      <c r="U48" s="98">
        <f t="shared" si="26"/>
        <v>4</v>
      </c>
      <c r="V48" s="98">
        <f t="shared" si="26"/>
        <v>4</v>
      </c>
      <c r="W48" s="98">
        <f t="shared" si="26"/>
        <v>5</v>
      </c>
      <c r="X48" s="98">
        <f t="shared" si="26"/>
        <v>5</v>
      </c>
      <c r="Y48" s="98">
        <f t="shared" si="26"/>
        <v>5</v>
      </c>
      <c r="Z48" s="98">
        <f t="shared" si="26"/>
        <v>5</v>
      </c>
      <c r="AA48" s="98">
        <f t="shared" si="26"/>
        <v>5</v>
      </c>
      <c r="AB48" s="98">
        <f t="shared" si="26"/>
        <v>5</v>
      </c>
      <c r="AC48" s="98">
        <f t="shared" si="26"/>
        <v>5</v>
      </c>
      <c r="AD48" s="98">
        <f t="shared" si="26"/>
        <v>5</v>
      </c>
      <c r="AE48" s="98">
        <f t="shared" si="26"/>
        <v>5</v>
      </c>
      <c r="AF48" s="98">
        <f t="shared" si="26"/>
        <v>5</v>
      </c>
      <c r="AG48" s="98">
        <f t="shared" si="26"/>
        <v>6</v>
      </c>
      <c r="AH48" s="98">
        <f t="shared" si="26"/>
        <v>6</v>
      </c>
      <c r="AI48" s="98">
        <f t="shared" si="26"/>
        <v>6</v>
      </c>
      <c r="AJ48" s="98">
        <f t="shared" si="26"/>
        <v>6</v>
      </c>
      <c r="AK48" s="98">
        <f t="shared" si="26"/>
        <v>6</v>
      </c>
      <c r="AL48" s="98">
        <f t="shared" si="26"/>
        <v>6</v>
      </c>
      <c r="AM48" s="98">
        <f t="shared" si="26"/>
        <v>7</v>
      </c>
      <c r="AN48" s="98">
        <f t="shared" si="26"/>
        <v>8</v>
      </c>
      <c r="AO48" s="98">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1">
        <f t="shared" ref="J49:AO49" si="27">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77">
      <c r="A50" t="s">
        <v>16</v>
      </c>
      <c r="J50" s="31">
        <f t="shared" ref="J50:AO50" si="28">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0" customFormat="1">
      <c r="A51" s="100" t="s">
        <v>16</v>
      </c>
      <c r="J51" s="66">
        <f t="shared" ref="J51" si="29">IF(ISNA(J48),-1,IF(ISNA(J50),99,IF(ISNA(J49),J48,0)))</f>
        <v>0</v>
      </c>
      <c r="K51" s="66">
        <f>IF(ISNA(K48),-1,IF(ISNA(K50),99,IF(ISNA(K49),K48,0)))</f>
        <v>1</v>
      </c>
      <c r="L51" s="66">
        <f t="shared" ref="L51:AO51" si="30">IF(ISNA(L48),-1,IF(ISNA(L50),99,IF(ISNA(L49),L48,0)))</f>
        <v>0</v>
      </c>
      <c r="M51" s="66">
        <f t="shared" si="30"/>
        <v>0</v>
      </c>
      <c r="N51" s="66">
        <f t="shared" si="30"/>
        <v>0</v>
      </c>
      <c r="O51" s="66">
        <f t="shared" si="30"/>
        <v>4</v>
      </c>
      <c r="P51" s="66">
        <f t="shared" si="30"/>
        <v>4</v>
      </c>
      <c r="Q51" s="66">
        <f t="shared" si="30"/>
        <v>4</v>
      </c>
      <c r="R51" s="66">
        <f t="shared" si="30"/>
        <v>4</v>
      </c>
      <c r="S51" s="66">
        <f t="shared" si="30"/>
        <v>4</v>
      </c>
      <c r="T51" s="66">
        <f t="shared" si="30"/>
        <v>4</v>
      </c>
      <c r="U51" s="66">
        <f t="shared" si="30"/>
        <v>4</v>
      </c>
      <c r="V51" s="66">
        <f t="shared" si="30"/>
        <v>4</v>
      </c>
      <c r="W51" s="66">
        <f t="shared" si="30"/>
        <v>0</v>
      </c>
      <c r="X51" s="66">
        <f t="shared" si="30"/>
        <v>5</v>
      </c>
      <c r="Y51" s="66">
        <f t="shared" si="30"/>
        <v>5</v>
      </c>
      <c r="Z51" s="66">
        <f t="shared" si="30"/>
        <v>5</v>
      </c>
      <c r="AA51" s="66">
        <f t="shared" si="30"/>
        <v>5</v>
      </c>
      <c r="AB51" s="66">
        <f t="shared" si="30"/>
        <v>5</v>
      </c>
      <c r="AC51" s="66">
        <f t="shared" si="30"/>
        <v>5</v>
      </c>
      <c r="AD51" s="66">
        <f t="shared" si="30"/>
        <v>5</v>
      </c>
      <c r="AE51" s="66">
        <f t="shared" si="30"/>
        <v>5</v>
      </c>
      <c r="AF51" s="66">
        <f t="shared" si="30"/>
        <v>5</v>
      </c>
      <c r="AG51" s="66">
        <f t="shared" si="30"/>
        <v>0</v>
      </c>
      <c r="AH51" s="66">
        <f t="shared" si="30"/>
        <v>6</v>
      </c>
      <c r="AI51" s="66">
        <f t="shared" si="30"/>
        <v>6</v>
      </c>
      <c r="AJ51" s="66">
        <f t="shared" si="30"/>
        <v>6</v>
      </c>
      <c r="AK51" s="66">
        <f t="shared" si="30"/>
        <v>6</v>
      </c>
      <c r="AL51" s="66">
        <f t="shared" si="30"/>
        <v>6</v>
      </c>
      <c r="AM51" s="66">
        <f t="shared" si="30"/>
        <v>0</v>
      </c>
      <c r="AN51" s="66">
        <f t="shared" si="30"/>
        <v>0</v>
      </c>
      <c r="AO51" s="66">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1" t="s">
        <v>113</v>
      </c>
      <c r="B52" s="15" t="str">
        <f t="shared" ref="B52:B56" si="31">IF(A52="*","","COM_PROJ")</f>
        <v>COM_PROJ</v>
      </c>
      <c r="C52" s="16" t="str">
        <f t="shared" ref="C52:C56" si="32">IF($A52="*","","-")</f>
        <v>-</v>
      </c>
      <c r="D52" s="43" t="s">
        <v>122</v>
      </c>
      <c r="E52" s="16" t="str">
        <f t="shared" ref="E52:H56" si="33">IF($A52="*","","-")</f>
        <v>-</v>
      </c>
      <c r="F52" s="16" t="str">
        <f t="shared" si="33"/>
        <v>-</v>
      </c>
      <c r="G52" s="16" t="str">
        <f t="shared" si="33"/>
        <v>-</v>
      </c>
      <c r="H52" s="16" t="str">
        <f t="shared" si="33"/>
        <v>-</v>
      </c>
      <c r="I52" s="106">
        <f t="shared" ref="I52:I56" si="34">IF(A52="*","",0)</f>
        <v>0</v>
      </c>
      <c r="J52" s="3">
        <f>L38</f>
        <v>0.820564128</v>
      </c>
      <c r="K52" s="3" cm="1">
        <f t="array" ref="K52">IF(K$51=-1,L52,IF(K$51=99,J52,IF(K$51=0,INDEX($L38:$T38,0,K$49),(INDEX($L38:$T38,0,K$51+1)-INDEX($J38:$R38,0,K$51))/(INDEX($J$4:$R$4,0,K$51+1)-INDEX($J$4:$R$4,0,K$51))+J52)))</f>
        <v>0.820564128</v>
      </c>
      <c r="L52" s="3" cm="1">
        <f t="array" ref="L52">IF(L$51=-1,M52,IF(L$51=99,K52,IF(L$51=0,INDEX($L38:$T38,0,L$49),(INDEX($L38:$T38,0,L$51+1)-INDEX($J38:$R38,0,L$51))/(INDEX($J$4:$R$4,0,L$51+1)-INDEX($J$4:$R$4,0,L$51))+K52)))</f>
        <v>0.820564128</v>
      </c>
      <c r="M52" s="3" cm="1">
        <f t="array" ref="M52">IF(M$51=-1,N52,IF(M$51=99,L52,IF(M$51=0,INDEX($L38:$T38,0,M$49),(INDEX($L38:$T38,0,M$51+1)-INDEX($J38:$R38,0,M$51))/(INDEX($J$4:$R$4,0,M$51+1)-INDEX($J$4:$R$4,0,M$51))+L52)))</f>
        <v>0.820564128</v>
      </c>
      <c r="N52" s="3" cm="1">
        <f t="array" ref="N52">IF(N$51=-1,O52,IF(N$51=99,M52,IF(N$51=0,INDEX($L38:$T38,0,N$49),(INDEX($L38:$T38,0,N$51+1)-INDEX($J38:$R38,0,N$51))/(INDEX($J$4:$R$4,0,N$51+1)-INDEX($J$4:$R$4,0,N$51))+M52)))</f>
        <v>0.820564128</v>
      </c>
      <c r="O52" s="3" cm="1">
        <f t="array" ref="O52">IF(O$51=-1,P52,IF(O$51=99,N52,IF(O$51=0,INDEX($L38:$T38,0,O$49),(INDEX($L38:$T38,0,O$51+1)-INDEX($J38:$R38,0,O$51))/(INDEX($J$4:$R$4,0,O$51+1)-INDEX($J$4:$R$4,0,O$51))+N52)))</f>
        <v>0.820564128</v>
      </c>
      <c r="P52" s="3" cm="1">
        <f t="array" ref="P52">IF(P$51=-1,Q52,IF(P$51=99,O52,IF(P$51=0,INDEX($L38:$T38,0,P$49),(INDEX($L38:$T38,0,P$51+1)-INDEX($J38:$R38,0,P$51))/(INDEX($J$4:$R$4,0,P$51+1)-INDEX($J$4:$R$4,0,P$51))+O52)))</f>
        <v>0.820564128</v>
      </c>
      <c r="Q52" s="3" cm="1">
        <f t="array" ref="Q52">IF(Q$51=-1,R52,IF(Q$51=99,P52,IF(Q$51=0,INDEX($L38:$T38,0,Q$49),(INDEX($L38:$T38,0,Q$51+1)-INDEX($J38:$R38,0,Q$51))/(INDEX($J$4:$R$4,0,Q$51+1)-INDEX($J$4:$R$4,0,Q$51))+P52)))</f>
        <v>0.820564128</v>
      </c>
      <c r="R52" s="3" cm="1">
        <f t="array" ref="R52">IF(R$51=-1,S52,IF(R$51=99,Q52,IF(R$51=0,INDEX($L38:$T38,0,R$49),(INDEX($L38:$T38,0,R$51+1)-INDEX($J38:$R38,0,R$51))/(INDEX($J$4:$R$4,0,R$51+1)-INDEX($J$4:$R$4,0,R$51))+Q52)))</f>
        <v>0.820564128</v>
      </c>
      <c r="S52" s="3" cm="1">
        <f t="array" ref="S52">IF(S$51=-1,T52,IF(S$51=99,R52,IF(S$51=0,INDEX($L38:$T38,0,S$49),(INDEX($L38:$T38,0,S$51+1)-INDEX($J38:$R38,0,S$51))/(INDEX($J$4:$R$4,0,S$51+1)-INDEX($J$4:$R$4,0,S$51))+R52)))</f>
        <v>0.820564128</v>
      </c>
      <c r="T52" s="3" cm="1">
        <f t="array" ref="T52">IF(T$51=-1,U52,IF(T$51=99,S52,IF(T$51=0,INDEX($L38:$T38,0,T$49),(INDEX($L38:$T38,0,T$51+1)-INDEX($J38:$R38,0,T$51))/(INDEX($J$4:$R$4,0,T$51+1)-INDEX($J$4:$R$4,0,T$51))+S52)))</f>
        <v>0.820564128</v>
      </c>
      <c r="U52" s="3" cm="1">
        <f t="array" ref="U52">IF(U$51=-1,V52,IF(U$51=99,T52,IF(U$51=0,INDEX($L38:$T38,0,U$49),(INDEX($L38:$T38,0,U$51+1)-INDEX($J38:$R38,0,U$51))/(INDEX($J$4:$R$4,0,U$51+1)-INDEX($J$4:$R$4,0,U$51))+T52)))</f>
        <v>0.820564128</v>
      </c>
      <c r="V52" s="3" cm="1">
        <f t="array" ref="V52">IF(V$51=-1,W52,IF(V$51=99,U52,IF(V$51=0,INDEX($L38:$T38,0,V$49),(INDEX($L38:$T38,0,V$51+1)-INDEX($J38:$R38,0,V$51))/(INDEX($J$4:$R$4,0,V$51+1)-INDEX($J$4:$R$4,0,V$51))+U52)))</f>
        <v>0.820564128</v>
      </c>
      <c r="W52" s="3" cm="1">
        <f t="array" ref="W52">IF(W$51=-1,X52,IF(W$51=99,V52,IF(W$51=0,INDEX($L38:$T38,0,W$49),(INDEX($L38:$T38,0,W$51+1)-INDEX($J38:$R38,0,W$51))/(INDEX($J$4:$R$4,0,W$51+1)-INDEX($J$4:$R$4,0,W$51))+V52)))</f>
        <v>0.820564128</v>
      </c>
      <c r="X52" s="3" cm="1">
        <f t="array" ref="X52">IF(X$51=-1,Y52,IF(X$51=99,W52,IF(X$51=0,INDEX($L38:$T38,0,X$49),(INDEX($L38:$T38,0,X$51+1)-INDEX($J38:$R38,0,X$51))/(INDEX($J$4:$R$4,0,X$51+1)-INDEX($J$4:$R$4,0,X$51))+W52)))</f>
        <v>0.820564128</v>
      </c>
      <c r="Y52" s="3" cm="1">
        <f t="array" ref="Y52">IF(Y$51=-1,Z52,IF(Y$51=99,X52,IF(Y$51=0,INDEX($L38:$T38,0,Y$49),(INDEX($L38:$T38,0,Y$51+1)-INDEX($J38:$R38,0,Y$51))/(INDEX($J$4:$R$4,0,Y$51+1)-INDEX($J$4:$R$4,0,Y$51))+X52)))</f>
        <v>0.820564128</v>
      </c>
      <c r="Z52" s="3" cm="1">
        <f t="array" ref="Z52">IF(Z$51=-1,AA52,IF(Z$51=99,Y52,IF(Z$51=0,INDEX($L38:$T38,0,Z$49),(INDEX($L38:$T38,0,Z$51+1)-INDEX($J38:$R38,0,Z$51))/(INDEX($J$4:$R$4,0,Z$51+1)-INDEX($J$4:$R$4,0,Z$51))+Y52)))</f>
        <v>0.820564128</v>
      </c>
      <c r="AA52" s="3" cm="1">
        <f t="array" ref="AA52">IF(AA$51=-1,AB52,IF(AA$51=99,Z52,IF(AA$51=0,INDEX($L38:$T38,0,AA$49),(INDEX($L38:$T38,0,AA$51+1)-INDEX($J38:$R38,0,AA$51))/(INDEX($J$4:$R$4,0,AA$51+1)-INDEX($J$4:$R$4,0,AA$51))+Z52)))</f>
        <v>0.820564128</v>
      </c>
      <c r="AB52" s="3" cm="1">
        <f t="array" ref="AB52">IF(AB$51=-1,AC52,IF(AB$51=99,AA52,IF(AB$51=0,INDEX($L38:$T38,0,AB$49),(INDEX($L38:$T38,0,AB$51+1)-INDEX($J38:$R38,0,AB$51))/(INDEX($J$4:$R$4,0,AB$51+1)-INDEX($J$4:$R$4,0,AB$51))+AA52)))</f>
        <v>0.820564128</v>
      </c>
      <c r="AC52" s="3" cm="1">
        <f t="array" ref="AC52">IF(AC$51=-1,AD52,IF(AC$51=99,AB52,IF(AC$51=0,INDEX($L38:$T38,0,AC$49),(INDEX($L38:$T38,0,AC$51+1)-INDEX($J38:$R38,0,AC$51))/(INDEX($J$4:$R$4,0,AC$51+1)-INDEX($J$4:$R$4,0,AC$51))+AB52)))</f>
        <v>0.820564128</v>
      </c>
      <c r="AD52" s="3" cm="1">
        <f t="array" ref="AD52">IF(AD$51=-1,AE52,IF(AD$51=99,AC52,IF(AD$51=0,INDEX($L38:$T38,0,AD$49),(INDEX($L38:$T38,0,AD$51+1)-INDEX($J38:$R38,0,AD$51))/(INDEX($J$4:$R$4,0,AD$51+1)-INDEX($J$4:$R$4,0,AD$51))+AC52)))</f>
        <v>0.820564128</v>
      </c>
      <c r="AE52" s="3" cm="1">
        <f t="array" ref="AE52">IF(AE$51=-1,AF52,IF(AE$51=99,AD52,IF(AE$51=0,INDEX($L38:$T38,0,AE$49),(INDEX($L38:$T38,0,AE$51+1)-INDEX($J38:$R38,0,AE$51))/(INDEX($J$4:$R$4,0,AE$51+1)-INDEX($J$4:$R$4,0,AE$51))+AD52)))</f>
        <v>0.820564128</v>
      </c>
      <c r="AF52" s="3" cm="1">
        <f t="array" ref="AF52">IF(AF$51=-1,AG52,IF(AF$51=99,AE52,IF(AF$51=0,INDEX($L38:$T38,0,AF$49),(INDEX($L38:$T38,0,AF$51+1)-INDEX($J38:$R38,0,AF$51))/(INDEX($J$4:$R$4,0,AF$51+1)-INDEX($J$4:$R$4,0,AF$51))+AE52)))</f>
        <v>0.820564128</v>
      </c>
      <c r="AG52" s="3" cm="1">
        <f t="array" ref="AG52">IF(AG$51=-1,AH52,IF(AG$51=99,AF52,IF(AG$51=0,INDEX($L38:$T38,0,AG$49),(INDEX($L38:$T38,0,AG$51+1)-INDEX($J38:$R38,0,AG$51))/(INDEX($J$4:$R$4,0,AG$51+1)-INDEX($J$4:$R$4,0,AG$51))+AF52)))</f>
        <v>0.820564128</v>
      </c>
      <c r="AH52" s="3" cm="1">
        <f t="array" ref="AH52">IF(AH$51=-1,AI52,IF(AH$51=99,AG52,IF(AH$51=0,INDEX($L38:$T38,0,AH$49),(INDEX($L38:$T38,0,AH$51+1)-INDEX($J38:$R38,0,AH$51))/(INDEX($J$4:$R$4,0,AH$51+1)-INDEX($J$4:$R$4,0,AH$51))+AG52)))</f>
        <v>0.820564128</v>
      </c>
      <c r="AI52" s="3" cm="1">
        <f t="array" ref="AI52">IF(AI$51=-1,AJ52,IF(AI$51=99,AH52,IF(AI$51=0,INDEX($L38:$T38,0,AI$49),(INDEX($L38:$T38,0,AI$51+1)-INDEX($J38:$R38,0,AI$51))/(INDEX($J$4:$R$4,0,AI$51+1)-INDEX($J$4:$R$4,0,AI$51))+AH52)))</f>
        <v>0.820564128</v>
      </c>
      <c r="AJ52" s="3" cm="1">
        <f t="array" ref="AJ52">IF(AJ$51=-1,AK52,IF(AJ$51=99,AI52,IF(AJ$51=0,INDEX($L38:$T38,0,AJ$49),(INDEX($L38:$T38,0,AJ$51+1)-INDEX($J38:$R38,0,AJ$51))/(INDEX($J$4:$R$4,0,AJ$51+1)-INDEX($J$4:$R$4,0,AJ$51))+AI52)))</f>
        <v>0.820564128</v>
      </c>
      <c r="AK52" s="3" cm="1">
        <f t="array" ref="AK52">IF(AK$51=-1,AL52,IF(AK$51=99,AJ52,IF(AK$51=0,INDEX($L38:$T38,0,AK$49),(INDEX($L38:$T38,0,AK$51+1)-INDEX($J38:$R38,0,AK$51))/(INDEX($J$4:$R$4,0,AK$51+1)-INDEX($J$4:$R$4,0,AK$51))+AJ52)))</f>
        <v>0.820564128</v>
      </c>
      <c r="AL52" s="3" cm="1">
        <f t="array" ref="AL52">IF(AL$51=-1,AM52,IF(AL$51=99,AK52,IF(AL$51=0,INDEX($L38:$T38,0,AL$49),(INDEX($L38:$T38,0,AL$51+1)-INDEX($J38:$R38,0,AL$51))/(INDEX($J$4:$R$4,0,AL$51+1)-INDEX($J$4:$R$4,0,AL$51))+AK52)))</f>
        <v>0.820564128</v>
      </c>
      <c r="AM52" s="3" cm="1">
        <f t="array" ref="AM52">IF(AM$51=-1,AN52,IF(AM$51=99,AL52,IF(AM$51=0,INDEX($L38:$T38,0,AM$49),(INDEX($L38:$T38,0,AM$51+1)-INDEX($J38:$R38,0,AM$51))/(INDEX($J$4:$R$4,0,AM$51+1)-INDEX($J$4:$R$4,0,AM$51))+AL52)))</f>
        <v>0.820564128</v>
      </c>
      <c r="AN52" s="3" cm="1">
        <f t="array" ref="AN52">IF(AN$51=-1,AO52,IF(AN$51=99,AM52,IF(AN$51=0,INDEX($L38:$T38,0,AN$49),(INDEX($L38:$T38,0,AN$51+1)-INDEX($J38:$R38,0,AN$51))/(INDEX($J$4:$R$4,0,AN$51+1)-INDEX($J$4:$R$4,0,AN$51))+AM52)))</f>
        <v>0.820564128</v>
      </c>
      <c r="AO52" s="3" cm="1">
        <f t="array" ref="AO52">IF(AO$51=-1,AP52,IF(AO$51=99,AN52,IF(AO$51=0,INDEX($L38:$T38,0,AO$49),(INDEX($L38:$T38,0,AO$51+1)-INDEX($J38:$R38,0,AO$51))/(INDEX($J$4:$R$4,0,AO$51+1)-INDEX($J$4:$R$4,0,AO$51))+AN52)))</f>
        <v>0.820564128</v>
      </c>
    </row>
    <row r="53" spans="1:77">
      <c r="A53" s="31"/>
      <c r="B53" s="15" t="str">
        <f t="shared" si="31"/>
        <v>COM_PROJ</v>
      </c>
      <c r="C53" s="16" t="str">
        <f t="shared" si="32"/>
        <v>-</v>
      </c>
      <c r="D53" s="43" t="str">
        <f>B27</f>
        <v>TAIJET</v>
      </c>
      <c r="E53" s="16" t="str">
        <f t="shared" si="33"/>
        <v>-</v>
      </c>
      <c r="F53" s="16" t="str">
        <f t="shared" si="33"/>
        <v>-</v>
      </c>
      <c r="G53" s="16" t="str">
        <f t="shared" si="33"/>
        <v>-</v>
      </c>
      <c r="H53" s="16" t="str">
        <f t="shared" si="33"/>
        <v>-</v>
      </c>
      <c r="I53" s="106">
        <f t="shared" si="34"/>
        <v>0</v>
      </c>
      <c r="J53" s="3">
        <f>L27</f>
        <v>68.939278175231294</v>
      </c>
      <c r="K53" s="3" cm="1">
        <f t="array" ref="K53">IF(K$51=-1,L53,IF(K$51=99,J53,IF(K$51=0,INDEX($L27:$T27,0,K$49),(INDEX($L27:$T27,0,K$51+1)-INDEX($L27:$T27,0,K$51))/(INDEX($L$4:$T$4,0,K$51+1)-INDEX($L$4:$T$4,0,K$51))+J53)))</f>
        <v>73.635488498537683</v>
      </c>
      <c r="L53" s="3" cm="1">
        <f t="array" ref="L53">IF(L$51=-1,M53,IF(L$51=99,K53,IF(L$51=0,INDEX($L27:$T27,0,L$49),(INDEX($L27:$T27,0,L$51+1)-INDEX($L27:$T27,0,L$51))/(INDEX($L$4:$T$4,0,L$51+1)-INDEX($L$4:$T$4,0,L$51))+K53)))</f>
        <v>78.331698821844057</v>
      </c>
      <c r="M53" s="3" cm="1">
        <f t="array" ref="M53">IF(M$51=-1,N53,IF(M$51=99,L53,IF(M$51=0,INDEX($L27:$T27,0,M$49),(INDEX($L27:$T27,0,M$51+1)-INDEX($L27:$T27,0,M$51))/(INDEX($L$4:$T$4,0,M$51+1)-INDEX($L$4:$T$4,0,M$51))+L53)))</f>
        <v>74.141114111210427</v>
      </c>
      <c r="N53" s="3" cm="1">
        <f t="array" ref="N53">IF(N$51=-1,O53,IF(N$51=99,M53,IF(N$51=0,INDEX($L27:$T27,0,N$49),(INDEX($L27:$T27,0,N$51+1)-INDEX($L27:$T27,0,N$51))/(INDEX($L$4:$T$4,0,N$51+1)-INDEX($L$4:$T$4,0,N$51))+M53)))</f>
        <v>75.634749564904482</v>
      </c>
      <c r="O53" s="3" cm="1">
        <f t="array" ref="O53">IF(O$51=-1,P53,IF(O$51=99,N53,IF(O$51=0,INDEX($L27:$T27,0,O$49),(INDEX($L27:$T27,0,O$51+1)-INDEX($L27:$T27,0,O$51))/(INDEX($L$4:$T$4,0,O$51+1)-INDEX($L$4:$T$4,0,O$51))+N53)))</f>
        <v>72.615471708239014</v>
      </c>
      <c r="P53" s="3" cm="1">
        <f t="array" ref="P53">IF(P$51=-1,Q53,IF(P$51=99,O53,IF(P$51=0,INDEX($L27:$T27,0,P$49),(INDEX($L27:$T27,0,P$51+1)-INDEX($L27:$T27,0,P$51))/(INDEX($L$4:$T$4,0,P$51+1)-INDEX($L$4:$T$4,0,P$51))+O53)))</f>
        <v>69.596193851573545</v>
      </c>
      <c r="Q53" s="3" cm="1">
        <f t="array" ref="Q53">IF(Q$51=-1,R53,IF(Q$51=99,P53,IF(Q$51=0,INDEX($L27:$T27,0,Q$49),(INDEX($L27:$T27,0,Q$51+1)-INDEX($L27:$T27,0,Q$51))/(INDEX($L$4:$T$4,0,Q$51+1)-INDEX($L$4:$T$4,0,Q$51))+P53)))</f>
        <v>66.576915994908077</v>
      </c>
      <c r="R53" s="3" cm="1">
        <f t="array" ref="R53">IF(R$51=-1,S53,IF(R$51=99,Q53,IF(R$51=0,INDEX($L27:$T27,0,R$49),(INDEX($L27:$T27,0,R$51+1)-INDEX($L27:$T27,0,R$51))/(INDEX($L$4:$T$4,0,R$51+1)-INDEX($L$4:$T$4,0,R$51))+Q53)))</f>
        <v>63.557638138242616</v>
      </c>
      <c r="S53" s="3" cm="1">
        <f t="array" ref="S53">IF(S$51=-1,T53,IF(S$51=99,R53,IF(S$51=0,INDEX($L27:$T27,0,S$49),(INDEX($L27:$T27,0,S$51+1)-INDEX($L27:$T27,0,S$51))/(INDEX($L$4:$T$4,0,S$51+1)-INDEX($L$4:$T$4,0,S$51))+R53)))</f>
        <v>60.538360281577155</v>
      </c>
      <c r="T53" s="3" cm="1">
        <f t="array" ref="T53">IF(T$51=-1,U53,IF(T$51=99,S53,IF(T$51=0,INDEX($L27:$T27,0,T$49),(INDEX($L27:$T27,0,T$51+1)-INDEX($L27:$T27,0,T$51))/(INDEX($L$4:$T$4,0,T$51+1)-INDEX($L$4:$T$4,0,T$51))+S53)))</f>
        <v>57.519082424911694</v>
      </c>
      <c r="U53" s="3" cm="1">
        <f t="array" ref="U53">IF(U$51=-1,V53,IF(U$51=99,T53,IF(U$51=0,INDEX($L27:$T27,0,U$49),(INDEX($L27:$T27,0,U$51+1)-INDEX($L27:$T27,0,U$51))/(INDEX($L$4:$T$4,0,U$51+1)-INDEX($L$4:$T$4,0,U$51))+T53)))</f>
        <v>54.499804568246233</v>
      </c>
      <c r="V53" s="3" cm="1">
        <f t="array" ref="V53">IF(V$51=-1,W53,IF(V$51=99,U53,IF(V$51=0,INDEX($L27:$T27,0,V$49),(INDEX($L27:$T27,0,V$51+1)-INDEX($L27:$T27,0,V$51))/(INDEX($L$4:$T$4,0,V$51+1)-INDEX($L$4:$T$4,0,V$51))+U53)))</f>
        <v>51.480526711580772</v>
      </c>
      <c r="W53" s="3" cm="1">
        <f t="array" ref="W53">IF(W$51=-1,X53,IF(W$51=99,V53,IF(W$51=0,INDEX($L27:$T27,0,W$49),(INDEX($L27:$T27,0,W$51+1)-INDEX($L27:$T27,0,W$51))/(INDEX($L$4:$T$4,0,W$51+1)-INDEX($L$4:$T$4,0,W$51))+V53)))</f>
        <v>48.461248854915304</v>
      </c>
      <c r="X53" s="3" cm="1">
        <f t="array" ref="X53">IF(X$51=-1,Y53,IF(X$51=99,W53,IF(X$51=0,INDEX($L27:$T27,0,X$49),(INDEX($L27:$T27,0,X$51+1)-INDEX($L27:$T27,0,X$51))/(INDEX($L$4:$T$4,0,X$51+1)-INDEX($L$4:$T$4,0,X$51))+W53)))</f>
        <v>50.062801841955149</v>
      </c>
      <c r="Y53" s="3" cm="1">
        <f t="array" ref="Y53">IF(Y$51=-1,Z53,IF(Y$51=99,X53,IF(Y$51=0,INDEX($L27:$T27,0,Y$49),(INDEX($L27:$T27,0,Y$51+1)-INDEX($L27:$T27,0,Y$51))/(INDEX($L$4:$T$4,0,Y$51+1)-INDEX($L$4:$T$4,0,Y$51))+X53)))</f>
        <v>51.664354828994988</v>
      </c>
      <c r="Z53" s="3" cm="1">
        <f t="array" ref="Z53">IF(Z$51=-1,AA53,IF(Z$51=99,Y53,IF(Z$51=0,INDEX($L27:$T27,0,Z$49),(INDEX($L27:$T27,0,Z$51+1)-INDEX($L27:$T27,0,Z$51))/(INDEX($L$4:$T$4,0,Z$51+1)-INDEX($L$4:$T$4,0,Z$51))+Y53)))</f>
        <v>53.265907816034826</v>
      </c>
      <c r="AA53" s="3" cm="1">
        <f t="array" ref="AA53">IF(AA$51=-1,AB53,IF(AA$51=99,Z53,IF(AA$51=0,INDEX($L27:$T27,0,AA$49),(INDEX($L27:$T27,0,AA$51+1)-INDEX($L27:$T27,0,AA$51))/(INDEX($L$4:$T$4,0,AA$51+1)-INDEX($L$4:$T$4,0,AA$51))+Z53)))</f>
        <v>54.867460803074664</v>
      </c>
      <c r="AB53" s="3" cm="1">
        <f t="array" ref="AB53">IF(AB$51=-1,AC53,IF(AB$51=99,AA53,IF(AB$51=0,INDEX($L27:$T27,0,AB$49),(INDEX($L27:$T27,0,AB$51+1)-INDEX($L27:$T27,0,AB$51))/(INDEX($L$4:$T$4,0,AB$51+1)-INDEX($L$4:$T$4,0,AB$51))+AA53)))</f>
        <v>56.469013790114502</v>
      </c>
      <c r="AC53" s="3" cm="1">
        <f t="array" ref="AC53">IF(AC$51=-1,AD53,IF(AC$51=99,AB53,IF(AC$51=0,INDEX($L27:$T27,0,AC$49),(INDEX($L27:$T27,0,AC$51+1)-INDEX($L27:$T27,0,AC$51))/(INDEX($L$4:$T$4,0,AC$51+1)-INDEX($L$4:$T$4,0,AC$51))+AB53)))</f>
        <v>58.07056677715434</v>
      </c>
      <c r="AD53" s="3" cm="1">
        <f t="array" ref="AD53">IF(AD$51=-1,AE53,IF(AD$51=99,AC53,IF(AD$51=0,INDEX($L27:$T27,0,AD$49),(INDEX($L27:$T27,0,AD$51+1)-INDEX($L27:$T27,0,AD$51))/(INDEX($L$4:$T$4,0,AD$51+1)-INDEX($L$4:$T$4,0,AD$51))+AC53)))</f>
        <v>59.672119764194179</v>
      </c>
      <c r="AE53" s="3" cm="1">
        <f t="array" ref="AE53">IF(AE$51=-1,AF53,IF(AE$51=99,AD53,IF(AE$51=0,INDEX($L27:$T27,0,AE$49),(INDEX($L27:$T27,0,AE$51+1)-INDEX($L27:$T27,0,AE$51))/(INDEX($L$4:$T$4,0,AE$51+1)-INDEX($L$4:$T$4,0,AE$51))+AD53)))</f>
        <v>61.273672751234017</v>
      </c>
      <c r="AF53" s="3" cm="1">
        <f t="array" ref="AF53">IF(AF$51=-1,AG53,IF(AF$51=99,AE53,IF(AF$51=0,INDEX($L27:$T27,0,AF$49),(INDEX($L27:$T27,0,AF$51+1)-INDEX($L27:$T27,0,AF$51))/(INDEX($L$4:$T$4,0,AF$51+1)-INDEX($L$4:$T$4,0,AF$51))+AE53)))</f>
        <v>62.875225738273855</v>
      </c>
      <c r="AG53" s="3" cm="1">
        <f t="array" ref="AG53">IF(AG$51=-1,AH53,IF(AG$51=99,AF53,IF(AG$51=0,INDEX($L27:$T27,0,AG$49),(INDEX($L27:$T27,0,AG$51+1)-INDEX($L27:$T27,0,AG$51))/(INDEX($L$4:$T$4,0,AG$51+1)-INDEX($L$4:$T$4,0,AG$51))+AF53)))</f>
        <v>64.476778725313721</v>
      </c>
      <c r="AH53" s="3" cm="1">
        <f t="array" ref="AH53">IF(AH$51=-1,AI53,IF(AH$51=99,AG53,IF(AH$51=0,INDEX($L27:$T27,0,AH$49),(INDEX($L27:$T27,0,AH$51+1)-INDEX($L27:$T27,0,AH$51))/(INDEX($L$4:$T$4,0,AH$51+1)-INDEX($L$4:$T$4,0,AH$51))+AG53)))</f>
        <v>66.517325435111914</v>
      </c>
      <c r="AI53" s="3" cm="1">
        <f t="array" ref="AI53">IF(AI$51=-1,AJ53,IF(AI$51=99,AH53,IF(AI$51=0,INDEX($L27:$T27,0,AI$49),(INDEX($L27:$T27,0,AI$51+1)-INDEX($L27:$T27,0,AI$51))/(INDEX($L$4:$T$4,0,AI$51+1)-INDEX($L$4:$T$4,0,AI$51))+AH53)))</f>
        <v>68.557872144910107</v>
      </c>
      <c r="AJ53" s="3" cm="1">
        <f t="array" ref="AJ53">IF(AJ$51=-1,AK53,IF(AJ$51=99,AI53,IF(AJ$51=0,INDEX($L27:$T27,0,AJ$49),(INDEX($L27:$T27,0,AJ$51+1)-INDEX($L27:$T27,0,AJ$51))/(INDEX($L$4:$T$4,0,AJ$51+1)-INDEX($L$4:$T$4,0,AJ$51))+AI53)))</f>
        <v>70.598418854708299</v>
      </c>
      <c r="AK53" s="3" cm="1">
        <f t="array" ref="AK53">IF(AK$51=-1,AL53,IF(AK$51=99,AJ53,IF(AK$51=0,INDEX($L27:$T27,0,AK$49),(INDEX($L27:$T27,0,AK$51+1)-INDEX($L27:$T27,0,AK$51))/(INDEX($L$4:$T$4,0,AK$51+1)-INDEX($L$4:$T$4,0,AK$51))+AJ53)))</f>
        <v>72.638965564506492</v>
      </c>
      <c r="AL53" s="3" cm="1">
        <f t="array" ref="AL53">IF(AL$51=-1,AM53,IF(AL$51=99,AK53,IF(AL$51=0,INDEX($L27:$T27,0,AL$49),(INDEX($L27:$T27,0,AL$51+1)-INDEX($L27:$T27,0,AL$51))/(INDEX($L$4:$T$4,0,AL$51+1)-INDEX($L$4:$T$4,0,AL$51))+AK53)))</f>
        <v>74.679512274304685</v>
      </c>
      <c r="AM53" s="3" cm="1">
        <f t="array" ref="AM53">IF(AM$51=-1,AN53,IF(AM$51=99,AL53,IF(AM$51=0,INDEX($L27:$T27,0,AM$49),(INDEX($L27:$T27,0,AM$51+1)-INDEX($L27:$T27,0,AM$51))/(INDEX($L$4:$T$4,0,AM$51+1)-INDEX($L$4:$T$4,0,AM$51))+AL53)))</f>
        <v>84.882245823295634</v>
      </c>
      <c r="AN53" s="3" cm="1">
        <f t="array" ref="AN53">IF(AN$51=-1,AO53,IF(AN$51=99,AM53,IF(AN$51=0,INDEX($L27:$T27,0,AN$49),(INDEX($L27:$T27,0,AN$51+1)-INDEX($L27:$T27,0,AN$51))/(INDEX($L$4:$T$4,0,AN$51+1)-INDEX($L$4:$T$4,0,AN$51))+AM53)))</f>
        <v>237.46050304764896</v>
      </c>
      <c r="AO53" s="3" cm="1">
        <f t="array" ref="AO53">IF(AO$51=-1,AP53,IF(AO$51=99,AN53,IF(AO$51=0,INDEX($L27:$T27,0,AO$49),(INDEX($L27:$T27,0,AO$51+1)-INDEX($L27:$T27,0,AO$51))/(INDEX($L$4:$T$4,0,AO$51+1)-INDEX($L$4:$T$4,0,AO$51))+AN53)))</f>
        <v>259.68376777630721</v>
      </c>
    </row>
    <row r="54" spans="1:77">
      <c r="A54" s="31"/>
      <c r="B54" s="15" t="str">
        <f t="shared" ref="B54:B55" si="35">IF(A54="*","","COM_PROJ")</f>
        <v>COM_PROJ</v>
      </c>
      <c r="C54" s="16" t="str">
        <f t="shared" si="32"/>
        <v>-</v>
      </c>
      <c r="D54" s="43" t="str">
        <f t="shared" ref="D54:D55" si="36">B28</f>
        <v>TADJET</v>
      </c>
      <c r="E54" s="16" t="str">
        <f t="shared" si="33"/>
        <v>-</v>
      </c>
      <c r="F54" s="16" t="str">
        <f t="shared" si="33"/>
        <v>-</v>
      </c>
      <c r="G54" s="16" t="str">
        <f t="shared" si="33"/>
        <v>-</v>
      </c>
      <c r="H54" s="16" t="str">
        <f t="shared" si="33"/>
        <v>-</v>
      </c>
      <c r="I54" s="106">
        <f t="shared" ref="I54:I55" si="37">IF(A54="*","",0)</f>
        <v>0</v>
      </c>
      <c r="J54" s="3">
        <f>L28</f>
        <v>20.465228059152793</v>
      </c>
      <c r="K54" s="3" cm="1">
        <f t="array" ref="K54">IF(K$51=-1,L54,IF(K$51=99,J54,IF(K$51=0,INDEX($L28:$T28,0,K$49),(INDEX($L28:$T28,0,K$51+1)-INDEX($L28:$T28,0,K$51))/(INDEX($L$4:$T$4,0,K$51+1)-INDEX($L$4:$T$4,0,K$51))+J54)))</f>
        <v>21.869482761120459</v>
      </c>
      <c r="L54" s="3" cm="1">
        <f t="array" ref="L54">IF(L$51=-1,M54,IF(L$51=99,K54,IF(L$51=0,INDEX($L28:$T28,0,L$49),(INDEX($L28:$T28,0,L$51+1)-INDEX($L28:$T28,0,L$51))/(INDEX($L$4:$T$4,0,L$51+1)-INDEX($L$4:$T$4,0,L$51))+K54)))</f>
        <v>23.273737463088121</v>
      </c>
      <c r="M54" s="3" cm="1">
        <f t="array" ref="M54">IF(M$51=-1,N54,IF(M$51=99,L54,IF(M$51=0,INDEX($L28:$T28,0,M$49),(INDEX($L28:$T28,0,M$51+1)-INDEX($L28:$T28,0,M$51))/(INDEX($L$4:$T$4,0,M$51+1)-INDEX($L$4:$T$4,0,M$51))+L54)))</f>
        <v>22.028640397161595</v>
      </c>
      <c r="N54" s="3" cm="1">
        <f t="array" ref="N54">IF(N$51=-1,O54,IF(N$51=99,M54,IF(N$51=0,INDEX($L28:$T28,0,N$49),(INDEX($L28:$T28,0,N$51+1)-INDEX($L28:$T28,0,N$51))/(INDEX($L$4:$T$4,0,N$51+1)-INDEX($L$4:$T$4,0,N$51))+M54)))</f>
        <v>22.472425990193337</v>
      </c>
      <c r="O54" s="3" cm="1">
        <f t="array" ref="O54">IF(O$51=-1,P54,IF(O$51=99,N54,IF(O$51=0,INDEX($L28:$T28,0,O$49),(INDEX($L28:$T28,0,O$51+1)-INDEX($L28:$T28,0,O$51))/(INDEX($L$4:$T$4,0,O$51+1)-INDEX($L$4:$T$4,0,O$51))+N54)))</f>
        <v>21.575344971639563</v>
      </c>
      <c r="P54" s="3" cm="1">
        <f t="array" ref="P54">IF(P$51=-1,Q54,IF(P$51=99,O54,IF(P$51=0,INDEX($L28:$T28,0,P$49),(INDEX($L28:$T28,0,P$51+1)-INDEX($L28:$T28,0,P$51))/(INDEX($L$4:$T$4,0,P$51+1)-INDEX($L$4:$T$4,0,P$51))+O54)))</f>
        <v>20.678263953085789</v>
      </c>
      <c r="Q54" s="3" cm="1">
        <f t="array" ref="Q54">IF(Q$51=-1,R54,IF(Q$51=99,P54,IF(Q$51=0,INDEX($L28:$T28,0,Q$49),(INDEX($L28:$T28,0,Q$51+1)-INDEX($L28:$T28,0,Q$51))/(INDEX($L$4:$T$4,0,Q$51+1)-INDEX($L$4:$T$4,0,Q$51))+P54)))</f>
        <v>19.781182934532016</v>
      </c>
      <c r="R54" s="3" cm="1">
        <f t="array" ref="R54">IF(R$51=-1,S54,IF(R$51=99,Q54,IF(R$51=0,INDEX($L28:$T28,0,R$49),(INDEX($L28:$T28,0,R$51+1)-INDEX($L28:$T28,0,R$51))/(INDEX($L$4:$T$4,0,R$51+1)-INDEX($L$4:$T$4,0,R$51))+Q54)))</f>
        <v>18.884101915978242</v>
      </c>
      <c r="S54" s="3" cm="1">
        <f t="array" ref="S54">IF(S$51=-1,T54,IF(S$51=99,R54,IF(S$51=0,INDEX($L28:$T28,0,S$49),(INDEX($L28:$T28,0,S$51+1)-INDEX($L28:$T28,0,S$51))/(INDEX($L$4:$T$4,0,S$51+1)-INDEX($L$4:$T$4,0,S$51))+R54)))</f>
        <v>17.987020897424468</v>
      </c>
      <c r="T54" s="3" cm="1">
        <f t="array" ref="T54">IF(T$51=-1,U54,IF(T$51=99,S54,IF(T$51=0,INDEX($L28:$T28,0,T$49),(INDEX($L28:$T28,0,T$51+1)-INDEX($L28:$T28,0,T$51))/(INDEX($L$4:$T$4,0,T$51+1)-INDEX($L$4:$T$4,0,T$51))+S54)))</f>
        <v>17.089939878870695</v>
      </c>
      <c r="U54" s="3" cm="1">
        <f t="array" ref="U54">IF(U$51=-1,V54,IF(U$51=99,T54,IF(U$51=0,INDEX($L28:$T28,0,U$49),(INDEX($L28:$T28,0,U$51+1)-INDEX($L28:$T28,0,U$51))/(INDEX($L$4:$T$4,0,U$51+1)-INDEX($L$4:$T$4,0,U$51))+T54)))</f>
        <v>16.192858860316921</v>
      </c>
      <c r="V54" s="3" cm="1">
        <f t="array" ref="V54">IF(V$51=-1,W54,IF(V$51=99,U54,IF(V$51=0,INDEX($L28:$T28,0,V$49),(INDEX($L28:$T28,0,V$51+1)-INDEX($L28:$T28,0,V$51))/(INDEX($L$4:$T$4,0,V$51+1)-INDEX($L$4:$T$4,0,V$51))+U54)))</f>
        <v>15.295777841763146</v>
      </c>
      <c r="W54" s="3" cm="1">
        <f t="array" ref="W54">IF(W$51=-1,X54,IF(W$51=99,V54,IF(W$51=0,INDEX($L28:$T28,0,W$49),(INDEX($L28:$T28,0,W$51+1)-INDEX($L28:$T28,0,W$51))/(INDEX($L$4:$T$4,0,W$51+1)-INDEX($L$4:$T$4,0,W$51))+V54)))</f>
        <v>14.398696823209363</v>
      </c>
      <c r="X54" s="3" cm="1">
        <f t="array" ref="X54">IF(X$51=-1,Y54,IF(X$51=99,W54,IF(X$51=0,INDEX($L28:$T28,0,X$49),(INDEX($L28:$T28,0,X$51+1)-INDEX($L28:$T28,0,X$51))/(INDEX($L$4:$T$4,0,X$51+1)-INDEX($L$4:$T$4,0,X$51))+W54)))</f>
        <v>14.87454663004638</v>
      </c>
      <c r="Y54" s="3" cm="1">
        <f t="array" ref="Y54">IF(Y$51=-1,Z54,IF(Y$51=99,X54,IF(Y$51=0,INDEX($L28:$T28,0,Y$49),(INDEX($L28:$T28,0,Y$51+1)-INDEX($L28:$T28,0,Y$51))/(INDEX($L$4:$T$4,0,Y$51+1)-INDEX($L$4:$T$4,0,Y$51))+X54)))</f>
        <v>15.350396436883397</v>
      </c>
      <c r="Z54" s="3" cm="1">
        <f t="array" ref="Z54">IF(Z$51=-1,AA54,IF(Z$51=99,Y54,IF(Z$51=0,INDEX($L28:$T28,0,Z$49),(INDEX($L28:$T28,0,Z$51+1)-INDEX($L28:$T28,0,Z$51))/(INDEX($L$4:$T$4,0,Z$51+1)-INDEX($L$4:$T$4,0,Z$51))+Y54)))</f>
        <v>15.826246243720414</v>
      </c>
      <c r="AA54" s="3" cm="1">
        <f t="array" ref="AA54">IF(AA$51=-1,AB54,IF(AA$51=99,Z54,IF(AA$51=0,INDEX($L28:$T28,0,AA$49),(INDEX($L28:$T28,0,AA$51+1)-INDEX($L28:$T28,0,AA$51))/(INDEX($L$4:$T$4,0,AA$51+1)-INDEX($L$4:$T$4,0,AA$51))+Z54)))</f>
        <v>16.302096050557431</v>
      </c>
      <c r="AB54" s="3" cm="1">
        <f t="array" ref="AB54">IF(AB$51=-1,AC54,IF(AB$51=99,AA54,IF(AB$51=0,INDEX($L28:$T28,0,AB$49),(INDEX($L28:$T28,0,AB$51+1)-INDEX($L28:$T28,0,AB$51))/(INDEX($L$4:$T$4,0,AB$51+1)-INDEX($L$4:$T$4,0,AB$51))+AA54)))</f>
        <v>16.777945857394446</v>
      </c>
      <c r="AC54" s="3" cm="1">
        <f t="array" ref="AC54">IF(AC$51=-1,AD54,IF(AC$51=99,AB54,IF(AC$51=0,INDEX($L28:$T28,0,AC$49),(INDEX($L28:$T28,0,AC$51+1)-INDEX($L28:$T28,0,AC$51))/(INDEX($L$4:$T$4,0,AC$51+1)-INDEX($L$4:$T$4,0,AC$51))+AB54)))</f>
        <v>17.253795664231461</v>
      </c>
      <c r="AD54" s="3" cm="1">
        <f t="array" ref="AD54">IF(AD$51=-1,AE54,IF(AD$51=99,AC54,IF(AD$51=0,INDEX($L28:$T28,0,AD$49),(INDEX($L28:$T28,0,AD$51+1)-INDEX($L28:$T28,0,AD$51))/(INDEX($L$4:$T$4,0,AD$51+1)-INDEX($L$4:$T$4,0,AD$51))+AC54)))</f>
        <v>17.729645471068476</v>
      </c>
      <c r="AE54" s="3" cm="1">
        <f t="array" ref="AE54">IF(AE$51=-1,AF54,IF(AE$51=99,AD54,IF(AE$51=0,INDEX($L28:$T28,0,AE$49),(INDEX($L28:$T28,0,AE$51+1)-INDEX($L28:$T28,0,AE$51))/(INDEX($L$4:$T$4,0,AE$51+1)-INDEX($L$4:$T$4,0,AE$51))+AD54)))</f>
        <v>18.205495277905491</v>
      </c>
      <c r="AF54" s="3" cm="1">
        <f t="array" ref="AF54">IF(AF$51=-1,AG54,IF(AF$51=99,AE54,IF(AF$51=0,INDEX($L28:$T28,0,AF$49),(INDEX($L28:$T28,0,AF$51+1)-INDEX($L28:$T28,0,AF$51))/(INDEX($L$4:$T$4,0,AF$51+1)-INDEX($L$4:$T$4,0,AF$51))+AE54)))</f>
        <v>18.681345084742507</v>
      </c>
      <c r="AG54" s="3" cm="1">
        <f t="array" ref="AG54">IF(AG$51=-1,AH54,IF(AG$51=99,AF54,IF(AG$51=0,INDEX($L28:$T28,0,AG$49),(INDEX($L28:$T28,0,AG$51+1)-INDEX($L28:$T28,0,AG$51))/(INDEX($L$4:$T$4,0,AG$51+1)-INDEX($L$4:$T$4,0,AG$51))+AF54)))</f>
        <v>19.157194891579529</v>
      </c>
      <c r="AH54" s="3" cm="1">
        <f t="array" ref="AH54">IF(AH$51=-1,AI54,IF(AH$51=99,AG54,IF(AH$51=0,INDEX($L28:$T28,0,AH$49),(INDEX($L28:$T28,0,AH$51+1)-INDEX($L28:$T28,0,AH$51))/(INDEX($L$4:$T$4,0,AH$51+1)-INDEX($L$4:$T$4,0,AH$51))+AG54)))</f>
        <v>19.763477521974462</v>
      </c>
      <c r="AI54" s="3" cm="1">
        <f t="array" ref="AI54">IF(AI$51=-1,AJ54,IF(AI$51=99,AH54,IF(AI$51=0,INDEX($L28:$T28,0,AI$49),(INDEX($L28:$T28,0,AI$51+1)-INDEX($L28:$T28,0,AI$51))/(INDEX($L$4:$T$4,0,AI$51+1)-INDEX($L$4:$T$4,0,AI$51))+AH54)))</f>
        <v>20.369760152369395</v>
      </c>
      <c r="AJ54" s="3" cm="1">
        <f t="array" ref="AJ54">IF(AJ$51=-1,AK54,IF(AJ$51=99,AI54,IF(AJ$51=0,INDEX($L28:$T28,0,AJ$49),(INDEX($L28:$T28,0,AJ$51+1)-INDEX($L28:$T28,0,AJ$51))/(INDEX($L$4:$T$4,0,AJ$51+1)-INDEX($L$4:$T$4,0,AJ$51))+AI54)))</f>
        <v>20.976042782764328</v>
      </c>
      <c r="AK54" s="3" cm="1">
        <f t="array" ref="AK54">IF(AK$51=-1,AL54,IF(AK$51=99,AJ54,IF(AK$51=0,INDEX($L28:$T28,0,AK$49),(INDEX($L28:$T28,0,AK$51+1)-INDEX($L28:$T28,0,AK$51))/(INDEX($L$4:$T$4,0,AK$51+1)-INDEX($L$4:$T$4,0,AK$51))+AJ54)))</f>
        <v>21.582325413159261</v>
      </c>
      <c r="AL54" s="3" cm="1">
        <f t="array" ref="AL54">IF(AL$51=-1,AM54,IF(AL$51=99,AK54,IF(AL$51=0,INDEX($L28:$T28,0,AL$49),(INDEX($L28:$T28,0,AL$51+1)-INDEX($L28:$T28,0,AL$51))/(INDEX($L$4:$T$4,0,AL$51+1)-INDEX($L$4:$T$4,0,AL$51))+AK54)))</f>
        <v>22.188608043554193</v>
      </c>
      <c r="AM54" s="3" cm="1">
        <f t="array" ref="AM54">IF(AM$51=-1,AN54,IF(AM$51=99,AL54,IF(AM$51=0,INDEX($L28:$T28,0,AM$49),(INDEX($L28:$T28,0,AM$51+1)-INDEX($L28:$T28,0,AM$51))/(INDEX($L$4:$T$4,0,AM$51+1)-INDEX($L$4:$T$4,0,AM$51))+AL54)))</f>
        <v>25.220021195528869</v>
      </c>
      <c r="AN54" s="3" cm="1">
        <f t="array" ref="AN54">IF(AN$51=-1,AO54,IF(AN$51=99,AM54,IF(AN$51=0,INDEX($L28:$T28,0,AN$49),(INDEX($L28:$T28,0,AN$51+1)-INDEX($L28:$T28,0,AN$51))/(INDEX($L$4:$T$4,0,AN$51+1)-INDEX($L$4:$T$4,0,AN$51))+AM54)))</f>
        <v>70.553728425492025</v>
      </c>
      <c r="AO54" s="3" cm="1">
        <f t="array" ref="AO54">IF(AO$51=-1,AP54,IF(AO$51=99,AN54,IF(AO$51=0,INDEX($L28:$T28,0,AO$49),(INDEX($L28:$T28,0,AO$51+1)-INDEX($L28:$T28,0,AO$51))/(INDEX($L$4:$T$4,0,AO$51+1)-INDEX($L$4:$T$4,0,AO$51))+AN54)))</f>
        <v>77.156654656465889</v>
      </c>
    </row>
    <row r="55" spans="1:77">
      <c r="A55" s="31"/>
      <c r="B55" s="15" t="str">
        <f t="shared" si="35"/>
        <v>COM_PROJ</v>
      </c>
      <c r="C55" s="16" t="str">
        <f t="shared" si="32"/>
        <v>-</v>
      </c>
      <c r="D55" s="43" t="str">
        <f t="shared" si="36"/>
        <v>TAOAG</v>
      </c>
      <c r="E55" s="16" t="str">
        <f t="shared" si="33"/>
        <v>-</v>
      </c>
      <c r="F55" s="16" t="str">
        <f t="shared" si="33"/>
        <v>-</v>
      </c>
      <c r="G55" s="16" t="str">
        <f t="shared" si="33"/>
        <v>-</v>
      </c>
      <c r="H55" s="16" t="str">
        <f t="shared" si="33"/>
        <v>-</v>
      </c>
      <c r="I55" s="106">
        <f t="shared" si="37"/>
        <v>0</v>
      </c>
      <c r="J55" s="3">
        <f>L29</f>
        <v>0.90926579192061818</v>
      </c>
      <c r="K55" s="3" cm="1">
        <f t="array" ref="K55">IF(K$51=-1,L55,IF(K$51=99,J55,IF(K$51=0,INDEX($L29:$T29,0,K$49),(INDEX($L29:$T29,0,K$51+1)-INDEX($L29:$T29,0,K$51))/(INDEX($L$4:$T$4,0,K$51+1)-INDEX($L$4:$T$4,0,K$51))+J55)))</f>
        <v>0.92163021555847424</v>
      </c>
      <c r="L55" s="3" cm="1">
        <f t="array" ref="L55">IF(L$51=-1,M55,IF(L$51=99,K55,IF(L$51=0,INDEX($L29:$T29,0,L$49),(INDEX($L29:$T29,0,L$51+1)-INDEX($L29:$T29,0,L$51))/(INDEX($L$4:$T$4,0,L$51+1)-INDEX($L$4:$T$4,0,L$51))+K55)))</f>
        <v>0.9339946391963303</v>
      </c>
      <c r="M55" s="3" cm="1">
        <f t="array" ref="M55">IF(M$51=-1,N55,IF(M$51=99,L55,IF(M$51=0,INDEX($L29:$T29,0,M$49),(INDEX($L29:$T29,0,M$51+1)-INDEX($L29:$T29,0,M$51))/(INDEX($L$4:$T$4,0,M$51+1)-INDEX($L$4:$T$4,0,M$51))+L55)))</f>
        <v>0.88402784779899579</v>
      </c>
      <c r="N55" s="3" cm="1">
        <f t="array" ref="N55">IF(N$51=-1,O55,IF(N$51=99,M55,IF(N$51=0,INDEX($L29:$T29,0,N$49),(INDEX($L29:$T29,0,N$51+1)-INDEX($L29:$T29,0,N$51))/(INDEX($L$4:$T$4,0,N$51+1)-INDEX($L$4:$T$4,0,N$51))+M55)))</f>
        <v>0</v>
      </c>
      <c r="O55" s="3" cm="1">
        <f t="array" ref="O55">IF(O$51=-1,P55,IF(O$51=99,N55,IF(O$51=0,INDEX($L29:$T29,0,O$49),(INDEX($L29:$T29,0,O$51+1)-INDEX($L29:$T29,0,O$51))/(INDEX($L$4:$T$4,0,O$51+1)-INDEX($L$4:$T$4,0,O$51))+N55)))</f>
        <v>0.11592304658305566</v>
      </c>
      <c r="P55" s="3" cm="1">
        <f t="array" ref="P55">IF(P$51=-1,Q55,IF(P$51=99,O55,IF(P$51=0,INDEX($L29:$T29,0,P$49),(INDEX($L29:$T29,0,P$51+1)-INDEX($L29:$T29,0,P$51))/(INDEX($L$4:$T$4,0,P$51+1)-INDEX($L$4:$T$4,0,P$51))+O55)))</f>
        <v>0.23184609316611132</v>
      </c>
      <c r="Q55" s="3" cm="1">
        <f t="array" ref="Q55">IF(Q$51=-1,R55,IF(Q$51=99,P55,IF(Q$51=0,INDEX($L29:$T29,0,Q$49),(INDEX($L29:$T29,0,Q$51+1)-INDEX($L29:$T29,0,Q$51))/(INDEX($L$4:$T$4,0,Q$51+1)-INDEX($L$4:$T$4,0,Q$51))+P55)))</f>
        <v>0.34776913974916701</v>
      </c>
      <c r="R55" s="3" cm="1">
        <f t="array" ref="R55">IF(R$51=-1,S55,IF(R$51=99,Q55,IF(R$51=0,INDEX($L29:$T29,0,R$49),(INDEX($L29:$T29,0,R$51+1)-INDEX($L29:$T29,0,R$51))/(INDEX($L$4:$T$4,0,R$51+1)-INDEX($L$4:$T$4,0,R$51))+Q55)))</f>
        <v>0.46369218633222264</v>
      </c>
      <c r="S55" s="3" cm="1">
        <f t="array" ref="S55">IF(S$51=-1,T55,IF(S$51=99,R55,IF(S$51=0,INDEX($L29:$T29,0,S$49),(INDEX($L29:$T29,0,S$51+1)-INDEX($L29:$T29,0,S$51))/(INDEX($L$4:$T$4,0,S$51+1)-INDEX($L$4:$T$4,0,S$51))+R55)))</f>
        <v>0.57961523291527828</v>
      </c>
      <c r="T55" s="3" cm="1">
        <f t="array" ref="T55">IF(T$51=-1,U55,IF(T$51=99,S55,IF(T$51=0,INDEX($L29:$T29,0,T$49),(INDEX($L29:$T29,0,T$51+1)-INDEX($L29:$T29,0,T$51))/(INDEX($L$4:$T$4,0,T$51+1)-INDEX($L$4:$T$4,0,T$51))+S55)))</f>
        <v>0.69553827949833391</v>
      </c>
      <c r="U55" s="3" cm="1">
        <f t="array" ref="U55">IF(U$51=-1,V55,IF(U$51=99,T55,IF(U$51=0,INDEX($L29:$T29,0,U$49),(INDEX($L29:$T29,0,U$51+1)-INDEX($L29:$T29,0,U$51))/(INDEX($L$4:$T$4,0,U$51+1)-INDEX($L$4:$T$4,0,U$51))+T55)))</f>
        <v>0.81146132608138954</v>
      </c>
      <c r="V55" s="3" cm="1">
        <f t="array" ref="V55">IF(V$51=-1,W55,IF(V$51=99,U55,IF(V$51=0,INDEX($L29:$T29,0,V$49),(INDEX($L29:$T29,0,V$51+1)-INDEX($L29:$T29,0,V$51))/(INDEX($L$4:$T$4,0,V$51+1)-INDEX($L$4:$T$4,0,V$51))+U55)))</f>
        <v>0.92738437266444518</v>
      </c>
      <c r="W55" s="3" cm="1">
        <f t="array" ref="W55">IF(W$51=-1,X55,IF(W$51=99,V55,IF(W$51=0,INDEX($L29:$T29,0,W$49),(INDEX($L29:$T29,0,W$51+1)-INDEX($L29:$T29,0,W$51))/(INDEX($L$4:$T$4,0,W$51+1)-INDEX($L$4:$T$4,0,W$51))+V55)))</f>
        <v>1.0433074192475009</v>
      </c>
      <c r="X55" s="3" cm="1">
        <f t="array" ref="X55">IF(X$51=-1,Y55,IF(X$51=99,W55,IF(X$51=0,INDEX($L29:$T29,0,X$49),(INDEX($L29:$T29,0,X$51+1)-INDEX($L29:$T29,0,X$51))/(INDEX($L$4:$T$4,0,X$51+1)-INDEX($L$4:$T$4,0,X$51))+W55)))</f>
        <v>1.0892672976474866</v>
      </c>
      <c r="Y55" s="3" cm="1">
        <f t="array" ref="Y55">IF(Y$51=-1,Z55,IF(Y$51=99,X55,IF(Y$51=0,INDEX($L29:$T29,0,Y$49),(INDEX($L29:$T29,0,Y$51+1)-INDEX($L29:$T29,0,Y$51))/(INDEX($L$4:$T$4,0,Y$51+1)-INDEX($L$4:$T$4,0,Y$51))+X55)))</f>
        <v>1.1352271760474724</v>
      </c>
      <c r="Z55" s="3" cm="1">
        <f t="array" ref="Z55">IF(Z$51=-1,AA55,IF(Z$51=99,Y55,IF(Z$51=0,INDEX($L29:$T29,0,Z$49),(INDEX($L29:$T29,0,Z$51+1)-INDEX($L29:$T29,0,Z$51))/(INDEX($L$4:$T$4,0,Z$51+1)-INDEX($L$4:$T$4,0,Z$51))+Y55)))</f>
        <v>1.1811870544474581</v>
      </c>
      <c r="AA55" s="3" cm="1">
        <f t="array" ref="AA55">IF(AA$51=-1,AB55,IF(AA$51=99,Z55,IF(AA$51=0,INDEX($L29:$T29,0,AA$49),(INDEX($L29:$T29,0,AA$51+1)-INDEX($L29:$T29,0,AA$51))/(INDEX($L$4:$T$4,0,AA$51+1)-INDEX($L$4:$T$4,0,AA$51))+Z55)))</f>
        <v>1.2271469328474438</v>
      </c>
      <c r="AB55" s="3" cm="1">
        <f t="array" ref="AB55">IF(AB$51=-1,AC55,IF(AB$51=99,AA55,IF(AB$51=0,INDEX($L29:$T29,0,AB$49),(INDEX($L29:$T29,0,AB$51+1)-INDEX($L29:$T29,0,AB$51))/(INDEX($L$4:$T$4,0,AB$51+1)-INDEX($L$4:$T$4,0,AB$51))+AA55)))</f>
        <v>1.2731068112474295</v>
      </c>
      <c r="AC55" s="3" cm="1">
        <f t="array" ref="AC55">IF(AC$51=-1,AD55,IF(AC$51=99,AB55,IF(AC$51=0,INDEX($L29:$T29,0,AC$49),(INDEX($L29:$T29,0,AC$51+1)-INDEX($L29:$T29,0,AC$51))/(INDEX($L$4:$T$4,0,AC$51+1)-INDEX($L$4:$T$4,0,AC$51))+AB55)))</f>
        <v>1.3190666896474152</v>
      </c>
      <c r="AD55" s="3" cm="1">
        <f t="array" ref="AD55">IF(AD$51=-1,AE55,IF(AD$51=99,AC55,IF(AD$51=0,INDEX($L29:$T29,0,AD$49),(INDEX($L29:$T29,0,AD$51+1)-INDEX($L29:$T29,0,AD$51))/(INDEX($L$4:$T$4,0,AD$51+1)-INDEX($L$4:$T$4,0,AD$51))+AC55)))</f>
        <v>1.365026568047401</v>
      </c>
      <c r="AE55" s="3" cm="1">
        <f t="array" ref="AE55">IF(AE$51=-1,AF55,IF(AE$51=99,AD55,IF(AE$51=0,INDEX($L29:$T29,0,AE$49),(INDEX($L29:$T29,0,AE$51+1)-INDEX($L29:$T29,0,AE$51))/(INDEX($L$4:$T$4,0,AE$51+1)-INDEX($L$4:$T$4,0,AE$51))+AD55)))</f>
        <v>1.4109864464473867</v>
      </c>
      <c r="AF55" s="3" cm="1">
        <f t="array" ref="AF55">IF(AF$51=-1,AG55,IF(AF$51=99,AE55,IF(AF$51=0,INDEX($L29:$T29,0,AF$49),(INDEX($L29:$T29,0,AF$51+1)-INDEX($L29:$T29,0,AF$51))/(INDEX($L$4:$T$4,0,AF$51+1)-INDEX($L$4:$T$4,0,AF$51))+AE55)))</f>
        <v>1.4569463248473724</v>
      </c>
      <c r="AG55" s="3" cm="1">
        <f t="array" ref="AG55">IF(AG$51=-1,AH55,IF(AG$51=99,AF55,IF(AG$51=0,INDEX($L29:$T29,0,AG$49),(INDEX($L29:$T29,0,AG$51+1)-INDEX($L29:$T29,0,AG$51))/(INDEX($L$4:$T$4,0,AG$51+1)-INDEX($L$4:$T$4,0,AG$51))+AF55)))</f>
        <v>1.5029062032473572</v>
      </c>
      <c r="AH55" s="3" cm="1">
        <f t="array" ref="AH55">IF(AH$51=-1,AI55,IF(AH$51=99,AG55,IF(AH$51=0,INDEX($L29:$T29,0,AH$49),(INDEX($L29:$T29,0,AH$51+1)-INDEX($L29:$T29,0,AH$51))/(INDEX($L$4:$T$4,0,AH$51+1)-INDEX($L$4:$T$4,0,AH$51))+AG55)))</f>
        <v>1.5683091620805649</v>
      </c>
      <c r="AI55" s="3" cm="1">
        <f t="array" ref="AI55">IF(AI$51=-1,AJ55,IF(AI$51=99,AH55,IF(AI$51=0,INDEX($L29:$T29,0,AI$49),(INDEX($L29:$T29,0,AI$51+1)-INDEX($L29:$T29,0,AI$51))/(INDEX($L$4:$T$4,0,AI$51+1)-INDEX($L$4:$T$4,0,AI$51))+AH55)))</f>
        <v>1.6337121209137726</v>
      </c>
      <c r="AJ55" s="3" cm="1">
        <f t="array" ref="AJ55">IF(AJ$51=-1,AK55,IF(AJ$51=99,AI55,IF(AJ$51=0,INDEX($L29:$T29,0,AJ$49),(INDEX($L29:$T29,0,AJ$51+1)-INDEX($L29:$T29,0,AJ$51))/(INDEX($L$4:$T$4,0,AJ$51+1)-INDEX($L$4:$T$4,0,AJ$51))+AI55)))</f>
        <v>1.6991150797469803</v>
      </c>
      <c r="AK55" s="3" cm="1">
        <f t="array" ref="AK55">IF(AK$51=-1,AL55,IF(AK$51=99,AJ55,IF(AK$51=0,INDEX($L29:$T29,0,AK$49),(INDEX($L29:$T29,0,AK$51+1)-INDEX($L29:$T29,0,AK$51))/(INDEX($L$4:$T$4,0,AK$51+1)-INDEX($L$4:$T$4,0,AK$51))+AJ55)))</f>
        <v>1.764518038580188</v>
      </c>
      <c r="AL55" s="3" cm="1">
        <f t="array" ref="AL55">IF(AL$51=-1,AM55,IF(AL$51=99,AK55,IF(AL$51=0,INDEX($L29:$T29,0,AL$49),(INDEX($L29:$T29,0,AL$51+1)-INDEX($L29:$T29,0,AL$51))/(INDEX($L$4:$T$4,0,AL$51+1)-INDEX($L$4:$T$4,0,AL$51))+AK55)))</f>
        <v>1.8299209974133956</v>
      </c>
      <c r="AM55" s="3" cm="1">
        <f t="array" ref="AM55">IF(AM$51=-1,AN55,IF(AM$51=99,AL55,IF(AM$51=0,INDEX($L29:$T29,0,AM$49),(INDEX($L29:$T29,0,AM$51+1)-INDEX($L29:$T29,0,AM$51))/(INDEX($L$4:$T$4,0,AM$51+1)-INDEX($L$4:$T$4,0,AM$51))+AL55)))</f>
        <v>2.1569357915794343</v>
      </c>
      <c r="AN55" s="3" cm="1">
        <f t="array" ref="AN55">IF(AN$51=-1,AO55,IF(AN$51=99,AM55,IF(AN$51=0,INDEX($L29:$T29,0,AN$49),(INDEX($L29:$T29,0,AN$51+1)-INDEX($L29:$T29,0,AN$51))/(INDEX($L$4:$T$4,0,AN$51+1)-INDEX($L$4:$T$4,0,AN$51))+AM55)))</f>
        <v>2.8313804015893393</v>
      </c>
      <c r="AO55" s="3" cm="1">
        <f t="array" ref="AO55">IF(AO$51=-1,AP55,IF(AO$51=99,AN55,IF(AO$51=0,INDEX($L29:$T29,0,AO$49),(INDEX($L29:$T29,0,AO$51+1)-INDEX($L29:$T29,0,AO$51))/(INDEX($L$4:$T$4,0,AO$51+1)-INDEX($L$4:$T$4,0,AO$51))+AN55)))</f>
        <v>3.0963613790760607</v>
      </c>
    </row>
    <row r="56" spans="1:77">
      <c r="A56" s="31"/>
      <c r="B56" s="15" t="str">
        <f t="shared" si="31"/>
        <v>COM_PROJ</v>
      </c>
      <c r="C56" s="16" t="str">
        <f t="shared" si="32"/>
        <v>-</v>
      </c>
      <c r="D56" s="43" t="s">
        <v>146</v>
      </c>
      <c r="E56" s="16" t="str">
        <f t="shared" si="33"/>
        <v>-</v>
      </c>
      <c r="F56" s="16" t="str">
        <f t="shared" si="33"/>
        <v>-</v>
      </c>
      <c r="G56" s="16" t="str">
        <f t="shared" si="33"/>
        <v>-</v>
      </c>
      <c r="H56" s="16" t="str">
        <f t="shared" si="33"/>
        <v>-</v>
      </c>
      <c r="I56" s="106">
        <f t="shared" si="34"/>
        <v>0</v>
      </c>
      <c r="J56" s="3">
        <f>L41</f>
        <v>4.5086140100000014</v>
      </c>
      <c r="K56" s="3" cm="1">
        <f t="array" ref="K56">IF(K$51=-1,L56,IF(K$51=99,J56,IF(K$51=0,INDEX($L41:$T41,0,K$49),(INDEX($L41:$T41,0,K$51+1)-INDEX($L41:$T41,0,K$51))/(INDEX($L$4:$T$4,0,K$51+1)-INDEX($L$4:$T$4,0,K$51))+J56)))</f>
        <v>4.8159747836716882</v>
      </c>
      <c r="L56" s="3" cm="1">
        <f t="array" ref="L56">IF(L$51=-1,M56,IF(L$51=99,K56,IF(L$51=0,INDEX($L41:$T41,0,L$49),(INDEX($L41:$T41,0,L$51+1)-INDEX($L41:$T41,0,L$51))/(INDEX($L$4:$T$4,0,L$51+1)-INDEX($L$4:$T$4,0,L$51))+K56)))</f>
        <v>5.123335557343375</v>
      </c>
      <c r="M56" s="3" cm="1">
        <f t="array" ref="M56">IF(M$51=-1,N56,IF(M$51=99,L56,IF(M$51=0,INDEX($L41:$T41,0,M$49),(INDEX($L41:$T41,0,M$51+1)-INDEX($L41:$T41,0,M$51))/(INDEX($L$4:$T$4,0,M$51+1)-INDEX($L$4:$T$4,0,M$51))+L56)))</f>
        <v>4.849247646868216</v>
      </c>
      <c r="N56" s="3" cm="1">
        <f t="array" ref="N56">IF(N$51=-1,O56,IF(N$51=99,M56,IF(N$51=0,INDEX($L41:$T41,0,N$49),(INDEX($L41:$T41,0,N$51+1)-INDEX($L41:$T41,0,N$51))/(INDEX($L$4:$T$4,0,N$51+1)-INDEX($L$4:$T$4,0,N$51))+M56)))</f>
        <v>4.4717798539264564</v>
      </c>
      <c r="O56" s="3" cm="1">
        <f t="array" ref="O56">IF(O$51=-1,P56,IF(O$51=99,N56,IF(O$51=0,INDEX($L41:$T41,0,O$49),(INDEX($L41:$T41,0,O$51+1)-INDEX($L41:$T41,0,O$51))/(INDEX($L$4:$T$4,0,O$51+1)-INDEX($L$4:$T$4,0,O$51))+N56)))</f>
        <v>4.6107998746698247</v>
      </c>
      <c r="P56" s="3" cm="1">
        <f t="array" ref="P56">IF(P$51=-1,Q56,IF(P$51=99,O56,IF(P$51=0,INDEX($L41:$T41,0,P$49),(INDEX($L41:$T41,0,P$51+1)-INDEX($L41:$T41,0,P$51))/(INDEX($L$4:$T$4,0,P$51+1)-INDEX($L$4:$T$4,0,P$51))+O56)))</f>
        <v>4.7498198954131929</v>
      </c>
      <c r="Q56" s="3" cm="1">
        <f t="array" ref="Q56">IF(Q$51=-1,R56,IF(Q$51=99,P56,IF(Q$51=0,INDEX($L41:$T41,0,Q$49),(INDEX($L41:$T41,0,Q$51+1)-INDEX($L41:$T41,0,Q$51))/(INDEX($L$4:$T$4,0,Q$51+1)-INDEX($L$4:$T$4,0,Q$51))+P56)))</f>
        <v>4.8888399161565612</v>
      </c>
      <c r="R56" s="3" cm="1">
        <f t="array" ref="R56">IF(R$51=-1,S56,IF(R$51=99,Q56,IF(R$51=0,INDEX($L41:$T41,0,R$49),(INDEX($L41:$T41,0,R$51+1)-INDEX($L41:$T41,0,R$51))/(INDEX($L$4:$T$4,0,R$51+1)-INDEX($L$4:$T$4,0,R$51))+Q56)))</f>
        <v>5.0278599368999295</v>
      </c>
      <c r="S56" s="3" cm="1">
        <f t="array" ref="S56">IF(S$51=-1,T56,IF(S$51=99,R56,IF(S$51=0,INDEX($L41:$T41,0,S$49),(INDEX($L41:$T41,0,S$51+1)-INDEX($L41:$T41,0,S$51))/(INDEX($L$4:$T$4,0,S$51+1)-INDEX($L$4:$T$4,0,S$51))+R56)))</f>
        <v>5.1668799576432978</v>
      </c>
      <c r="T56" s="3" cm="1">
        <f t="array" ref="T56">IF(T$51=-1,U56,IF(T$51=99,S56,IF(T$51=0,INDEX($L41:$T41,0,T$49),(INDEX($L41:$T41,0,T$51+1)-INDEX($L41:$T41,0,T$51))/(INDEX($L$4:$T$4,0,T$51+1)-INDEX($L$4:$T$4,0,T$51))+S56)))</f>
        <v>5.305899978386666</v>
      </c>
      <c r="U56" s="3" cm="1">
        <f t="array" ref="U56">IF(U$51=-1,V56,IF(U$51=99,T56,IF(U$51=0,INDEX($L41:$T41,0,U$49),(INDEX($L41:$T41,0,U$51+1)-INDEX($L41:$T41,0,U$51))/(INDEX($L$4:$T$4,0,U$51+1)-INDEX($L$4:$T$4,0,U$51))+T56)))</f>
        <v>5.4449199991300343</v>
      </c>
      <c r="V56" s="3" cm="1">
        <f t="array" ref="V56">IF(V$51=-1,W56,IF(V$51=99,U56,IF(V$51=0,INDEX($L41:$T41,0,V$49),(INDEX($L41:$T41,0,V$51+1)-INDEX($L41:$T41,0,V$51))/(INDEX($L$4:$T$4,0,V$51+1)-INDEX($L$4:$T$4,0,V$51))+U56)))</f>
        <v>5.5839400198734026</v>
      </c>
      <c r="W56" s="3" cm="1">
        <f t="array" ref="W56">IF(W$51=-1,X56,IF(W$51=99,V56,IF(W$51=0,INDEX($L41:$T41,0,W$49),(INDEX($L41:$T41,0,W$51+1)-INDEX($L41:$T41,0,W$51))/(INDEX($L$4:$T$4,0,W$51+1)-INDEX($L$4:$T$4,0,W$51))+V56)))</f>
        <v>5.7229600406167682</v>
      </c>
      <c r="X56" s="3" cm="1">
        <f t="array" ref="X56">IF(X$51=-1,Y56,IF(X$51=99,W56,IF(X$51=0,INDEX($L41:$T41,0,X$49),(INDEX($L41:$T41,0,X$51+1)-INDEX($L41:$T41,0,X$51))/(INDEX($L$4:$T$4,0,X$51+1)-INDEX($L$4:$T$4,0,X$51))+W56)))</f>
        <v>5.9750684246867625</v>
      </c>
      <c r="Y56" s="3" cm="1">
        <f t="array" ref="Y56">IF(Y$51=-1,Z56,IF(Y$51=99,X56,IF(Y$51=0,INDEX($L41:$T41,0,Y$49),(INDEX($L41:$T41,0,Y$51+1)-INDEX($L41:$T41,0,Y$51))/(INDEX($L$4:$T$4,0,Y$51+1)-INDEX($L$4:$T$4,0,Y$51))+X56)))</f>
        <v>6.2271768087567567</v>
      </c>
      <c r="Z56" s="3" cm="1">
        <f t="array" ref="Z56">IF(Z$51=-1,AA56,IF(Z$51=99,Y56,IF(Z$51=0,INDEX($L41:$T41,0,Z$49),(INDEX($L41:$T41,0,Z$51+1)-INDEX($L41:$T41,0,Z$51))/(INDEX($L$4:$T$4,0,Z$51+1)-INDEX($L$4:$T$4,0,Z$51))+Y56)))</f>
        <v>6.479285192826751</v>
      </c>
      <c r="AA56" s="3" cm="1">
        <f t="array" ref="AA56">IF(AA$51=-1,AB56,IF(AA$51=99,Z56,IF(AA$51=0,INDEX($L41:$T41,0,AA$49),(INDEX($L41:$T41,0,AA$51+1)-INDEX($L41:$T41,0,AA$51))/(INDEX($L$4:$T$4,0,AA$51+1)-INDEX($L$4:$T$4,0,AA$51))+Z56)))</f>
        <v>6.7313935768967452</v>
      </c>
      <c r="AB56" s="3" cm="1">
        <f t="array" ref="AB56">IF(AB$51=-1,AC56,IF(AB$51=99,AA56,IF(AB$51=0,INDEX($L41:$T41,0,AB$49),(INDEX($L41:$T41,0,AB$51+1)-INDEX($L41:$T41,0,AB$51))/(INDEX($L$4:$T$4,0,AB$51+1)-INDEX($L$4:$T$4,0,AB$51))+AA56)))</f>
        <v>6.9835019609667395</v>
      </c>
      <c r="AC56" s="3" cm="1">
        <f t="array" ref="AC56">IF(AC$51=-1,AD56,IF(AC$51=99,AB56,IF(AC$51=0,INDEX($L41:$T41,0,AC$49),(INDEX($L41:$T41,0,AC$51+1)-INDEX($L41:$T41,0,AC$51))/(INDEX($L$4:$T$4,0,AC$51+1)-INDEX($L$4:$T$4,0,AC$51))+AB56)))</f>
        <v>7.2356103450367337</v>
      </c>
      <c r="AD56" s="3" cm="1">
        <f t="array" ref="AD56">IF(AD$51=-1,AE56,IF(AD$51=99,AC56,IF(AD$51=0,INDEX($L41:$T41,0,AD$49),(INDEX($L41:$T41,0,AD$51+1)-INDEX($L41:$T41,0,AD$51))/(INDEX($L$4:$T$4,0,AD$51+1)-INDEX($L$4:$T$4,0,AD$51))+AC56)))</f>
        <v>7.487718729106728</v>
      </c>
      <c r="AE56" s="3" cm="1">
        <f t="array" ref="AE56">IF(AE$51=-1,AF56,IF(AE$51=99,AD56,IF(AE$51=0,INDEX($L41:$T41,0,AE$49),(INDEX($L41:$T41,0,AE$51+1)-INDEX($L41:$T41,0,AE$51))/(INDEX($L$4:$T$4,0,AE$51+1)-INDEX($L$4:$T$4,0,AE$51))+AD56)))</f>
        <v>7.7398271131767222</v>
      </c>
      <c r="AF56" s="3" cm="1">
        <f t="array" ref="AF56">IF(AF$51=-1,AG56,IF(AF$51=99,AE56,IF(AF$51=0,INDEX($L41:$T41,0,AF$49),(INDEX($L41:$T41,0,AF$51+1)-INDEX($L41:$T41,0,AF$51))/(INDEX($L$4:$T$4,0,AF$51+1)-INDEX($L$4:$T$4,0,AF$51))+AE56)))</f>
        <v>7.9919354972467165</v>
      </c>
      <c r="AG56" s="3" cm="1">
        <f t="array" ref="AG56">IF(AG$51=-1,AH56,IF(AG$51=99,AF56,IF(AG$51=0,INDEX($L41:$T41,0,AG$49),(INDEX($L41:$T41,0,AG$51+1)-INDEX($L41:$T41,0,AG$51))/(INDEX($L$4:$T$4,0,AG$51+1)-INDEX($L$4:$T$4,0,AG$51))+AF56)))</f>
        <v>8.2440438813167116</v>
      </c>
      <c r="AH56" s="3" cm="1">
        <f t="array" ref="AH56">IF(AH$51=-1,AI56,IF(AH$51=99,AG56,IF(AH$51=0,INDEX($L41:$T41,0,AH$49),(INDEX($L41:$T41,0,AH$51+1)-INDEX($L41:$T41,0,AH$51))/(INDEX($L$4:$T$4,0,AH$51+1)-INDEX($L$4:$T$4,0,AH$51))+AG56)))</f>
        <v>8.6028053671791618</v>
      </c>
      <c r="AI56" s="3" cm="1">
        <f t="array" ref="AI56">IF(AI$51=-1,AJ56,IF(AI$51=99,AH56,IF(AI$51=0,INDEX($L41:$T41,0,AI$49),(INDEX($L41:$T41,0,AI$51+1)-INDEX($L41:$T41,0,AI$51))/(INDEX($L$4:$T$4,0,AI$51+1)-INDEX($L$4:$T$4,0,AI$51))+AH56)))</f>
        <v>8.9615668530416119</v>
      </c>
      <c r="AJ56" s="3" cm="1">
        <f t="array" ref="AJ56">IF(AJ$51=-1,AK56,IF(AJ$51=99,AI56,IF(AJ$51=0,INDEX($L41:$T41,0,AJ$49),(INDEX($L41:$T41,0,AJ$51+1)-INDEX($L41:$T41,0,AJ$51))/(INDEX($L$4:$T$4,0,AJ$51+1)-INDEX($L$4:$T$4,0,AJ$51))+AI56)))</f>
        <v>9.3203283389040621</v>
      </c>
      <c r="AK56" s="3" cm="1">
        <f t="array" ref="AK56">IF(AK$51=-1,AL56,IF(AK$51=99,AJ56,IF(AK$51=0,INDEX($L41:$T41,0,AK$49),(INDEX($L41:$T41,0,AK$51+1)-INDEX($L41:$T41,0,AK$51))/(INDEX($L$4:$T$4,0,AK$51+1)-INDEX($L$4:$T$4,0,AK$51))+AJ56)))</f>
        <v>9.6790898247665123</v>
      </c>
      <c r="AL56" s="3" cm="1">
        <f t="array" ref="AL56">IF(AL$51=-1,AM56,IF(AL$51=99,AK56,IF(AL$51=0,INDEX($L41:$T41,0,AL$49),(INDEX($L41:$T41,0,AL$51+1)-INDEX($L41:$T41,0,AL$51))/(INDEX($L$4:$T$4,0,AL$51+1)-INDEX($L$4:$T$4,0,AL$51))+AK56)))</f>
        <v>10.037851310628962</v>
      </c>
      <c r="AM56" s="3" cm="1">
        <f t="array" ref="AM56">IF(AM$51=-1,AN56,IF(AM$51=99,AL56,IF(AM$51=0,INDEX($L41:$T41,0,AM$49),(INDEX($L41:$T41,0,AM$51+1)-INDEX($L41:$T41,0,AM$51))/(INDEX($L$4:$T$4,0,AM$51+1)-INDEX($L$4:$T$4,0,AM$51))+AL56)))</f>
        <v>11.83165873994121</v>
      </c>
      <c r="AN56" s="3" cm="1">
        <f t="array" ref="AN56">IF(AN$51=-1,AO56,IF(AN$51=99,AM56,IF(AN$51=0,INDEX($L41:$T41,0,AN$49),(INDEX($L41:$T41,0,AN$51+1)-INDEX($L41:$T41,0,AN$51))/(INDEX($L$4:$T$4,0,AN$51+1)-INDEX($L$4:$T$4,0,AN$51))+AM56)))</f>
        <v>15.531258188280216</v>
      </c>
      <c r="AO56" s="3" cm="1">
        <f t="array" ref="AO56">IF(AO$51=-1,AP56,IF(AO$51=99,AN56,IF(AO$51=0,INDEX($L41:$T41,0,AO$49),(INDEX($L41:$T41,0,AO$51+1)-INDEX($L41:$T41,0,AO$51))/(INDEX($L$4:$T$4,0,AO$51+1)-INDEX($L$4:$T$4,0,AO$51))+AN56)))</f>
        <v>16.984785229019423</v>
      </c>
    </row>
  </sheetData>
  <mergeCells count="1">
    <mergeCell ref="B2:C2"/>
  </mergeCells>
  <phoneticPr fontId="166"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 Merven</cp:lastModifiedBy>
  <dcterms:created xsi:type="dcterms:W3CDTF">2011-09-16T10:01:44Z</dcterms:created>
  <dcterms:modified xsi:type="dcterms:W3CDTF">2024-01-23T11:01:40Z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