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AB230364-13A4-4895-BAE3-B37B09701ED6}" xr6:coauthVersionLast="47" xr6:coauthVersionMax="47" xr10:uidLastSave="{00000000-0000-0000-0000-000000000000}"/>
  <bookViews>
    <workbookView xWindow="-120" yWindow="-120" windowWidth="29040" windowHeight="15840" tabRatio="749" firstSheet="2" activeTab="6"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119" i="75" l="1"/>
  <c r="AI119" i="75"/>
  <c r="AH119" i="75"/>
  <c r="AG119" i="75"/>
  <c r="AF119" i="75"/>
  <c r="AE119" i="75"/>
  <c r="AD119" i="75"/>
  <c r="AJ118" i="75"/>
  <c r="AI118" i="75"/>
  <c r="AH118" i="75"/>
  <c r="AG118" i="75"/>
  <c r="AF118" i="75"/>
  <c r="AE118" i="75"/>
  <c r="AD118" i="75"/>
  <c r="AJ117" i="75"/>
  <c r="AI117" i="75"/>
  <c r="AH117" i="75"/>
  <c r="AG117" i="75"/>
  <c r="AF117" i="75"/>
  <c r="AE117" i="75"/>
  <c r="AD117" i="75"/>
  <c r="AJ116" i="75"/>
  <c r="AI116" i="75"/>
  <c r="AH116" i="75"/>
  <c r="AG116" i="75"/>
  <c r="AF116" i="75"/>
  <c r="AE116" i="75"/>
  <c r="AD116" i="75"/>
  <c r="AJ115" i="75"/>
  <c r="AI115" i="75"/>
  <c r="AH115" i="75"/>
  <c r="AG115" i="75"/>
  <c r="AF115" i="75"/>
  <c r="AE115" i="75"/>
  <c r="AD115" i="75"/>
  <c r="AJ114" i="75"/>
  <c r="AI114" i="75"/>
  <c r="AH114" i="75"/>
  <c r="AG114" i="75"/>
  <c r="AF114" i="75"/>
  <c r="AE114" i="75"/>
  <c r="AD114" i="75"/>
  <c r="AJ113" i="75"/>
  <c r="AI113" i="75"/>
  <c r="AH113" i="75"/>
  <c r="AG113" i="75"/>
  <c r="AF113" i="75"/>
  <c r="AE113" i="75"/>
  <c r="AD113" i="75"/>
  <c r="AJ107" i="75"/>
  <c r="AI107" i="75"/>
  <c r="AH107" i="75"/>
  <c r="AG107" i="75"/>
  <c r="AF107" i="75"/>
  <c r="AE107" i="75"/>
  <c r="AD107" i="75"/>
  <c r="AJ106" i="75"/>
  <c r="AI106" i="75"/>
  <c r="AH106" i="75"/>
  <c r="AG106" i="75"/>
  <c r="AF106" i="75"/>
  <c r="AE106" i="75"/>
  <c r="AD106" i="75"/>
  <c r="AJ105" i="75"/>
  <c r="AI105" i="75"/>
  <c r="AH105" i="75"/>
  <c r="AG105" i="75"/>
  <c r="AF105" i="75"/>
  <c r="AE105" i="75"/>
  <c r="AD105" i="75"/>
  <c r="AJ104" i="75"/>
  <c r="AI104" i="75"/>
  <c r="AH104" i="75"/>
  <c r="AG104" i="75"/>
  <c r="AF104" i="75"/>
  <c r="AE104" i="75"/>
  <c r="AD104" i="75"/>
  <c r="AJ103" i="75"/>
  <c r="AI103" i="75"/>
  <c r="AH103" i="75"/>
  <c r="AG103" i="75"/>
  <c r="AF103" i="75"/>
  <c r="AE103" i="75"/>
  <c r="AD103" i="75"/>
  <c r="AJ102" i="75"/>
  <c r="AI102" i="75"/>
  <c r="AH102" i="75"/>
  <c r="AG102" i="75"/>
  <c r="AF102" i="75"/>
  <c r="AE102" i="75"/>
  <c r="AD102" i="75"/>
  <c r="AJ99" i="75"/>
  <c r="AI99" i="75"/>
  <c r="AH99" i="75"/>
  <c r="AG99" i="75"/>
  <c r="AF99" i="75"/>
  <c r="AE99" i="75"/>
  <c r="AD99" i="75"/>
  <c r="AJ98" i="75"/>
  <c r="AI98" i="75"/>
  <c r="AH98" i="75"/>
  <c r="AG98" i="75"/>
  <c r="AF98" i="75"/>
  <c r="AE98" i="75"/>
  <c r="AD98" i="75"/>
  <c r="AJ97" i="75"/>
  <c r="AI97" i="75"/>
  <c r="AH97" i="75"/>
  <c r="AG97" i="75"/>
  <c r="AF97" i="75"/>
  <c r="AE97" i="75"/>
  <c r="AD97" i="75"/>
  <c r="AJ96" i="75"/>
  <c r="AI96" i="75"/>
  <c r="AH96" i="75"/>
  <c r="AG96" i="75"/>
  <c r="AF96" i="75"/>
  <c r="AE96" i="75"/>
  <c r="AD96" i="75"/>
  <c r="AJ95" i="75"/>
  <c r="AI95" i="75"/>
  <c r="AH95" i="75"/>
  <c r="AG95" i="75"/>
  <c r="AF95" i="75"/>
  <c r="AE95" i="75"/>
  <c r="AD95" i="75"/>
  <c r="AJ94" i="75"/>
  <c r="AI94" i="75"/>
  <c r="AH94" i="75"/>
  <c r="AG94" i="75"/>
  <c r="AF94" i="75"/>
  <c r="AE94" i="75"/>
  <c r="AD94" i="75"/>
  <c r="AJ93" i="75"/>
  <c r="AI93" i="75"/>
  <c r="AH93" i="75"/>
  <c r="AG93" i="75"/>
  <c r="AF93" i="75"/>
  <c r="AE93" i="75"/>
  <c r="AD93" i="75"/>
  <c r="AJ90" i="75"/>
  <c r="AI90" i="75"/>
  <c r="AH90" i="75"/>
  <c r="AG90" i="75"/>
  <c r="AF90" i="75"/>
  <c r="AE90" i="75"/>
  <c r="AD90" i="75"/>
  <c r="AJ89" i="75"/>
  <c r="AI89" i="75"/>
  <c r="AH89" i="75"/>
  <c r="AG89" i="75"/>
  <c r="AF89" i="75"/>
  <c r="AE89" i="75"/>
  <c r="AD89" i="75"/>
  <c r="AJ86" i="75"/>
  <c r="AI86" i="75"/>
  <c r="AH86" i="75"/>
  <c r="AG86" i="75"/>
  <c r="AF86" i="75"/>
  <c r="AE86" i="75"/>
  <c r="AD86" i="75"/>
  <c r="AJ85" i="75"/>
  <c r="AI85" i="75"/>
  <c r="AH85" i="75"/>
  <c r="AG85" i="75"/>
  <c r="AF85" i="75"/>
  <c r="AE85" i="75"/>
  <c r="AD85" i="75"/>
  <c r="AJ84" i="75"/>
  <c r="AI84" i="75"/>
  <c r="AH84" i="75"/>
  <c r="AG84" i="75"/>
  <c r="AF84" i="75"/>
  <c r="AE84" i="75"/>
  <c r="AD84" i="75"/>
  <c r="AJ83" i="75"/>
  <c r="AI83" i="75"/>
  <c r="AH83" i="75"/>
  <c r="AG83" i="75"/>
  <c r="AF83" i="75"/>
  <c r="AE83" i="75"/>
  <c r="AD83" i="75"/>
  <c r="AJ82" i="75"/>
  <c r="AI82" i="75"/>
  <c r="AH82" i="75"/>
  <c r="AG82" i="75"/>
  <c r="AF82" i="75"/>
  <c r="AE82" i="75"/>
  <c r="AD82" i="75"/>
  <c r="AJ81" i="75"/>
  <c r="AI81" i="75"/>
  <c r="AH81" i="75"/>
  <c r="AG81" i="75"/>
  <c r="AF81" i="75"/>
  <c r="AE81" i="75"/>
  <c r="AD81" i="75"/>
  <c r="AJ78" i="75"/>
  <c r="AI78" i="75"/>
  <c r="AH78" i="75"/>
  <c r="AG78" i="75"/>
  <c r="AF78" i="75"/>
  <c r="AE78" i="75"/>
  <c r="AD78" i="75"/>
  <c r="AJ77" i="75"/>
  <c r="AI77" i="75"/>
  <c r="AH77" i="75"/>
  <c r="AG77" i="75"/>
  <c r="AF77" i="75"/>
  <c r="AE77" i="75"/>
  <c r="AD77" i="75"/>
  <c r="AJ76" i="75"/>
  <c r="AI76" i="75"/>
  <c r="AH76" i="75"/>
  <c r="AG76" i="75"/>
  <c r="AF76" i="75"/>
  <c r="AE76" i="75"/>
  <c r="AD76" i="75"/>
  <c r="AJ73" i="75"/>
  <c r="AI73" i="75"/>
  <c r="AH73" i="75"/>
  <c r="AG73" i="75"/>
  <c r="AF73" i="75"/>
  <c r="AE73" i="75"/>
  <c r="AD73" i="75"/>
  <c r="AJ72" i="75"/>
  <c r="AI72" i="75"/>
  <c r="AH72" i="75"/>
  <c r="AG72" i="75"/>
  <c r="AF72" i="75"/>
  <c r="AE72" i="75"/>
  <c r="AD72" i="75"/>
  <c r="AJ71" i="75"/>
  <c r="AI71" i="75"/>
  <c r="AH71" i="75"/>
  <c r="AG71" i="75"/>
  <c r="AF71" i="75"/>
  <c r="AE71" i="75"/>
  <c r="AD71" i="75"/>
  <c r="AJ70" i="75"/>
  <c r="AI70" i="75"/>
  <c r="AH70" i="75"/>
  <c r="AG70" i="75"/>
  <c r="AF70" i="75"/>
  <c r="AE70" i="75"/>
  <c r="AD70" i="75"/>
  <c r="AJ69" i="75"/>
  <c r="AI69" i="75"/>
  <c r="AH69" i="75"/>
  <c r="AG69" i="75"/>
  <c r="AF69" i="75"/>
  <c r="AE69" i="75"/>
  <c r="AD69" i="75"/>
  <c r="AD62" i="75"/>
  <c r="AE62" i="75"/>
  <c r="AF62" i="75"/>
  <c r="AG62" i="75"/>
  <c r="AH62" i="75"/>
  <c r="AI62" i="75"/>
  <c r="AJ62" i="75"/>
  <c r="AD63" i="75"/>
  <c r="AE63" i="75"/>
  <c r="AF63" i="75"/>
  <c r="AG63" i="75"/>
  <c r="AH63" i="75"/>
  <c r="AI63" i="75"/>
  <c r="AJ63" i="75"/>
  <c r="AD64" i="75"/>
  <c r="AE64" i="75"/>
  <c r="AF64" i="75"/>
  <c r="AG64" i="75"/>
  <c r="AH64" i="75"/>
  <c r="AI64" i="75"/>
  <c r="AJ64" i="75"/>
  <c r="AD65" i="75"/>
  <c r="AE65" i="75"/>
  <c r="AF65" i="75"/>
  <c r="AG65" i="75"/>
  <c r="AH65" i="75"/>
  <c r="AI65" i="75"/>
  <c r="AJ65" i="75"/>
  <c r="AD66" i="75"/>
  <c r="AE66" i="75"/>
  <c r="AF66" i="75"/>
  <c r="AG66" i="75"/>
  <c r="AH66" i="75"/>
  <c r="AI66" i="75"/>
  <c r="AJ66" i="75"/>
  <c r="AE61" i="75"/>
  <c r="AF61" i="75"/>
  <c r="AG61" i="75"/>
  <c r="AH61" i="75"/>
  <c r="AI61" i="75"/>
  <c r="AJ61" i="75"/>
  <c r="AD61" i="75"/>
  <c r="T105" i="75"/>
  <c r="U105" i="75"/>
  <c r="V105" i="75"/>
  <c r="W105" i="75"/>
  <c r="X105" i="75"/>
  <c r="Y105" i="75"/>
  <c r="T106" i="75"/>
  <c r="U106" i="75"/>
  <c r="V106" i="75"/>
  <c r="W106" i="75"/>
  <c r="X106" i="75"/>
  <c r="Y106" i="75"/>
  <c r="T107" i="75"/>
  <c r="U107" i="75"/>
  <c r="V107" i="75"/>
  <c r="W107" i="75"/>
  <c r="X107" i="75"/>
  <c r="Y107" i="75"/>
  <c r="T97" i="75"/>
  <c r="U97" i="75"/>
  <c r="V97" i="75"/>
  <c r="W97" i="75"/>
  <c r="X97" i="75"/>
  <c r="Y97" i="75"/>
  <c r="T98" i="75"/>
  <c r="U98" i="75"/>
  <c r="V98" i="75"/>
  <c r="W98" i="75"/>
  <c r="X98" i="75"/>
  <c r="Y98" i="75"/>
  <c r="T99" i="75"/>
  <c r="U99" i="75"/>
  <c r="V99" i="75"/>
  <c r="W99" i="75"/>
  <c r="X99" i="75"/>
  <c r="Y99" i="75"/>
  <c r="T85" i="75"/>
  <c r="U85" i="75"/>
  <c r="V85" i="75"/>
  <c r="W85" i="75"/>
  <c r="X85" i="75"/>
  <c r="Y85" i="75"/>
  <c r="T86" i="75"/>
  <c r="U86" i="75"/>
  <c r="V86" i="75"/>
  <c r="W86" i="75"/>
  <c r="X86" i="75"/>
  <c r="Y86" i="75"/>
  <c r="S86" i="75"/>
  <c r="T73" i="75"/>
  <c r="U73" i="75"/>
  <c r="V73" i="75"/>
  <c r="W73" i="75"/>
  <c r="X73" i="75"/>
  <c r="Y73" i="75"/>
  <c r="T74" i="75"/>
  <c r="U74" i="75"/>
  <c r="V74" i="75"/>
  <c r="W74" i="75"/>
  <c r="X74" i="75"/>
  <c r="Y74" i="75"/>
  <c r="T65" i="75"/>
  <c r="U65" i="75"/>
  <c r="V65" i="75"/>
  <c r="W65" i="75"/>
  <c r="X65" i="75"/>
  <c r="Y65" i="75"/>
  <c r="T66" i="75"/>
  <c r="U66" i="75"/>
  <c r="V66" i="75"/>
  <c r="W66" i="75"/>
  <c r="X66" i="75"/>
  <c r="Y66" i="75"/>
  <c r="D7" i="67"/>
  <c r="E7" i="67"/>
  <c r="F7" i="67"/>
  <c r="G7" i="67"/>
  <c r="H7" i="67"/>
  <c r="I7" i="67"/>
  <c r="J7" i="67"/>
  <c r="C7" i="67"/>
  <c r="J11" i="22"/>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I107" i="75"/>
  <c r="J107" i="75" s="1"/>
  <c r="I102" i="75"/>
  <c r="J102" i="75" s="1"/>
  <c r="E98" i="75"/>
  <c r="L91" i="75"/>
  <c r="E90" i="75"/>
  <c r="J86" i="75"/>
  <c r="J85" i="75"/>
  <c r="I106" i="75"/>
  <c r="J106" i="75" s="1"/>
  <c r="J81"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R99" i="75" l="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R107" i="75"/>
  <c r="AC98" i="75"/>
  <c r="S98" i="75"/>
  <c r="B121" i="75"/>
  <c r="R118" i="75"/>
  <c r="R114" i="75"/>
  <c r="N108" i="75"/>
  <c r="AT50" i="75" s="1"/>
  <c r="R102" i="75"/>
  <c r="S102" i="75" s="1"/>
  <c r="T102" i="75" s="1"/>
  <c r="U102" i="75" s="1"/>
  <c r="V102" i="75" s="1"/>
  <c r="W102" i="75" s="1"/>
  <c r="X102" i="75" s="1"/>
  <c r="Y102" i="75" s="1"/>
  <c r="R104" i="75"/>
  <c r="R106"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U77" i="75" l="1"/>
  <c r="S94" i="75"/>
  <c r="T94" i="75"/>
  <c r="U94" i="75"/>
  <c r="X94" i="75"/>
  <c r="Y94" i="75"/>
  <c r="V94" i="75"/>
  <c r="W94" i="75"/>
  <c r="T110" i="75"/>
  <c r="Y110" i="75"/>
  <c r="X110" i="75"/>
  <c r="W110" i="75"/>
  <c r="V110" i="75"/>
  <c r="U110" i="75"/>
  <c r="S107" i="75"/>
  <c r="AC99" i="75"/>
  <c r="U89" i="75"/>
  <c r="Y89" i="75"/>
  <c r="X89" i="75"/>
  <c r="W89" i="75"/>
  <c r="V89" i="75"/>
  <c r="T89" i="75"/>
  <c r="T77" i="75"/>
  <c r="R90" i="75"/>
  <c r="X77" i="75"/>
  <c r="S99" i="75"/>
  <c r="AC105" i="75"/>
  <c r="S105" i="75"/>
  <c r="W77" i="75"/>
  <c r="Y77" i="75"/>
  <c r="AC77" i="75"/>
  <c r="U95" i="75"/>
  <c r="Y95" i="75"/>
  <c r="W95" i="75"/>
  <c r="AC95" i="75"/>
  <c r="T95" i="75"/>
  <c r="S95" i="75"/>
  <c r="X95" i="75"/>
  <c r="AC119" i="75"/>
  <c r="S77" i="75"/>
  <c r="AC117" i="75"/>
  <c r="AC107" i="75"/>
  <c r="AC94" i="75"/>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V96" i="75"/>
  <c r="S96" i="75"/>
  <c r="AC96" i="75"/>
  <c r="Y96" i="75"/>
  <c r="U96" i="75"/>
  <c r="T96" i="75"/>
  <c r="X96" i="75"/>
  <c r="W96" i="75"/>
  <c r="N67" i="75"/>
  <c r="AT44" i="75" s="1"/>
  <c r="R61" i="75"/>
  <c r="R62" i="75"/>
  <c r="R65" i="75"/>
  <c r="R64" i="75"/>
  <c r="R66" i="75"/>
  <c r="R63" i="75"/>
  <c r="S114" i="75"/>
  <c r="T114" i="75" s="1"/>
  <c r="U114" i="75" s="1"/>
  <c r="V114" i="75" s="1"/>
  <c r="W114" i="75" s="1"/>
  <c r="X114" i="75" s="1"/>
  <c r="Y114" i="75" s="1"/>
  <c r="AC114" i="75"/>
  <c r="AC113" i="75"/>
  <c r="S113" i="75"/>
  <c r="AC118" i="75"/>
  <c r="S118" i="75"/>
  <c r="T118" i="75" s="1"/>
  <c r="U118" i="75" s="1"/>
  <c r="V118" i="75" s="1"/>
  <c r="W118" i="75" s="1"/>
  <c r="X118" i="75" s="1"/>
  <c r="Y118" i="75" s="1"/>
  <c r="W103" i="75"/>
  <c r="U103" i="75"/>
  <c r="T103" i="75"/>
  <c r="AC103" i="75"/>
  <c r="Y103" i="75"/>
  <c r="X103" i="75"/>
  <c r="V103" i="75"/>
  <c r="S103" i="75"/>
  <c r="N87" i="75"/>
  <c r="AT47" i="75" s="1"/>
  <c r="R81" i="75"/>
  <c r="R86" i="75"/>
  <c r="N74" i="75"/>
  <c r="AT45" i="75" s="1"/>
  <c r="R69" i="75"/>
  <c r="R72" i="75"/>
  <c r="R73" i="75"/>
  <c r="R71" i="75"/>
  <c r="S106" i="75"/>
  <c r="AC106" i="75"/>
  <c r="R82" i="75"/>
  <c r="U90" i="75" l="1"/>
  <c r="T90" i="75"/>
  <c r="V90" i="75"/>
  <c r="W90" i="75"/>
  <c r="Y90" i="75"/>
  <c r="X90" i="75"/>
  <c r="AC90" i="75"/>
  <c r="S90"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S65" i="75"/>
  <c r="AC65" i="75"/>
  <c r="AC86" i="75"/>
  <c r="U62" i="75"/>
  <c r="T62" i="75"/>
  <c r="S62" i="75"/>
  <c r="AC62" i="75"/>
  <c r="Y62" i="75"/>
  <c r="W62" i="75"/>
  <c r="X62" i="75"/>
  <c r="V62"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C73" i="75"/>
  <c r="S73" i="75"/>
  <c r="AC85" i="75"/>
  <c r="S85" i="75"/>
  <c r="W72" i="75"/>
  <c r="V72" i="75"/>
  <c r="U72" i="75"/>
  <c r="T72" i="75"/>
  <c r="S72" i="75"/>
  <c r="Y72" i="75"/>
  <c r="AC72" i="75"/>
  <c r="X72" i="75"/>
  <c r="T84" i="75"/>
  <c r="AC84" i="75"/>
  <c r="Y84" i="75"/>
  <c r="V84" i="75"/>
  <c r="U84" i="75"/>
  <c r="W84" i="75"/>
  <c r="S84" i="75"/>
  <c r="X84" i="75"/>
  <c r="X63" i="75"/>
  <c r="W63" i="75"/>
  <c r="V63" i="75"/>
  <c r="U63" i="75"/>
  <c r="T63" i="75"/>
  <c r="AC63" i="75"/>
  <c r="Y63" i="75"/>
  <c r="S63" i="75"/>
  <c r="AD110" i="75"/>
  <c r="AI110" i="75"/>
  <c r="AF110" i="75"/>
  <c r="AE110" i="75"/>
  <c r="AH110" i="75"/>
  <c r="AG110" i="75"/>
  <c r="Y87" i="75" l="1"/>
  <c r="V87" i="75"/>
  <c r="U87" i="75"/>
  <c r="S87" i="75"/>
  <c r="X87" i="75"/>
  <c r="W87" i="75"/>
  <c r="AC87" i="75"/>
  <c r="T87"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I49" i="67"/>
  <c r="G47" i="67"/>
  <c r="C49" i="67"/>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83" i="48" s="1"/>
  <c r="A83" i="48" s="1"/>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D350" i="29" s="1"/>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D286" i="29" s="1"/>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D270" i="29" s="1"/>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G211" i="29"/>
  <c r="D278" i="29"/>
  <c r="D366" i="29"/>
  <c r="A77" i="35"/>
  <c r="D206" i="29" l="1"/>
  <c r="D198" i="29"/>
  <c r="A67" i="48"/>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D77" i="35"/>
  <c r="A24" i="35"/>
  <c r="A26" i="35"/>
  <c r="A23" i="35"/>
  <c r="A21" i="35"/>
  <c r="A75" i="35"/>
  <c r="A25" i="35"/>
  <c r="A71" i="35"/>
  <c r="A39" i="35"/>
  <c r="A44" i="35"/>
  <c r="A49" i="35"/>
  <c r="A83" i="35"/>
  <c r="A80" i="35"/>
  <c r="A22" i="35"/>
  <c r="C77" i="35"/>
  <c r="A46" i="35"/>
  <c r="A50" i="35"/>
  <c r="A19" i="35"/>
  <c r="A59" i="35"/>
  <c r="A32" i="35"/>
  <c r="A70" i="35"/>
  <c r="A37" i="35"/>
  <c r="A53" i="35"/>
  <c r="A76" i="35"/>
  <c r="A58" i="35"/>
  <c r="A28" i="35"/>
  <c r="A85" i="35"/>
  <c r="A38" i="35"/>
  <c r="A45" i="35"/>
  <c r="A69" i="35"/>
  <c r="A67" i="35"/>
  <c r="A18" i="35"/>
  <c r="A84" i="35"/>
  <c r="A79" i="35"/>
  <c r="A55" i="35"/>
  <c r="A36" i="35"/>
  <c r="A81" i="35"/>
  <c r="A82" i="35"/>
  <c r="A31" i="35"/>
  <c r="A78" i="35"/>
  <c r="A27" i="35"/>
  <c r="A20" i="35"/>
  <c r="A66" i="35"/>
  <c r="A52" i="35"/>
  <c r="A33"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D76" i="35"/>
  <c r="D52" i="35"/>
  <c r="C21" i="35"/>
  <c r="A61" i="35"/>
  <c r="D27" i="35"/>
  <c r="A35" i="35"/>
  <c r="C23" i="35"/>
  <c r="A43" i="35"/>
  <c r="A64" i="35"/>
  <c r="D22" i="35"/>
  <c r="A42" i="35"/>
  <c r="D53" i="35"/>
  <c r="C53" i="35"/>
  <c r="A29" i="35"/>
  <c r="A73" i="35"/>
  <c r="C52" i="35"/>
  <c r="C20" i="35"/>
  <c r="A51" i="35"/>
  <c r="D36" i="35"/>
  <c r="A30" i="35"/>
  <c r="D71" i="35"/>
  <c r="C44" i="35"/>
  <c r="D31" i="35"/>
  <c r="C27" i="35"/>
  <c r="C75" i="35"/>
  <c r="A54" i="35"/>
  <c r="C31" i="35"/>
  <c r="D20" i="35"/>
  <c r="A63" i="35"/>
  <c r="D28" i="35"/>
  <c r="A72" i="35"/>
  <c r="A48" i="35"/>
  <c r="D39" i="35"/>
  <c r="D21" i="35"/>
  <c r="A74" i="35"/>
  <c r="A34" i="35"/>
  <c r="C71" i="35"/>
  <c r="D75" i="35"/>
  <c r="A56" i="35"/>
  <c r="A68" i="35"/>
  <c r="C55" i="35"/>
  <c r="A65" i="35"/>
  <c r="C19" i="35"/>
  <c r="A47" i="35"/>
  <c r="D19" i="35"/>
  <c r="C39" i="35"/>
  <c r="A40" i="35"/>
  <c r="D23" i="35"/>
  <c r="A60" i="35"/>
  <c r="C36" i="35"/>
  <c r="A57" i="35"/>
  <c r="C76" i="35"/>
  <c r="D44" i="35"/>
  <c r="D24" i="35"/>
  <c r="A62" i="35"/>
  <c r="C22" i="35"/>
  <c r="C28" i="35"/>
  <c r="C24" i="35"/>
  <c r="D55" i="35"/>
  <c r="A41"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C60" i="35"/>
  <c r="C47" i="35"/>
  <c r="C54" i="35"/>
  <c r="D43" i="35"/>
  <c r="C51" i="35"/>
  <c r="D40" i="35"/>
  <c r="C43" i="35"/>
  <c r="C42" i="35"/>
  <c r="C61" i="35"/>
  <c r="C30" i="35"/>
  <c r="D62" i="35"/>
  <c r="D61" i="35"/>
  <c r="D60" i="35"/>
  <c r="C48" i="35"/>
  <c r="C68" i="35"/>
  <c r="D72" i="35"/>
  <c r="C35" i="35"/>
  <c r="C73" i="35"/>
  <c r="D30" i="35"/>
  <c r="C29" i="35"/>
  <c r="D68" i="35"/>
  <c r="D73" i="35"/>
  <c r="D57" i="35"/>
  <c r="D41" i="35"/>
  <c r="D34" i="35"/>
  <c r="D63" i="35"/>
  <c r="D64" i="35"/>
  <c r="C40" i="35"/>
  <c r="C34" i="35"/>
  <c r="D56" i="35"/>
  <c r="D29" i="35"/>
  <c r="D35" i="35"/>
  <c r="D51" i="35"/>
  <c r="C63" i="35"/>
  <c r="C41" i="35"/>
  <c r="C65" i="35"/>
  <c r="D65" i="35"/>
  <c r="C62" i="35"/>
  <c r="D48" i="35"/>
  <c r="C64" i="35"/>
  <c r="C74" i="35"/>
  <c r="D47" i="35"/>
  <c r="C56" i="35"/>
  <c r="C57" i="35"/>
  <c r="D74" i="35"/>
  <c r="C72" i="35"/>
  <c r="D54" i="35"/>
  <c r="D42"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J94" i="75" s="1"/>
  <c r="I93" i="75"/>
  <c r="I89" i="75"/>
  <c r="I115" i="75"/>
  <c r="I118" i="75"/>
  <c r="I117" i="75"/>
  <c r="I119" i="75"/>
  <c r="I95" i="75"/>
  <c r="I61" i="75"/>
  <c r="J61" i="75" s="1"/>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tc={FA8C7EB6-20C8-444F-BC99-F6CAA93330BF}</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K56" authorId="1" shapeId="0" xr:uid="{FA8C7EB6-20C8-444F-BC99-F6CAA93330BF}">
      <text>
        <t>[Threaded comment]
Your version of Excel allows you to read this threaded comment; however, any edits to it will get removed if the file is opened in a newer version of Excel. Learn more: https://go.microsoft.com/fwlink/?linkid=870924
Comment:
    Allowing any tech to be invested in until we do proper stock modelling.</t>
      </text>
    </comment>
    <comment ref="AV56" authorId="2"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2"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3"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4"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2"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2"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2"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5"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2"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6"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7"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8" shapeId="0" xr:uid="{F5103692-147B-4705-A00A-E13C7A5796F4}">
      <text>
        <r>
          <rPr>
            <b/>
            <sz val="9"/>
            <color indexed="81"/>
            <rFont val="Tahoma"/>
            <family val="2"/>
          </rPr>
          <t>Bryce McCall:</t>
        </r>
        <r>
          <rPr>
            <sz val="9"/>
            <color indexed="81"/>
            <rFont val="Tahoma"/>
            <family val="2"/>
          </rPr>
          <t xml:space="preserve">
from RES</t>
        </r>
      </text>
    </comment>
    <comment ref="J99" authorId="8" shapeId="0" xr:uid="{A6B39391-8487-4958-B9B3-F4CAF5C2E8D2}">
      <text>
        <r>
          <rPr>
            <b/>
            <sz val="9"/>
            <color indexed="81"/>
            <rFont val="Tahoma"/>
            <family val="2"/>
          </rPr>
          <t>Bryce McCall:</t>
        </r>
        <r>
          <rPr>
            <sz val="9"/>
            <color indexed="81"/>
            <rFont val="Tahoma"/>
            <family val="2"/>
          </rPr>
          <t xml:space="preserve">
Same assumption as RES</t>
        </r>
      </text>
    </comment>
    <comment ref="I110" authorId="8" shapeId="0" xr:uid="{30ABE3F6-7D32-4D7C-B56B-5F97F2734857}">
      <text>
        <r>
          <rPr>
            <b/>
            <sz val="9"/>
            <color indexed="81"/>
            <rFont val="Tahoma"/>
            <family val="2"/>
          </rPr>
          <t>Bryce McCall:</t>
        </r>
        <r>
          <rPr>
            <sz val="9"/>
            <color indexed="81"/>
            <rFont val="Tahoma"/>
            <family val="2"/>
          </rPr>
          <t xml:space="preserve">
Just a dummy data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<sst xmlns="http://schemas.openxmlformats.org/spreadsheetml/2006/main" count="9413" uniqueCount="1678">
  <si>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</si>
  <si>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</si>
  <si>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</si>
  <si>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</si>
  <si>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</si>
  <si>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</si>
  <si>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</si>
  <si>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</si>
  <si>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</si>
  <si>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</si>
  <si>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</si>
  <si>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</si>
  <si>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</si>
  <si>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</si>
  <si>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</si>
  <si>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</si>
  <si>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</si>
  <si>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</si>
  <si>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</si>
  <si>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</si>
  <si>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</si>
  <si>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</si>
  <si>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</si>
  <si>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</si>
  <si>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</si>
  <si>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</si>
  <si>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</si>
  <si>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</si>
  <si>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</si>
  <si>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</si>
  <si>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</si>
  <si>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</si>
  <si>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</si>
  <si>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</si>
  <si>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</si>
  <si>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</si>
  <si>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</si>
  <si>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</si>
  <si>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</si>
  <si>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</si>
  <si>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</si>
  <si>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</si>
  <si>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</si>
  <si>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</si>
  <si>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</si>
  <si>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</si>
  <si>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</si>
  <si>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</si>
  <si>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</si>
  <si>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</si>
  <si>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</si>
  <si>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</si>
  <si>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</si>
  <si>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</si>
  <si>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</si>
  <si>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</si>
  <si>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</si>
  <si>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</si>
  <si>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</si>
  <si>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</si>
  <si>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</si>
  <si>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</si>
  <si>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</si>
  <si>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</si>
  <si>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</si>
  <si>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</si>
  <si>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</si>
  <si>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</si>
  <si>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</si>
  <si>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</si>
  <si>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</si>
  <si>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</si>
  <si>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</si>
  <si>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</si>
  <si>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</si>
  <si>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</si>
  <si>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</si>
  <si>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</si>
  <si>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</si>
  <si>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</si>
  <si>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</si>
  <si>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</si>
  <si>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</si>
  <si>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</si>
  <si>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</si>
  <si>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</si>
  <si>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</si>
  <si>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</si>
  <si>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</si>
  <si>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</si>
  <si>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</si>
  <si>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</si>
  <si>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</si>
  <si>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</si>
  <si>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</si>
  <si>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</si>
  <si>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</si>
  <si>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</si>
  <si>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</si>
  <si>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</si>
  <si>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</si>
  <si>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</si>
  <si>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</si>
  <si>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</si>
  <si>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</si>
  <si>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</si>
  <si>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</si>
  <si>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</si>
  <si>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</si>
  <si>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</si>
  <si>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</si>
  <si>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</si>
  <si>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</si>
  <si>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</si>
  <si>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</si>
  <si>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</si>
  <si>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</si>
  <si>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</si>
  <si>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</si>
  <si>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</si>
  <si>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</si>
  <si>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</si>
  <si>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</si>
  <si>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</si>
  <si>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</si>
  <si>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</si>
  <si>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</si>
  <si>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</si>
  <si>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</si>
  <si>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</si>
  <si>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</si>
  <si>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</si>
  <si>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</si>
  <si>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</si>
  <si>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</si>
  <si>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</si>
  <si>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</si>
  <si>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</si>
  <si>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</si>
  <si>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</si>
  <si>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</si>
  <si>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</si>
  <si>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</si>
  <si>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</si>
  <si>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</si>
  <si>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</si>
  <si>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</si>
  <si>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</si>
  <si>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</si>
  <si>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</si>
  <si>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</si>
  <si>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</si>
  <si>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</si>
  <si>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</si>
  <si>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</si>
  <si>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</si>
  <si>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</si>
  <si>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</si>
  <si>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</si>
  <si>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</si>
  <si>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</si>
  <si>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</si>
  <si>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</si>
  <si>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</si>
  <si>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</si>
  <si>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</si>
  <si>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</si>
  <si>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</si>
  <si>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</si>
  <si>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</si>
  <si>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</si>
  <si>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</si>
  <si>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</si>
  <si>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</si>
  <si>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</si>
  <si>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</si>
  <si>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</si>
  <si>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</si>
  <si>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</si>
  <si>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</si>
  <si>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</si>
  <si>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</si>
  <si>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</si>
  <si>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</si>
  <si>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</si>
  <si>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</si>
  <si>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</si>
  <si>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</si>
  <si>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</si>
  <si>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</si>
  <si>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</si>
  <si>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</si>
  <si>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</si>
  <si>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</si>
  <si>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</si>
  <si>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</si>
  <si>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</si>
  <si>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</si>
  <si>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</si>
  <si>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</si>
  <si>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</si>
  <si>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</si>
  <si>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</si>
  <si>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</si>
  <si>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</si>
  <si>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</si>
  <si>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</si>
  <si>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</si>
  <si>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</si>
  <si>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</si>
  <si>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</si>
  <si>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</si>
  <si>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</si>
  <si>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</si>
  <si>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</si>
  <si>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</si>
  <si>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</si>
  <si>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</si>
  <si>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</si>
  <si>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</si>
  <si>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</si>
  <si>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</si>
  <si>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</si>
  <si>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</si>
  <si>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</si>
  <si>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</si>
  <si>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</si>
  <si>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</si>
  <si>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</si>
  <si>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</si>
  <si>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</si>
  <si>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</si>
  <si>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</si>
  <si>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</si>
  <si>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</si>
  <si>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</si>
  <si>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</si>
  <si>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</si>
  <si>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</si>
  <si>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</si>
  <si>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</si>
  <si>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</si>
  <si>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</si>
  <si>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</si>
  <si>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</si>
  <si>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</si>
  <si>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</si>
  <si>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</si>
  <si>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</si>
  <si>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</si>
  <si>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</si>
  <si>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</si>
  <si>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</si>
  <si>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</si>
  <si>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</si>
  <si>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</si>
  <si>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</si>
  <si>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</si>
  <si>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</si>
  <si>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</si>
  <si>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</si>
  <si>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</si>
  <si>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</si>
  <si>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</si>
  <si>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</si>
  <si>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</si>
  <si>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</si>
  <si>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</si>
  <si>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</si>
  <si>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</si>
  <si>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</si>
  <si>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</si>
  <si>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</si>
  <si>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</si>
  <si>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</si>
  <si>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</si>
  <si>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</si>
  <si>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</si>
  <si>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</si>
  <si>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</si>
  <si>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</si>
  <si>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</si>
  <si>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</si>
  <si>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</si>
  <si>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</si>
  <si>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</si>
  <si>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</si>
  <si>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</si>
  <si>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</si>
  <si>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</si>
  <si>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</si>
  <si>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</si>
  <si>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</si>
  <si>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</si>
  <si>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</si>
  <si>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</si>
  <si>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</si>
  <si>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</si>
  <si>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</si>
  <si>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</si>
  <si>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</si>
  <si>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</si>
  <si>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</si>
  <si>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</si>
  <si>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</si>
  <si>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</si>
  <si>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</si>
  <si>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</si>
  <si>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</si>
  <si>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</si>
  <si>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</si>
  <si>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</si>
  <si>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</si>
  <si>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</si>
  <si>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</si>
  <si>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</si>
  <si>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</si>
  <si>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</si>
  <si>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</si>
  <si>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</si>
  <si>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</si>
  <si>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</si>
  <si>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</si>
  <si>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</si>
  <si>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</si>
  <si>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</si>
  <si>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</si>
  <si>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</si>
  <si>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</si>
  <si>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</si>
  <si>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</si>
  <si>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</si>
  <si>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</si>
  <si>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</si>
  <si>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</si>
  <si>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</si>
  <si>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</si>
  <si>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</si>
  <si>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</si>
  <si>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</si>
  <si>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</si>
  <si>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</si>
  <si>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</si>
  <si>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</si>
  <si>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</si>
  <si>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</si>
  <si>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</si>
  <si>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</si>
  <si>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</si>
  <si>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</si>
  <si>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</si>
  <si>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</si>
  <si>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</si>
  <si>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</si>
  <si>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</si>
  <si>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</si>
  <si>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</si>
  <si>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</si>
  <si>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</si>
  <si>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</si>
  <si>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</si>
  <si>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</si>
  <si>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</si>
  <si>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</si>
  <si>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</si>
  <si>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</si>
  <si>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</si>
  <si>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</si>
  <si>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</si>
  <si>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</si>
  <si>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</si>
  <si>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</si>
  <si>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</si>
  <si>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</si>
  <si>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</si>
  <si>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</si>
  <si>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</si>
  <si>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</si>
  <si>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</si>
  <si>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</si>
  <si>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</si>
  <si>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</si>
  <si>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</si>
  <si>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</si>
  <si>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</si>
  <si>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</si>
  <si>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</si>
  <si>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</si>
  <si>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</si>
  <si>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</si>
  <si>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</si>
  <si>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</si>
  <si>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</si>
  <si>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</si>
  <si>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</si>
  <si>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</si>
  <si>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</si>
  <si>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</si>
  <si>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</si>
  <si>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</si>
  <si>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</si>
  <si>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</si>
  <si>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</si>
  <si>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</si>
  <si>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</si>
  <si>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</si>
  <si>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</si>
  <si>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</si>
  <si>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</si>
  <si>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</si>
  <si>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</si>
  <si>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</si>
  <si>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</si>
  <si>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</si>
  <si>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</si>
  <si>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</si>
  <si>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</si>
  <si>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</si>
  <si>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</si>
  <si>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</si>
  <si>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</si>
  <si>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</si>
  <si>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</si>
  <si>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</si>
  <si>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</si>
  <si>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</si>
  <si>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</si>
  <si>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</si>
  <si>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</si>
  <si>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</si>
  <si>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</si>
  <si>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</si>
  <si>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</si>
  <si>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</si>
  <si>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</si>
  <si>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</si>
  <si>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</si>
  <si>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</si>
  <si>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</si>
  <si>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</si>
  <si>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</si>
  <si>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</si>
  <si>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</si>
  <si>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</si>
  <si>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</si>
  <si>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</si>
  <si>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</si>
  <si>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</si>
  <si>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</si>
  <si>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</si>
  <si>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</si>
  <si>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</si>
  <si>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</si>
  <si>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</si>
  <si>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</si>
  <si>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</si>
  <si>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</si>
  <si>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</si>
  <si>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</si>
  <si>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</si>
  <si>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</si>
  <si>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</si>
  <si>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</si>
  <si>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</si>
  <si>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</si>
  <si>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</si>
  <si>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</si>
  <si>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</si>
  <si>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</si>
  <si>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</si>
  <si>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</si>
  <si>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</si>
  <si>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</si>
  <si>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</si>
  <si>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</si>
  <si>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</si>
  <si>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</si>
  <si>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</si>
  <si>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</si>
  <si>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</si>
  <si>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</si>
  <si>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</si>
  <si>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</si>
  <si>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</si>
  <si>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</si>
  <si>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</si>
  <si>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</si>
  <si>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</si>
  <si>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</si>
  <si>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</si>
  <si>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</si>
  <si>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</si>
  <si>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</si>
  <si>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</si>
  <si>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</si>
  <si>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</si>
  <si>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</si>
  <si>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</si>
  <si>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</si>
  <si>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</si>
  <si>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</si>
  <si>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</si>
  <si>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</si>
  <si>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</si>
  <si>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</si>
  <si>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</si>
  <si>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</si>
  <si>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</si>
  <si>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</si>
  <si>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</si>
  <si>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</si>
  <si>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</si>
  <si>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</si>
  <si>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</si>
  <si>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</si>
  <si>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</si>
  <si>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</si>
  <si>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</si>
  <si>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</si>
  <si>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</si>
  <si>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</si>
  <si>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</si>
  <si>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</si>
  <si>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</si>
  <si>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</si>
  <si>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</si>
  <si>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</si>
  <si>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</si>
  <si>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</si>
  <si>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</si>
  <si>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</si>
  <si>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</si>
  <si>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</si>
  <si>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</si>
  <si>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</si>
  <si>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</si>
  <si>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</si>
  <si>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</si>
  <si>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</si>
  <si>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</si>
  <si>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</si>
  <si>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</si>
  <si>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</si>
  <si>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</si>
  <si>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</si>
  <si>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</si>
  <si>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</si>
  <si>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</si>
  <si>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</si>
  <si>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</si>
  <si>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</si>
  <si>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</si>
  <si>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</si>
  <si>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</si>
  <si>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</si>
  <si>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</si>
  <si>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</si>
  <si>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</si>
  <si>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</si>
  <si>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</si>
  <si>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</si>
  <si>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</si>
  <si>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</si>
  <si>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</si>
  <si>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</si>
  <si>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</si>
  <si>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</si>
  <si>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</si>
  <si>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</si>
  <si>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</si>
  <si>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</si>
  <si>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</si>
  <si>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</si>
  <si>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</si>
  <si>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</si>
  <si>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</si>
  <si>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</si>
  <si>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</si>
  <si>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</si>
  <si>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</si>
  <si>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</si>
  <si>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</si>
  <si>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</si>
  <si>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</si>
  <si>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</si>
  <si>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</si>
  <si>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</si>
  <si>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</si>
  <si>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</si>
  <si>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</si>
  <si>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</si>
  <si>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</si>
  <si>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</si>
  <si>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</si>
  <si>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</si>
  <si>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</si>
  <si>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</si>
  <si>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</si>
  <si>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</si>
  <si>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</si>
  <si>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</si>
  <si>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</si>
  <si>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</si>
  <si>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</si>
  <si>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</si>
  <si>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</si>
  <si>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</si>
  <si>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</si>
  <si>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</si>
  <si>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</si>
  <si>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</si>
  <si>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</si>
  <si>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</si>
  <si>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</si>
  <si>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</si>
  <si>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</si>
  <si>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</si>
  <si>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</si>
  <si>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</si>
  <si>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</si>
  <si>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</si>
  <si>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</si>
  <si>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</si>
  <si>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</si>
  <si>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</si>
  <si>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</si>
  <si>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</si>
  <si>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</si>
  <si>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</si>
  <si>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</si>
  <si>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</si>
  <si>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</si>
  <si>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</si>
  <si>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</si>
  <si>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</si>
  <si>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</si>
  <si>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</si>
  <si>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</si>
  <si>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</si>
  <si>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</si>
  <si>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</si>
  <si>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</si>
  <si>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</si>
  <si>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</si>
  <si>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</si>
  <si>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</si>
  <si>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</si>
  <si>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</si>
  <si>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</si>
  <si>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</si>
  <si>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</si>
  <si>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</si>
  <si>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</si>
  <si>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</si>
  <si>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</si>
  <si>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</si>
  <si>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</si>
  <si>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</si>
  <si>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</si>
  <si>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</si>
  <si>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</si>
  <si>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</si>
  <si>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</si>
  <si>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</si>
  <si>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</si>
  <si>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</si>
  <si>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</si>
  <si>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</si>
  <si>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</si>
  <si>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</si>
  <si>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</si>
  <si>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</si>
  <si>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</si>
  <si>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</si>
  <si>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</si>
  <si>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</si>
  <si>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</si>
  <si>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</si>
  <si>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</si>
  <si>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</si>
  <si>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</si>
  <si>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</si>
  <si>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</si>
  <si>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</si>
  <si>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</si>
  <si>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</si>
  <si>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</si>
  <si>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</si>
  <si>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</si>
  <si>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</si>
  <si>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</si>
  <si>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</si>
  <si>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</si>
  <si>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</si>
  <si>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</si>
  <si>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</si>
  <si>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</si>
  <si>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</si>
  <si>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</si>
  <si>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</si>
  <si>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</si>
  <si>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</si>
  <si>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</si>
  <si>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</si>
  <si>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</si>
  <si>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</si>
  <si>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</si>
  <si>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</si>
  <si>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</si>
  <si>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</si>
  <si>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</si>
  <si>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</si>
  <si>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</si>
  <si>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</si>
  <si>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</si>
  <si>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</si>
  <si>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</si>
  <si>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</si>
  <si>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</si>
  <si>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</si>
  <si>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</si>
  <si>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</si>
  <si>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</si>
  <si>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</si>
  <si>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</si>
  <si>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</si>
  <si>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</si>
  <si>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</si>
  <si>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</si>
  <si>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</si>
  <si>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</si>
  <si>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</si>
  <si>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</si>
  <si>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</si>
  <si>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</si>
  <si>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</si>
  <si>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</si>
  <si>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</si>
  <si>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</si>
  <si>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</si>
  <si>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</si>
  <si>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</si>
  <si>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</si>
  <si>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</si>
  <si>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</si>
  <si>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</si>
  <si>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</si>
  <si>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</si>
  <si>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</si>
  <si>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</si>
  <si>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</si>
  <si>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</si>
  <si>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</si>
  <si>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</si>
  <si>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</si>
  <si>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</si>
  <si>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</si>
  <si>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</si>
  <si>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</si>
  <si>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</si>
  <si>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</si>
  <si>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</si>
  <si>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</si>
  <si>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</si>
  <si>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</si>
  <si>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</si>
  <si>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</si>
  <si>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</si>
  <si>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</si>
  <si>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</si>
  <si>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</si>
  <si>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</si>
  <si>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</si>
  <si>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</si>
  <si>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</si>
  <si>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</si>
  <si>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</si>
  <si>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</si>
  <si>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</si>
  <si>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</si>
  <si>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</si>
  <si>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</si>
  <si>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</si>
  <si>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</si>
  <si>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</si>
  <si>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</si>
  <si>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</si>
  <si>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</si>
  <si>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</si>
  <si>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</si>
  <si>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</si>
  <si>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</si>
  <si>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</si>
  <si>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</si>
  <si>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</si>
  <si>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</si>
  <si>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</si>
  <si>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</si>
  <si>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</si>
  <si>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</si>
  <si>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</si>
  <si>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</si>
  <si>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</si>
  <si>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</si>
  <si>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</si>
  <si>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</si>
  <si>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</si>
  <si>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</si>
  <si>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</si>
  <si>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</si>
  <si>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</si>
  <si>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</si>
  <si>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</si>
  <si>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</si>
  <si>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</si>
  <si>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</si>
  <si>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</si>
  <si>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</si>
  <si>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</si>
  <si>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</si>
  <si>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</si>
  <si>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</si>
  <si>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</si>
  <si>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</si>
  <si>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</si>
  <si>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</si>
  <si>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</si>
  <si>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</si>
  <si>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</si>
  <si>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</si>
  <si>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</si>
  <si>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</si>
  <si>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</si>
  <si>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</si>
  <si>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</si>
  <si>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</si>
  <si>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</si>
  <si>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</si>
  <si>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</si>
  <si>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</si>
  <si>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</si>
  <si>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</si>
  <si>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</si>
  <si>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</si>
  <si>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</si>
  <si>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</si>
  <si>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</si>
  <si>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</si>
  <si>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</si>
  <si>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</si>
  <si>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</si>
  <si>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</si>
  <si>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</si>
  <si>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</si>
  <si>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</si>
  <si>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</si>
  <si>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</si>
  <si>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</si>
  <si>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</si>
  <si>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</si>
  <si>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</si>
  <si>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</si>
  <si>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</si>
  <si>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</si>
  <si>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</si>
  <si>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</si>
  <si>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</si>
  <si>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</si>
  <si>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</si>
  <si>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</si>
  <si>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</si>
  <si>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</si>
  <si>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</si>
  <si>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</si>
  <si>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</si>
  <si>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</si>
  <si>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</si>
  <si>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</si>
  <si>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</si>
  <si>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</si>
  <si>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</si>
  <si>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</si>
  <si>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</si>
  <si>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</si>
  <si>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</si>
  <si>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</si>
  <si>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</si>
  <si>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</si>
  <si>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</si>
  <si>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</si>
  <si>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</si>
  <si>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</si>
  <si>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</si>
  <si>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</si>
  <si>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</si>
  <si>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</si>
  <si>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</si>
  <si>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</si>
  <si>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</si>
  <si>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</si>
  <si>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</si>
  <si>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</si>
  <si>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</si>
  <si>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</si>
  <si>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</si>
  <si>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</si>
  <si>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</si>
  <si>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</si>
  <si>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</si>
  <si>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</si>
  <si>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</si>
  <si>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</si>
  <si>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</si>
  <si>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</si>
  <si>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</si>
  <si>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</si>
  <si>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</si>
  <si>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</si>
  <si>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</si>
  <si>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</si>
  <si>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</si>
  <si>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</si>
  <si>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</si>
  <si>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</si>
  <si>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</si>
  <si>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</si>
  <si>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</si>
  <si>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</si>
  <si>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</si>
  <si>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</si>
  <si>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</si>
  <si>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</si>
  <si>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</si>
  <si>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</si>
  <si>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</si>
  <si>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</si>
  <si>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</si>
  <si>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</si>
  <si>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</si>
  <si>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</si>
  <si>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</si>
  <si>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</si>
  <si>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</si>
  <si>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</si>
  <si>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</si>
  <si>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</si>
  <si>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</si>
  <si>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</si>
  <si>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</si>
  <si>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</si>
  <si>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</si>
  <si>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</si>
  <si>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</si>
  <si>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</si>
  <si>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</si>
  <si>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</si>
  <si>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</si>
  <si>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</si>
  <si>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</si>
  <si>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</si>
  <si>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</si>
  <si>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</si>
  <si>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</si>
  <si>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</si>
  <si>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</si>
  <si>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</si>
  <si>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</si>
  <si>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</si>
  <si>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</si>
  <si>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</si>
  <si>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</si>
  <si>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</si>
  <si>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</si>
  <si>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</si>
  <si>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</si>
  <si>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</si>
  <si>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</si>
  <si>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</si>
  <si>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</si>
  <si>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</si>
  <si>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</si>
  <si>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</si>
  <si>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</si>
  <si>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</si>
  <si>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</si>
  <si>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</si>
  <si>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</si>
  <si>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</si>
  <si>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</si>
  <si>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</si>
  <si>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</si>
  <si>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</si>
  <si>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</si>
  <si>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</si>
  <si>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</si>
  <si>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</si>
  <si>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</si>
  <si>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</si>
  <si>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</si>
  <si>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</si>
  <si>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</si>
  <si>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</si>
  <si>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</si>
  <si>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</si>
  <si>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</si>
  <si>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</si>
  <si>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</si>
  <si>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</si>
  <si>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</si>
  <si>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</si>
  <si>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</si>
  <si>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</si>
  <si>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</si>
  <si>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</si>
  <si>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</si>
  <si>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</si>
  <si>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</si>
  <si>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</si>
  <si>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</si>
  <si>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</si>
  <si>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</si>
  <si>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</si>
  <si>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</si>
  <si>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</si>
  <si>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</si>
  <si>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</si>
  <si>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</si>
  <si>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</si>
  <si>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</si>
  <si>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</si>
  <si>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</si>
  <si>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</si>
  <si>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</si>
  <si>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</si>
  <si>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</si>
  <si>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</si>
  <si>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</si>
  <si>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</si>
  <si>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</si>
  <si>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</si>
  <si>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</si>
  <si>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</si>
  <si>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</si>
  <si>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</si>
  <si>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</si>
  <si>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</si>
  <si>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</si>
  <si>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</si>
  <si>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</si>
  <si>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</si>
  <si>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</si>
  <si>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</si>
  <si>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</si>
  <si>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</si>
  <si>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</si>
  <si>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</si>
  <si>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</si>
  <si>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</si>
  <si>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</si>
  <si>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</si>
  <si>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</si>
  <si>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</si>
  <si>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</si>
  <si>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</si>
  <si>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</si>
  <si>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</si>
  <si>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</si>
  <si>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</si>
  <si>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</si>
  <si>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</si>
  <si>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</si>
  <si>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</si>
  <si>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</si>
  <si>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</si>
  <si>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</si>
  <si>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</si>
  <si>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</si>
  <si>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</si>
  <si>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</si>
  <si>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</si>
  <si>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</si>
  <si>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</si>
  <si>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</si>
  <si>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</si>
  <si>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</si>
  <si>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</si>
  <si>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</si>
  <si>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</si>
  <si>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</si>
  <si>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</si>
  <si>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</si>
  <si>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</si>
  <si>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</si>
  <si>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</si>
  <si>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</si>
  <si>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</si>
  <si>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</si>
  <si>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</si>
  <si>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</si>
  <si>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</si>
  <si>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</si>
  <si>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</si>
  <si>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</si>
  <si>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</si>
  <si>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</si>
  <si>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</si>
  <si>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</si>
  <si>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</si>
  <si>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</si>
  <si>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</si>
  <si>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</si>
  <si>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</si>
  <si>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</si>
  <si>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</si>
  <si>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</si>
  <si>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</si>
  <si>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</si>
  <si>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</si>
  <si>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</si>
  <si>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</si>
  <si>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</si>
  <si>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</si>
  <si>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</si>
  <si>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</si>
  <si>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</si>
  <si>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</si>
  <si>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</si>
  <si>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</si>
  <si>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</si>
  <si>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</si>
  <si>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</si>
  <si>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</si>
  <si>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</si>
  <si>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</si>
  <si>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</si>
  <si>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</si>
  <si>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</si>
  <si>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</si>
  <si>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</si>
  <si>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</si>
  <si>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</si>
  <si>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</si>
  <si>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</si>
  <si>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</si>
  <si>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</si>
  <si>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</si>
  <si>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</si>
  <si>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</si>
  <si>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</si>
  <si>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</si>
  <si>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</si>
  <si>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</si>
  <si>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</si>
  <si>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</si>
  <si>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</si>
  <si>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</si>
  <si>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</si>
  <si>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</si>
  <si>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</si>
  <si>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</si>
  <si>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</si>
  <si>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</si>
  <si>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</si>
  <si>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</si>
  <si>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</si>
  <si>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</si>
  <si>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</si>
  <si>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</si>
  <si>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</si>
  <si>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</si>
  <si>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</si>
  <si>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</si>
  <si>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</si>
  <si>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</si>
  <si>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</si>
  <si>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</si>
  <si>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</si>
  <si>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</si>
  <si>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</si>
  <si>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</si>
  <si>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</si>
  <si>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</si>
  <si>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</si>
  <si>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</si>
  <si>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</si>
  <si>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</si>
  <si>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</si>
  <si>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</si>
  <si>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</si>
  <si>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</si>
  <si>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</si>
  <si>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</si>
  <si>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</si>
  <si>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</si>
  <si>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</si>
  <si>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</si>
  <si>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</si>
  <si>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</si>
  <si>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</si>
  <si>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</si>
  <si>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</si>
  <si>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</si>
  <si>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</si>
  <si>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</si>
  <si>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</si>
  <si>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</si>
  <si>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</si>
  <si>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</si>
  <si>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</si>
  <si>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</si>
  <si>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</si>
  <si>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</si>
  <si>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</si>
  <si>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</si>
  <si>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</si>
  <si>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</si>
  <si>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</si>
  <si>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</si>
  <si>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</si>
  <si>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</si>
  <si>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</si>
  <si>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</si>
  <si>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</si>
  <si>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</si>
  <si>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</si>
  <si>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</si>
  <si>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</si>
  <si>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</si>
  <si>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</si>
  <si>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</si>
  <si>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</si>
  <si>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</si>
  <si>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</si>
  <si>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</si>
  <si>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</si>
  <si>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</si>
  <si>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</si>
  <si>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</si>
  <si>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</si>
  <si>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</si>
  <si>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</si>
  <si>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</si>
  <si>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</si>
  <si>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</si>
  <si>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</si>
  <si>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</si>
  <si>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</si>
  <si>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</si>
  <si>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</si>
  <si>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</si>
  <si>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</si>
  <si>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</si>
  <si>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</si>
  <si>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</si>
  <si>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</si>
  <si>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</si>
  <si>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</si>
  <si>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</si>
  <si>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</si>
  <si>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</si>
  <si>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</si>
  <si>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</si>
  <si>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</si>
  <si>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</si>
  <si>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</si>
  <si>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</si>
  <si>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</si>
  <si>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</si>
  <si>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</si>
  <si>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</si>
  <si>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</si>
  <si>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</si>
  <si>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</si>
  <si>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</si>
  <si>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</si>
  <si>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</si>
  <si>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</si>
  <si>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</si>
  <si>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</si>
  <si>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</si>
  <si>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</si>
  <si>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</si>
  <si>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</si>
  <si>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</si>
  <si>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</si>
  <si>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</si>
  <si>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</si>
  <si>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</si>
  <si>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</si>
  <si>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</si>
  <si>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</si>
  <si>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</si>
  <si>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</si>
  <si>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</si>
  <si>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</si>
  <si>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</si>
  <si>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</si>
  <si>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</si>
  <si>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</si>
  <si>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</si>
  <si>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</si>
  <si>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</si>
  <si>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</si>
  <si>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</si>
  <si>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</si>
  <si>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</si>
  <si>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</si>
  <si>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</si>
  <si>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</si>
  <si>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</si>
  <si>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</si>
  <si>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</si>
  <si>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</si>
  <si>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</si>
  <si>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</si>
  <si>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</si>
  <si>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</si>
  <si>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</si>
  <si>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</si>
  <si>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</si>
  <si>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</si>
  <si>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</si>
  <si>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</si>
  <si>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</si>
  <si>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</si>
  <si>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</si>
  <si>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</si>
  <si>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</si>
  <si>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</si>
  <si>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</si>
  <si>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</si>
  <si>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</si>
  <si>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</si>
  <si>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</si>
  <si>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</si>
  <si>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</si>
  <si>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</si>
  <si>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</si>
  <si>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</si>
  <si>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</si>
  <si>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</si>
  <si>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</si>
  <si>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</si>
  <si>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</si>
  <si>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</si>
  <si>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</si>
  <si>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</si>
  <si>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</si>
  <si>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</si>
  <si>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</si>
  <si>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</si>
  <si>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</si>
  <si>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</si>
  <si>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</si>
  <si>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</si>
  <si>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</si>
  <si>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</si>
  <si>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</si>
  <si>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</si>
  <si>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</si>
  <si>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</si>
  <si>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</si>
  <si>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</si>
  <si>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</si>
  <si>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</si>
  <si>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</si>
  <si>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</si>
  <si>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</si>
  <si>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</si>
  <si>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</si>
  <si>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</si>
  <si>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</si>
  <si>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</si>
  <si>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</si>
  <si>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</si>
  <si>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</si>
  <si>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</si>
  <si>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</si>
  <si>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</si>
  <si>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</si>
  <si>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</si>
  <si>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</si>
  <si>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</si>
  <si>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</si>
  <si>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</si>
  <si>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</si>
  <si>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</si>
  <si>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</si>
  <si>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</si>
  <si>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</si>
  <si>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</si>
  <si>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</si>
  <si>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</si>
  <si>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</si>
  <si>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</si>
  <si>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</si>
  <si>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</si>
  <si>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</si>
  <si>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</si>
  <si>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</si>
  <si>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</si>
  <si>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</si>
  <si>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</si>
  <si>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</si>
  <si>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</si>
  <si>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</si>
  <si>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</si>
  <si>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</si>
  <si>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</si>
  <si>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</si>
  <si>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</si>
  <si>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</si>
  <si>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</si>
  <si>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</si>
  <si>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</si>
  <si>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</si>
  <si>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</si>
  <si>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</si>
  <si>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</si>
  <si>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</si>
  <si>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</si>
  <si>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</si>
  <si>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</si>
  <si>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</si>
  <si>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</si>
  <si>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</si>
  <si>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</si>
  <si>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</si>
  <si>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</si>
  <si>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</si>
  <si>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</si>
  <si>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</si>
  <si>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</si>
  <si>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</si>
  <si>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</si>
  <si>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</si>
  <si>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</si>
  <si>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</si>
  <si>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</si>
  <si>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</si>
  <si>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</si>
  <si>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</si>
  <si>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</si>
  <si>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</si>
  <si>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</si>
  <si>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</si>
  <si>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</si>
  <si>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</si>
  <si>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</si>
  <si>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</si>
  <si>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</si>
  <si>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</si>
  <si>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</si>
  <si>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</si>
  <si>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</si>
  <si>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</si>
  <si>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</si>
  <si>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</si>
  <si>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</si>
  <si>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</si>
  <si>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</si>
  <si>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</si>
  <si>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</si>
  <si>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</si>
  <si>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</si>
  <si>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</si>
  <si>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</si>
  <si>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</si>
  <si>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</si>
  <si>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</si>
  <si>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</si>
  <si>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</si>
  <si>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</si>
  <si>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</si>
  <si>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</si>
  <si>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</si>
  <si>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</si>
  <si>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</si>
  <si>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</si>
  <si>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</si>
  <si>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</si>
  <si>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</si>
  <si>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</si>
  <si>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</si>
  <si>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</si>
  <si>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</si>
  <si>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</si>
  <si>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</si>
  <si>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</si>
  <si>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</si>
  <si>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</si>
  <si>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</si>
  <si>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</si>
  <si>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</si>
  <si>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</si>
  <si>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</si>
  <si>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</si>
  <si>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</si>
  <si>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</si>
  <si>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</si>
  <si>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</si>
  <si>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</si>
  <si>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</si>
  <si>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</si>
  <si>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</si>
  <si>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</si>
  <si>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</si>
  <si>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</si>
  <si>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</si>
  <si>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</si>
  <si>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</si>
  <si>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</si>
  <si>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</si>
  <si>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</si>
  <si>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</si>
  <si>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</si>
  <si>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</si>
  <si>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</si>
  <si>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</si>
  <si>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</si>
  <si>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</si>
  <si>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</si>
  <si>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</si>
  <si>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</si>
  <si>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</si>
  <si>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</si>
  <si>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</si>
  <si>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</si>
  <si>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</si>
  <si>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</si>
  <si>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</si>
  <si>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</si>
  <si>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</si>
  <si>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</si>
  <si>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</si>
  <si>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</si>
  <si>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</si>
  <si>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</si>
  <si>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</si>
  <si>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</si>
  <si>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</si>
  <si>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</si>
  <si>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</si>
  <si>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</si>
  <si>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</si>
  <si>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</si>
  <si>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</si>
  <si>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</si>
  <si>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</si>
  <si>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</si>
  <si>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</si>
  <si>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</si>
  <si>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</si>
  <si>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</si>
  <si>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</si>
  <si>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</si>
  <si>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</si>
  <si>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</si>
  <si>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</si>
  <si>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</si>
  <si>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</si>
  <si>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</si>
  <si>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</si>
  <si>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</si>
  <si>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</si>
  <si>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</si>
  <si>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</si>
  <si>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</si>
  <si>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</si>
  <si>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</si>
  <si>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</si>
  <si>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</si>
  <si>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</si>
  <si>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</si>
  <si>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</si>
  <si>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</si>
  <si>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</si>
  <si>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</si>
  <si>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</si>
  <si>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</si>
  <si>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</si>
  <si>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</si>
  <si>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</si>
  <si>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</si>
  <si>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</si>
  <si>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</si>
  <si>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</si>
  <si>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</si>
  <si>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</si>
  <si>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</si>
  <si>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</si>
  <si>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</si>
  <si>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</si>
  <si>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</si>
  <si>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</si>
  <si>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</si>
  <si>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</si>
  <si>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</si>
  <si>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</si>
  <si>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</si>
  <si>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</si>
  <si>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</si>
  <si>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</si>
  <si>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</si>
  <si>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</si>
  <si>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</si>
  <si>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</si>
  <si>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</si>
  <si>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</si>
  <si>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</si>
  <si>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</si>
  <si>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</si>
  <si>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</si>
  <si>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</si>
  <si>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</si>
  <si>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</si>
  <si>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</si>
  <si>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</si>
  <si>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</si>
  <si>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</si>
  <si>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</si>
  <si>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</si>
  <si>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</si>
  <si>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</si>
  <si>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</si>
  <si>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</si>
  <si>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</si>
  <si>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</si>
  <si>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</si>
  <si>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</si>
  <si>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</si>
  <si>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</si>
  <si>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</si>
  <si>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</si>
  <si>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</si>
  <si>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</si>
  <si>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</si>
  <si>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</si>
  <si>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</si>
  <si>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</si>
  <si>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</si>
  <si>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</si>
  <si>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</si>
  <si>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</si>
  <si>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</si>
  <si>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</si>
  <si>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</si>
  <si>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</si>
  <si>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</si>
  <si>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</si>
  <si>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</si>
  <si>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</si>
  <si>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</si>
  <si>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</si>
  <si>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</si>
  <si>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</si>
  <si>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</si>
  <si>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</si>
  <si>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</si>
  <si>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</si>
  <si>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</si>
  <si>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</si>
  <si>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</si>
  <si>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</si>
  <si>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</si>
  <si>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</si>
  <si>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</si>
  <si>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</si>
  <si>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</si>
  <si>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</si>
  <si>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COM_N_2017</t>
  </si>
  <si>
    <t>Added new Veda ~FI_T, ~FI_Process, ~FI_Comm Tables</t>
  </si>
  <si>
    <t>Reduced the dependance of this sheet on COM_2012 by copying over Base year Tech Share, upper and lower (2015&amp;2012) Colums P,Q,AA &amp;AB into this sheet and adjusting references.</t>
  </si>
  <si>
    <t>nothing</t>
  </si>
  <si>
    <t>Updated Energy Balance PJ values from Models/SATIMGE/Model Documentation/Energy Balances Final 2017 combined energy balance_bm.xlsx</t>
  </si>
  <si>
    <t>Updated investment costs to 2022R/PJa</t>
  </si>
  <si>
    <t>Adjusted upper and lower bounds, lifetimes, included NCAP_BND~LO~2017 column in Fl_T table</t>
  </si>
  <si>
    <t>NCAP_BND~UP~0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</si>
</sst>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
      <b/>
      <sz val="10"/>
      <color rgb="FFFF0000"/>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5">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21" fillId="24" borderId="0" xfId="59" applyFont="1" applyFill="1" applyAlignment="1">
      <alignment horizontal="center" wrapText="1"/>
    </xf>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xf numFmtId="9" fontId="84" fillId="0" borderId="0" xfId="66" applyFont="1"/>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 Id="rId9"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6.emf"/><Relationship Id="rId3" Type="http://schemas.openxmlformats.org/officeDocument/2006/relationships/image" Target="../media/image21.emf"/><Relationship Id="rId7" Type="http://schemas.openxmlformats.org/officeDocument/2006/relationships/image" Target="../media/image25.emf"/><Relationship Id="rId2" Type="http://schemas.openxmlformats.org/officeDocument/2006/relationships/image" Target="../media/image20.emf"/><Relationship Id="rId1" Type="http://schemas.openxmlformats.org/officeDocument/2006/relationships/image" Target="../media/image19.emf"/><Relationship Id="rId6" Type="http://schemas.openxmlformats.org/officeDocument/2006/relationships/image" Target="../media/image24.emf"/><Relationship Id="rId5" Type="http://schemas.openxmlformats.org/officeDocument/2006/relationships/image" Target="../media/image23.emf"/><Relationship Id="rId4" Type="http://schemas.openxmlformats.org/officeDocument/2006/relationships/image" Target="../media/image22.emf"/><Relationship Id="rId9" Type="http://schemas.openxmlformats.org/officeDocument/2006/relationships/image" Target="../media/image27.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5.emf"/><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 Id="rId9" Type="http://schemas.openxmlformats.org/officeDocument/2006/relationships/image" Target="../media/image36.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 Id="rId9" Type="http://schemas.openxmlformats.org/officeDocument/2006/relationships/image" Target="../media/image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4" Type="http://schemas.openxmlformats.org/officeDocument/2006/relationships/image" Target="../media/image4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56.emf"/><Relationship Id="rId7" Type="http://schemas.openxmlformats.org/officeDocument/2006/relationships/image" Target="../media/image60.emf"/><Relationship Id="rId2" Type="http://schemas.openxmlformats.org/officeDocument/2006/relationships/image" Target="../media/image55.emf"/><Relationship Id="rId1" Type="http://schemas.openxmlformats.org/officeDocument/2006/relationships/image" Target="../media/image54.emf"/><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3.emf"/><Relationship Id="rId1" Type="http://schemas.openxmlformats.org/officeDocument/2006/relationships/image" Target="../media/image62.emf"/><Relationship Id="rId4" Type="http://schemas.openxmlformats.org/officeDocument/2006/relationships/image" Target="../media/image65.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emf"/><Relationship Id="rId7" Type="http://schemas.openxmlformats.org/officeDocument/2006/relationships/image" Target="../media/image72.emf"/><Relationship Id="rId2" Type="http://schemas.openxmlformats.org/officeDocument/2006/relationships/image" Target="../media/image67.emf"/><Relationship Id="rId1" Type="http://schemas.openxmlformats.org/officeDocument/2006/relationships/image" Target="../media/image66.emf"/><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 Id="rId9" Type="http://schemas.openxmlformats.org/officeDocument/2006/relationships/image" Target="../media/image7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77.emf"/><Relationship Id="rId7" Type="http://schemas.openxmlformats.org/officeDocument/2006/relationships/image" Target="../media/image81.emf"/><Relationship Id="rId2" Type="http://schemas.openxmlformats.org/officeDocument/2006/relationships/image" Target="../media/image76.emf"/><Relationship Id="rId1" Type="http://schemas.openxmlformats.org/officeDocument/2006/relationships/image" Target="../media/image75.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78.emf"/><Relationship Id="rId9"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99.emf"/><Relationship Id="rId7" Type="http://schemas.openxmlformats.org/officeDocument/2006/relationships/image" Target="../media/image95.emf"/><Relationship Id="rId2" Type="http://schemas.openxmlformats.org/officeDocument/2006/relationships/image" Target="../media/image100.emf"/><Relationship Id="rId1" Type="http://schemas.openxmlformats.org/officeDocument/2006/relationships/image" Target="../media/image101.emf"/><Relationship Id="rId6" Type="http://schemas.openxmlformats.org/officeDocument/2006/relationships/image" Target="../media/image96.emf"/><Relationship Id="rId5" Type="http://schemas.openxmlformats.org/officeDocument/2006/relationships/image" Target="../media/image97.emf"/><Relationship Id="rId4" Type="http://schemas.openxmlformats.org/officeDocument/2006/relationships/image" Target="../media/image98.emf"/><Relationship Id="rId9"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676275</xdr:colOff>
          <xdr:row>11</xdr:row>
          <xdr:rowOff>9525</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66675</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85</xdr:row>
          <xdr:rowOff>0</xdr:rowOff>
        </xdr:from>
        <xdr:to>
          <xdr:col>1</xdr:col>
          <xdr:colOff>0</xdr:colOff>
          <xdr:row>86</xdr:row>
          <xdr:rowOff>95250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85</xdr:row>
          <xdr:rowOff>0</xdr:rowOff>
        </xdr:from>
        <xdr:to>
          <xdr:col>2</xdr:col>
          <xdr:colOff>0</xdr:colOff>
          <xdr:row>86</xdr:row>
          <xdr:rowOff>95250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0</xdr:rowOff>
        </xdr:from>
        <xdr:to>
          <xdr:col>5</xdr:col>
          <xdr:colOff>0</xdr:colOff>
          <xdr:row>86</xdr:row>
          <xdr:rowOff>95250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85</xdr:row>
          <xdr:rowOff>0</xdr:rowOff>
        </xdr:from>
        <xdr:to>
          <xdr:col>6</xdr:col>
          <xdr:colOff>0</xdr:colOff>
          <xdr:row>86</xdr:row>
          <xdr:rowOff>95250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25</xdr:row>
          <xdr:rowOff>0</xdr:rowOff>
        </xdr:from>
        <xdr:to>
          <xdr:col>1</xdr:col>
          <xdr:colOff>0</xdr:colOff>
          <xdr:row>26</xdr:row>
          <xdr:rowOff>95250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0</xdr:rowOff>
        </xdr:from>
        <xdr:to>
          <xdr:col>2</xdr:col>
          <xdr:colOff>0</xdr:colOff>
          <xdr:row>26</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0</xdr:rowOff>
        </xdr:from>
        <xdr:to>
          <xdr:col>5</xdr:col>
          <xdr:colOff>0</xdr:colOff>
          <xdr:row>26</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0</xdr:rowOff>
        </xdr:from>
        <xdr:to>
          <xdr:col>6</xdr:col>
          <xdr:colOff>0</xdr:colOff>
          <xdr:row>26</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xdr:row>
          <xdr:rowOff>0</xdr:rowOff>
        </xdr:from>
        <xdr:to>
          <xdr:col>1</xdr:col>
          <xdr:colOff>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xdr:row>
          <xdr:rowOff>0</xdr:rowOff>
        </xdr:from>
        <xdr:to>
          <xdr:col>2</xdr:col>
          <xdr:colOff>0</xdr:colOff>
          <xdr:row>4</xdr:row>
          <xdr:rowOff>95250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0</xdr:rowOff>
        </xdr:from>
        <xdr:to>
          <xdr:col>5</xdr:col>
          <xdr:colOff>0</xdr:colOff>
          <xdr:row>4</xdr:row>
          <xdr:rowOff>95250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0</xdr:rowOff>
        </xdr:from>
        <xdr:to>
          <xdr:col>6</xdr:col>
          <xdr:colOff>0</xdr:colOff>
          <xdr:row>4</xdr:row>
          <xdr:rowOff>95250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904875</xdr:colOff>
          <xdr:row>15</xdr:row>
          <xdr:rowOff>152400</xdr:rowOff>
        </xdr:from>
        <xdr:to>
          <xdr:col>21</xdr:col>
          <xdr:colOff>66675</xdr:colOff>
          <xdr:row>17</xdr:row>
          <xdr:rowOff>9525</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542925</xdr:colOff>
          <xdr:row>13</xdr:row>
          <xdr:rowOff>133350</xdr:rowOff>
        </xdr:from>
        <xdr:to>
          <xdr:col>9</xdr:col>
          <xdr:colOff>609600</xdr:colOff>
          <xdr:row>15</xdr:row>
          <xdr:rowOff>9525</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Bruno Merven" id="{2DAB5F2D-2A5B-47EA-8336-6F457BA57422}" userId="S::01405439@wf.uct.ac.za::c7f06137-2c3b-4c5c-8f38-fe1abbc96860"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56" dT="2023-09-21T09:22:20.27" personId="{2DAB5F2D-2A5B-47EA-8336-6F457BA57422}" id="{FA8C7EB6-20C8-444F-BC99-F6CAA93330BF}">
    <text>Allowing any tech to be invested in until we do proper stock modelling.</text>
  </threadedComment>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75"/>
  <cols>
    <col min="1" max="1" width="24.570312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2578125" defaultRowHeight="12.75"/>
  <cols>
    <col min="1" max="1" width="27.28515625" style="1" customWidth="1"/>
    <col min="2" max="2" width="27.140625" style="1" customWidth="1"/>
    <col min="3" max="3" width="23.85546875" style="1" customWidth="1"/>
    <col min="4" max="5" width="22.42578125" style="1" customWidth="1"/>
    <col min="6" max="16384" width="11.42578125" style="1"/>
  </cols>
  <sheetData>
    <row r="1" spans="1:10" s="4" customFormat="1" ht="15">
      <c r="A1" s="3" t="s">
        <v>0</v>
      </c>
    </row>
    <row r="2" spans="1:10" ht="15.75">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75">
      <c r="A18" s="5" t="s">
        <v>24</v>
      </c>
    </row>
    <row r="19" spans="1:16" ht="15.75">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8.25">
      <c r="A51" s="12"/>
      <c r="B51" s="15" t="s">
        <v>59</v>
      </c>
      <c r="C51" s="15" t="s">
        <v>60</v>
      </c>
      <c r="D51" s="15" t="s">
        <v>61</v>
      </c>
      <c r="E51" s="12"/>
    </row>
    <row r="52" spans="1:5">
      <c r="A52" s="6" t="s">
        <v>62</v>
      </c>
    </row>
    <row r="53" spans="1:5">
      <c r="A53" s="14" t="s">
        <v>39</v>
      </c>
      <c r="B53" s="14" t="s">
        <v>40</v>
      </c>
      <c r="C53" s="14" t="s">
        <v>41</v>
      </c>
      <c r="D53" s="14" t="s">
        <v>42</v>
      </c>
      <c r="E53" s="14" t="s">
        <v>43</v>
      </c>
    </row>
    <row r="54" spans="1:5" ht="51">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5.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sheetPr codeName="Sheet6"/>
  <dimension ref="A1:L59"/>
  <sheetViews>
    <sheetView workbookViewId="0">
      <selection activeCell="A18" sqref="A18"/>
    </sheetView>
  </sheetViews>
  <sheetFormatPr defaultColWidth="11.42578125" defaultRowHeight="12.75"/>
  <cols>
    <col min="1" max="1" width="20" style="1" customWidth="1"/>
    <col min="2" max="2" width="6.28515625" style="17" customWidth="1"/>
    <col min="3" max="3" width="17.28515625" style="1" customWidth="1"/>
    <col min="4" max="4" width="11.42578125" style="1"/>
    <col min="5" max="5" width="16.7109375" style="1" customWidth="1"/>
    <col min="6" max="16384" width="11.42578125" style="1"/>
  </cols>
  <sheetData>
    <row r="1" spans="1:3" s="20" customFormat="1">
      <c r="A1" s="19" t="s">
        <v>1536</v>
      </c>
      <c r="C1" s="4"/>
    </row>
    <row r="2" spans="1:3">
      <c r="A2" s="1" t="s">
        <v>1521</v>
      </c>
      <c r="B2" s="1"/>
    </row>
    <row r="3" spans="1:3" ht="15.75">
      <c r="B3" s="1" t="s">
        <v>1522</v>
      </c>
      <c r="C3" s="758" t="s">
        <v>1523</v>
      </c>
    </row>
    <row r="4" spans="1:3" ht="15.75">
      <c r="B4" s="17" t="s">
        <v>1524</v>
      </c>
      <c r="C4" s="758" t="s">
        <v>1525</v>
      </c>
    </row>
    <row r="5" spans="1:3" ht="15.75">
      <c r="B5" s="1" t="s">
        <v>1526</v>
      </c>
      <c r="C5" s="758" t="s">
        <v>1527</v>
      </c>
    </row>
    <row r="6" spans="1:3">
      <c r="B6" s="1"/>
      <c r="C6" s="21"/>
    </row>
    <row r="7" spans="1:3">
      <c r="A7" s="1" t="s">
        <v>1528</v>
      </c>
      <c r="B7" s="17" t="s">
        <v>1529</v>
      </c>
      <c r="C7" s="21"/>
    </row>
    <row r="8" spans="1:3">
      <c r="A8" s="1" t="s">
        <v>1530</v>
      </c>
      <c r="C8" s="21"/>
    </row>
    <row r="9" spans="1:3" ht="15.75">
      <c r="B9" s="17">
        <v>1.1000000000000001</v>
      </c>
      <c r="C9" s="758" t="s">
        <v>1531</v>
      </c>
    </row>
    <row r="10" spans="1:3" ht="15.75">
      <c r="C10" s="758"/>
    </row>
    <row r="11" spans="1:3" ht="15.75">
      <c r="A11" s="1" t="s">
        <v>1532</v>
      </c>
      <c r="C11" s="758"/>
    </row>
    <row r="12" spans="1:3" ht="15.75">
      <c r="B12" s="17">
        <v>2.1</v>
      </c>
      <c r="C12" s="758" t="s">
        <v>1533</v>
      </c>
    </row>
    <row r="13" spans="1:3" ht="15.75">
      <c r="B13" s="17">
        <v>2.2000000000000002</v>
      </c>
      <c r="C13" s="758" t="s">
        <v>1534</v>
      </c>
    </row>
    <row r="14" spans="1:3" ht="15.75">
      <c r="C14" s="758"/>
    </row>
    <row r="15" spans="1:3" ht="15.75">
      <c r="A15" s="1" t="s">
        <v>1535</v>
      </c>
      <c r="C15" s="758"/>
    </row>
    <row r="16" spans="1:3" ht="15.75">
      <c r="B16" s="17">
        <v>3.1</v>
      </c>
      <c r="C16" s="758"/>
    </row>
    <row r="17" spans="1:12" ht="15.75">
      <c r="C17" s="758"/>
    </row>
    <row r="18" spans="1:12">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91.25">
      <c r="B26" s="17">
        <v>4</v>
      </c>
      <c r="C26" s="22" t="s">
        <v>90</v>
      </c>
    </row>
    <row r="28" spans="1:12" ht="12.75" customHeight="1">
      <c r="B28" s="17" t="s">
        <v>91</v>
      </c>
      <c r="C28" s="788" t="s">
        <v>92</v>
      </c>
      <c r="D28" s="788"/>
      <c r="E28" s="788"/>
      <c r="F28" s="788"/>
      <c r="G28" s="788"/>
      <c r="H28" s="788"/>
      <c r="I28" s="788"/>
      <c r="J28" s="788"/>
      <c r="K28" s="788"/>
      <c r="L28" s="788"/>
    </row>
    <row r="29" spans="1:12" ht="24" customHeight="1">
      <c r="C29" s="789" t="s">
        <v>93</v>
      </c>
      <c r="D29" s="789"/>
      <c r="E29" s="789"/>
      <c r="F29" s="789"/>
      <c r="G29" s="789"/>
      <c r="H29" s="789"/>
      <c r="I29" s="789"/>
      <c r="J29" s="789"/>
      <c r="K29" s="789"/>
      <c r="L29" s="789"/>
    </row>
    <row r="30" spans="1:12" ht="24" customHeight="1">
      <c r="C30" s="789" t="s">
        <v>94</v>
      </c>
      <c r="D30" s="789"/>
      <c r="E30" s="789"/>
      <c r="F30" s="789"/>
      <c r="G30" s="789"/>
      <c r="H30" s="789"/>
      <c r="I30" s="789"/>
      <c r="J30" s="789"/>
      <c r="K30" s="789"/>
      <c r="L30" s="789"/>
    </row>
    <row r="31" spans="1:12" ht="12.75" customHeight="1">
      <c r="C31" s="789" t="s">
        <v>95</v>
      </c>
      <c r="D31" s="789"/>
      <c r="E31" s="789"/>
      <c r="F31" s="789"/>
      <c r="G31" s="789"/>
      <c r="H31" s="789"/>
      <c r="I31" s="789"/>
      <c r="J31" s="789"/>
      <c r="K31" s="789"/>
      <c r="L31" s="789"/>
    </row>
    <row r="33" spans="2:6">
      <c r="B33" s="17">
        <v>5</v>
      </c>
      <c r="C33" s="1" t="s">
        <v>96</v>
      </c>
    </row>
    <row r="35" spans="2:6" ht="89.2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9.25">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sheetPr codeName="Sheet9"/>
  <dimension ref="B2:H77"/>
  <sheetViews>
    <sheetView topLeftCell="A63" workbookViewId="0">
      <selection activeCell="G76" sqref="G76"/>
    </sheetView>
  </sheetViews>
  <sheetFormatPr defaultColWidth="9.140625" defaultRowHeight="12.75"/>
  <cols>
    <col min="1" max="2" width="9.140625" style="412"/>
    <col min="3" max="3" width="11.7109375" style="412" customWidth="1"/>
    <col min="4" max="4" width="9.140625" style="412"/>
    <col min="5" max="5" width="16" style="412" bestFit="1" customWidth="1"/>
    <col min="6" max="6" width="18.5703125" style="412" customWidth="1"/>
    <col min="7" max="7" width="49.140625" style="412" customWidth="1"/>
    <col min="8" max="8" width="59.42578125" style="412" customWidth="1"/>
    <col min="9" max="16384" width="9.14062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1">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1">
      <c r="C63" s="777">
        <v>45148</v>
      </c>
      <c r="E63" s="412" t="s">
        <v>1650</v>
      </c>
      <c r="G63" s="779" t="s">
        <v>1651</v>
      </c>
    </row>
    <row r="64" spans="2:7">
      <c r="C64" s="777">
        <v>45156</v>
      </c>
      <c r="E64" s="412" t="s">
        <v>1650</v>
      </c>
      <c r="G64" s="412" t="s">
        <v>1671</v>
      </c>
    </row>
    <row r="65" spans="2:7">
      <c r="E65" s="412" t="s">
        <v>1670</v>
      </c>
      <c r="G65" s="412" t="s">
        <v>1671</v>
      </c>
    </row>
    <row r="67" spans="2:7">
      <c r="C67" s="777">
        <v>45160</v>
      </c>
      <c r="E67" s="412" t="s">
        <v>1667</v>
      </c>
      <c r="G67" s="412" t="s">
        <v>1668</v>
      </c>
    </row>
    <row r="68" spans="2:7">
      <c r="E68" s="412" t="s">
        <v>1612</v>
      </c>
      <c r="G68" s="412" t="s">
        <v>1669</v>
      </c>
    </row>
    <row r="69" spans="2:7">
      <c r="E69" s="412" t="s">
        <v>1650</v>
      </c>
      <c r="G69" s="412" t="s">
        <v>1675</v>
      </c>
    </row>
    <row r="70" spans="2:7">
      <c r="E70" s="412" t="s">
        <v>1670</v>
      </c>
      <c r="G70" s="412" t="s">
        <v>1675</v>
      </c>
    </row>
    <row r="71" spans="2:7">
      <c r="E71" s="412" t="s">
        <v>1670</v>
      </c>
      <c r="G71" s="412" t="s">
        <v>1672</v>
      </c>
    </row>
    <row r="73" spans="2:7">
      <c r="C73" s="777">
        <v>45188</v>
      </c>
      <c r="E73" s="412" t="s">
        <v>1650</v>
      </c>
      <c r="G73" s="412" t="s">
        <v>1674</v>
      </c>
    </row>
    <row r="74" spans="2:7">
      <c r="E74" s="412" t="s">
        <v>1670</v>
      </c>
      <c r="G74" s="412" t="s">
        <v>1674</v>
      </c>
    </row>
    <row r="76" spans="2:7">
      <c r="B76" s="412" t="s">
        <v>1584</v>
      </c>
      <c r="C76" s="777">
        <v>45188</v>
      </c>
      <c r="E76" s="412" t="s">
        <v>1650</v>
      </c>
      <c r="G76" s="412" t="s">
        <v>1676</v>
      </c>
    </row>
    <row r="77" spans="2:7">
      <c r="E77" s="412" t="s">
        <v>1670</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2578125" defaultRowHeight="12.75"/>
  <cols>
    <col min="1" max="4" width="11.42578125" style="1"/>
    <col min="5" max="5" width="7.28515625" style="1" customWidth="1"/>
    <col min="6" max="6" width="11.42578125" style="1"/>
    <col min="7" max="7" width="5.42578125" style="1" customWidth="1"/>
    <col min="8" max="8" width="9.42578125" style="1" customWidth="1"/>
    <col min="9" max="9" width="7.28515625" style="1" customWidth="1"/>
    <col min="10" max="10" width="6" style="1" customWidth="1"/>
    <col min="11" max="11" width="5.85546875" style="1" customWidth="1"/>
    <col min="12" max="12" width="10.7109375" style="1" customWidth="1"/>
    <col min="13" max="13" width="9.28515625" style="1" customWidth="1"/>
    <col min="14" max="14" width="3.85546875" style="1" customWidth="1"/>
    <col min="15" max="15" width="18.28515625" style="1" customWidth="1"/>
    <col min="16" max="16" width="3.7109375" style="1" customWidth="1"/>
    <col min="17" max="17" width="11.28515625" style="1" customWidth="1"/>
    <col min="18" max="18" width="11.42578125" style="1"/>
    <col min="19" max="19" width="10.7109375" style="1" customWidth="1"/>
    <col min="20" max="20" width="10.140625" style="1" customWidth="1"/>
    <col min="21" max="21" width="9.7109375" style="1" customWidth="1"/>
    <col min="22" max="22" width="14.85546875" style="1" customWidth="1"/>
    <col min="23" max="23" width="7.28515625" style="1" customWidth="1"/>
    <col min="24" max="16384" width="11.42578125" style="1"/>
  </cols>
  <sheetData>
    <row r="1" spans="1:24" ht="15.75">
      <c r="A1" s="5" t="s">
        <v>129</v>
      </c>
    </row>
    <row r="2" spans="1:24" ht="12.75" customHeight="1">
      <c r="A2" s="790" t="s">
        <v>130</v>
      </c>
      <c r="B2" s="790"/>
      <c r="C2" s="790"/>
      <c r="D2" s="790"/>
      <c r="E2" s="790"/>
      <c r="F2" s="790"/>
      <c r="G2" s="790"/>
      <c r="H2" s="790"/>
    </row>
    <row r="3" spans="1:24" ht="15.75">
      <c r="F3" s="5"/>
    </row>
    <row r="4" spans="1:24" ht="15.75">
      <c r="F4" s="5"/>
    </row>
    <row r="5" spans="1:24" ht="15.75">
      <c r="A5" s="791" t="s">
        <v>131</v>
      </c>
      <c r="B5" s="791"/>
      <c r="C5" s="791"/>
      <c r="D5" s="791"/>
      <c r="F5" s="791" t="s">
        <v>131</v>
      </c>
      <c r="G5" s="791"/>
      <c r="H5" s="791"/>
      <c r="I5" s="791"/>
      <c r="J5" s="791"/>
      <c r="K5" s="791"/>
      <c r="L5" s="791"/>
      <c r="M5" s="791"/>
      <c r="Q5" s="25" t="s">
        <v>132</v>
      </c>
      <c r="R5" s="25"/>
      <c r="S5" s="25"/>
      <c r="T5" s="25"/>
      <c r="U5" s="25"/>
      <c r="V5" s="25"/>
      <c r="W5" s="25"/>
      <c r="X5" s="25"/>
    </row>
    <row r="6" spans="1:24" s="30" customFormat="1" ht="38.2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2578125" defaultRowHeight="12.75"/>
  <cols>
    <col min="1" max="1" width="43.140625" style="1" customWidth="1"/>
    <col min="2" max="2" width="24.85546875" style="41" customWidth="1"/>
    <col min="3" max="3" width="15.140625" style="41" customWidth="1"/>
    <col min="4" max="4" width="11.28515625" style="41" customWidth="1"/>
    <col min="5" max="5" width="16.42578125" style="41" customWidth="1"/>
    <col min="6" max="6" width="24.42578125" style="41" customWidth="1"/>
    <col min="7" max="7" width="11.42578125" style="41" customWidth="1"/>
    <col min="8" max="16384" width="11.42578125" style="1"/>
  </cols>
  <sheetData>
    <row r="1" spans="1:7" s="123" customFormat="1" ht="13.5"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92" t="s">
        <v>202</v>
      </c>
      <c r="C17" s="59"/>
      <c r="D17" s="75">
        <v>1.9300000000000001E-2</v>
      </c>
      <c r="E17" s="76">
        <v>1.9300000000000001E-2</v>
      </c>
      <c r="F17" s="1"/>
      <c r="G17" s="1"/>
    </row>
    <row r="18" spans="1:41" ht="25.5">
      <c r="A18" s="58" t="s">
        <v>203</v>
      </c>
      <c r="B18" s="792"/>
      <c r="C18" s="59"/>
      <c r="D18" s="75">
        <v>3.15E-2</v>
      </c>
      <c r="E18" s="76">
        <v>3.15E-2</v>
      </c>
      <c r="F18" s="1"/>
      <c r="G18" s="1"/>
    </row>
    <row r="19" spans="1:41" ht="25.5">
      <c r="A19" s="58" t="s">
        <v>204</v>
      </c>
      <c r="B19" s="792"/>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39"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676275</xdr:colOff>
                <xdr:row>11</xdr:row>
                <xdr:rowOff>9525</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66675</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abSelected="1" topLeftCell="I43" zoomScale="79" zoomScaleNormal="100" workbookViewId="0">
      <selection activeCell="AE52" sqref="AE52:AJ52"/>
    </sheetView>
  </sheetViews>
  <sheetFormatPr defaultColWidth="8.85546875" defaultRowHeight="12.75"/>
  <cols>
    <col min="1" max="1" width="52.7109375" style="705" customWidth="1"/>
    <col min="2" max="2" width="18.28515625" style="705" customWidth="1"/>
    <col min="3" max="3" width="14.28515625" style="705" customWidth="1"/>
    <col min="4" max="6" width="8.42578125" style="705" customWidth="1"/>
    <col min="7" max="7" width="12.85546875" style="705" customWidth="1"/>
    <col min="8" max="11" width="8.42578125" style="705" customWidth="1"/>
    <col min="12" max="17" width="6.28515625" style="705" customWidth="1"/>
    <col min="18" max="37" width="10" style="705" customWidth="1"/>
    <col min="38" max="38" width="11.7109375" style="705" customWidth="1"/>
    <col min="39" max="42" width="10" style="705" customWidth="1"/>
    <col min="43" max="43" width="15.85546875" style="705" customWidth="1"/>
    <col min="44" max="44" width="17" style="705" customWidth="1"/>
    <col min="45" max="45" width="46.85546875" style="705" customWidth="1"/>
    <col min="46" max="46" width="14.140625" style="705" customWidth="1"/>
    <col min="47" max="54" width="8.85546875" style="705"/>
    <col min="55" max="55" width="45.5703125" style="705" customWidth="1"/>
    <col min="56" max="16384" width="8.85546875" style="705"/>
  </cols>
  <sheetData>
    <row r="1" spans="1:42">
      <c r="A1" s="706" t="s">
        <v>441</v>
      </c>
      <c r="B1" s="793" t="s">
        <v>638</v>
      </c>
      <c r="C1" s="793"/>
      <c r="D1" s="793"/>
      <c r="E1" s="707" t="s">
        <v>639</v>
      </c>
      <c r="F1" s="707"/>
      <c r="G1" s="707"/>
      <c r="H1" s="706"/>
      <c r="I1" s="707"/>
      <c r="J1" s="706"/>
      <c r="K1" s="708"/>
    </row>
    <row r="2" spans="1:42">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27.73</v>
      </c>
      <c r="D7" s="644">
        <v>1.1000000000000001</v>
      </c>
      <c r="E7" s="644">
        <f>38267*0.0036</f>
        <v>137.7612</v>
      </c>
      <c r="F7" s="316">
        <v>1.232</v>
      </c>
      <c r="G7" s="316">
        <v>0</v>
      </c>
      <c r="H7" s="644">
        <v>2.75</v>
      </c>
      <c r="I7" s="644">
        <v>5.28</v>
      </c>
      <c r="J7" s="644">
        <v>2.15</v>
      </c>
      <c r="K7" s="316">
        <f>SUM(C7:J7)</f>
        <v>178.00320000000002</v>
      </c>
      <c r="L7" s="715"/>
    </row>
    <row r="8" spans="1:42">
      <c r="A8" s="707" t="s">
        <v>648</v>
      </c>
      <c r="B8" s="714" t="s">
        <v>649</v>
      </c>
      <c r="C8" s="416">
        <f>C7/$K$7</f>
        <v>0.15578371624779777</v>
      </c>
      <c r="D8" s="416">
        <f>D7/$K$7</f>
        <v>6.1796641858123894E-3</v>
      </c>
      <c r="E8" s="416">
        <f>E7/$K$7</f>
        <v>0.77392541257685243</v>
      </c>
      <c r="F8" s="416">
        <f t="shared" ref="F8:J8" si="2">F7/$K$7</f>
        <v>6.9212238881098754E-3</v>
      </c>
      <c r="G8" s="416">
        <f t="shared" si="2"/>
        <v>0</v>
      </c>
      <c r="H8" s="416">
        <f t="shared" si="2"/>
        <v>1.5449160464530973E-2</v>
      </c>
      <c r="I8" s="416">
        <f t="shared" si="2"/>
        <v>2.9662388091899469E-2</v>
      </c>
      <c r="J8" s="416">
        <f t="shared" si="2"/>
        <v>1.2078434544996942E-2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41.450106457602168</v>
      </c>
      <c r="D16" s="687">
        <f t="shared" ca="1" si="3"/>
        <v>1.699104084883533</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5">
      <c r="C41" s="720"/>
      <c r="D41" s="720"/>
      <c r="E41" s="720"/>
      <c r="F41" s="720"/>
      <c r="G41" s="720"/>
      <c r="H41" s="720"/>
      <c r="I41" s="720"/>
      <c r="J41" s="720"/>
      <c r="AQ41" s="761" t="s">
        <v>1574</v>
      </c>
      <c r="AR41" s="761" t="s">
        <v>1507</v>
      </c>
      <c r="AS41" s="761" t="s">
        <v>1575</v>
      </c>
      <c r="AT41" s="761">
        <v>2017</v>
      </c>
    </row>
    <row r="42" spans="1:46">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c r="A44" s="722" t="str">
        <f t="shared" si="9"/>
        <v>Commercial - Space Heating</v>
      </c>
      <c r="B44" s="723" t="str">
        <f t="shared" si="9"/>
        <v>CEH</v>
      </c>
      <c r="C44" s="687">
        <f t="shared" si="10"/>
        <v>15.062139135812419</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18.127978539710774</v>
      </c>
      <c r="L44" s="724">
        <f>M74</f>
        <v>18.127978539710774</v>
      </c>
      <c r="M44" s="725">
        <f t="shared" ref="M44:M51" si="12">L44-K44</f>
        <v>0</v>
      </c>
      <c r="AQ44" s="772" t="s">
        <v>664</v>
      </c>
      <c r="AR44" s="412" t="str">
        <f>D61</f>
        <v>CEC</v>
      </c>
      <c r="AS44" s="412" t="s">
        <v>647</v>
      </c>
      <c r="AT44" s="774">
        <f>N67</f>
        <v>128.4127193354179</v>
      </c>
    </row>
    <row r="45" spans="1:46">
      <c r="A45" s="722" t="str">
        <f t="shared" si="9"/>
        <v>Commercial - Cooking</v>
      </c>
      <c r="B45" s="723" t="str">
        <f t="shared" si="9"/>
        <v>CEK</v>
      </c>
      <c r="C45" s="687">
        <f t="shared" si="10"/>
        <v>1.9790603567018995E-2</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8.9896592286336645</v>
      </c>
      <c r="L45" s="724">
        <f>M79</f>
        <v>8.9896592286336645</v>
      </c>
      <c r="M45" s="725">
        <f t="shared" si="12"/>
        <v>0</v>
      </c>
      <c r="AQ45" s="772" t="s">
        <v>664</v>
      </c>
      <c r="AR45" s="412" t="str">
        <f>D69</f>
        <v>CEH</v>
      </c>
      <c r="AS45" s="412" t="s">
        <v>647</v>
      </c>
      <c r="AT45" s="774">
        <f>N74</f>
        <v>11.992907577983047</v>
      </c>
    </row>
    <row r="46" spans="1:46">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8.9629891158025909</v>
      </c>
    </row>
    <row r="47" spans="1:46">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c r="A48" s="722" t="str">
        <f t="shared" si="9"/>
        <v>Commercial - Water Heating</v>
      </c>
      <c r="B48" s="723" t="str">
        <f t="shared" si="9"/>
        <v>CEW</v>
      </c>
      <c r="C48" s="687">
        <f t="shared" si="10"/>
        <v>12.648070260620566</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21.925554728373967</v>
      </c>
      <c r="L48" s="724">
        <f>M100</f>
        <v>21.925554728373967</v>
      </c>
      <c r="M48" s="725">
        <f t="shared" si="12"/>
        <v>0</v>
      </c>
      <c r="AQ48" s="772" t="s">
        <v>664</v>
      </c>
      <c r="AR48" s="412" t="str">
        <f>D89</f>
        <v>CER</v>
      </c>
      <c r="AS48" s="772" t="s">
        <v>647</v>
      </c>
      <c r="AT48" s="775">
        <f>N91</f>
        <v>27.184456041138358</v>
      </c>
    </row>
    <row r="49" spans="1:60">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14.392133809734325</v>
      </c>
    </row>
    <row r="50" spans="1:60">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c r="A51" s="722" t="str">
        <f t="shared" si="9"/>
        <v>Commercial - Other</v>
      </c>
      <c r="B51" s="723" t="str">
        <f t="shared" si="9"/>
        <v>CEO</v>
      </c>
      <c r="C51" s="687">
        <f>C39*C$7</f>
        <v>0</v>
      </c>
      <c r="D51" s="687">
        <f>D39*D$7</f>
        <v>1.1000000000000001</v>
      </c>
      <c r="E51" s="687">
        <f t="shared" si="10"/>
        <v>21.9452808184307</v>
      </c>
      <c r="F51" s="687">
        <f>F39*F$7</f>
        <v>0</v>
      </c>
      <c r="G51" s="687">
        <f>G39*G$7</f>
        <v>0</v>
      </c>
      <c r="H51" s="687">
        <f>H39*H$7</f>
        <v>2.75</v>
      </c>
      <c r="I51" s="687">
        <f>I39*I$7</f>
        <v>0</v>
      </c>
      <c r="J51" s="687">
        <f>J39*J$7</f>
        <v>0</v>
      </c>
      <c r="K51" s="689">
        <f>SUM(C51:J51)</f>
        <v>25.795280818430701</v>
      </c>
      <c r="L51" s="724">
        <f>M120</f>
        <v>25.795280818430701</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c r="A52" s="727" t="str">
        <f>A40</f>
        <v>Total</v>
      </c>
      <c r="B52" s="722"/>
      <c r="C52" s="689">
        <f t="shared" ref="C52:K52" si="13">SUM(C43:C51)</f>
        <v>27.730000000000004</v>
      </c>
      <c r="D52" s="689">
        <f t="shared" si="13"/>
        <v>1.1000000000000001</v>
      </c>
      <c r="E52" s="689">
        <f t="shared" si="13"/>
        <v>137.76119999999997</v>
      </c>
      <c r="F52" s="689">
        <f t="shared" si="13"/>
        <v>1.2319999999999998</v>
      </c>
      <c r="G52" s="689">
        <f t="shared" si="13"/>
        <v>0</v>
      </c>
      <c r="H52" s="689">
        <f t="shared" si="13"/>
        <v>2.75</v>
      </c>
      <c r="I52" s="689">
        <f t="shared" si="13"/>
        <v>5.28</v>
      </c>
      <c r="J52" s="689">
        <f t="shared" si="13"/>
        <v>2.15</v>
      </c>
      <c r="K52" s="689">
        <f t="shared" si="13"/>
        <v>178.00320000000002</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0.9</v>
      </c>
      <c r="AF52" s="562">
        <v>0.7</v>
      </c>
      <c r="AG52" s="562">
        <v>0.45</v>
      </c>
      <c r="AH52" s="562">
        <v>0.15</v>
      </c>
      <c r="AI52" s="562">
        <v>0.05</v>
      </c>
      <c r="AJ52" s="562">
        <v>0</v>
      </c>
      <c r="AQ52" s="772" t="s">
        <v>664</v>
      </c>
      <c r="AR52" s="705" t="str">
        <f>D113</f>
        <v>CEO</v>
      </c>
      <c r="AS52" s="772" t="s">
        <v>647</v>
      </c>
      <c r="AT52" s="724">
        <f>N120</f>
        <v>20.198960613823022</v>
      </c>
    </row>
    <row r="53" spans="1:60">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0">
      <c r="C54" s="715"/>
      <c r="D54" s="715"/>
      <c r="E54" s="715"/>
      <c r="F54" s="715"/>
      <c r="G54" s="715"/>
      <c r="H54" s="715"/>
      <c r="AM54" s="705">
        <f>12/5</f>
        <v>2.4</v>
      </c>
    </row>
    <row r="55" spans="1:60">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8.25">
      <c r="A56" s="732" t="s">
        <v>676</v>
      </c>
      <c r="B56" s="732" t="s">
        <v>677</v>
      </c>
      <c r="C56" s="732" t="s">
        <v>678</v>
      </c>
      <c r="D56" s="732" t="s">
        <v>679</v>
      </c>
      <c r="E56" s="732" t="s">
        <v>731</v>
      </c>
      <c r="F56" s="732" t="s">
        <v>1551</v>
      </c>
      <c r="G56" s="732" t="s">
        <v>741</v>
      </c>
      <c r="H56" s="732" t="s">
        <v>743</v>
      </c>
      <c r="I56" s="732" t="s">
        <v>769</v>
      </c>
      <c r="J56" s="732" t="s">
        <v>770</v>
      </c>
      <c r="K56" s="787" t="s">
        <v>1677</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90"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c r="A60" s="722" t="s">
        <v>1540</v>
      </c>
      <c r="B60" s="738"/>
      <c r="AP60"/>
      <c r="AQ60" s="766" t="s">
        <v>709</v>
      </c>
      <c r="AR60"/>
      <c r="AU60"/>
      <c r="AV60" s="314"/>
      <c r="AW60" s="314"/>
      <c r="AZ60" s="705" t="s">
        <v>709</v>
      </c>
      <c r="BF60" s="314"/>
    </row>
    <row r="61" spans="1:60">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K61" s="705">
        <v>0</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804">
        <f>$AC61*AD$52</f>
        <v>3.7333541190327724E-2</v>
      </c>
      <c r="AE61" s="804">
        <f t="shared" ref="AE61:AJ66" si="22">$AC61*AE$52</f>
        <v>3.4639368114737064E-2</v>
      </c>
      <c r="AF61" s="804">
        <f t="shared" si="22"/>
        <v>2.6941730755906605E-2</v>
      </c>
      <c r="AG61" s="804">
        <f t="shared" si="22"/>
        <v>1.7319684057368532E-2</v>
      </c>
      <c r="AH61" s="804">
        <f t="shared" si="22"/>
        <v>5.773228019122844E-3</v>
      </c>
      <c r="AI61" s="804">
        <f t="shared" si="22"/>
        <v>1.9244093397076147E-3</v>
      </c>
      <c r="AJ61" s="80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K62" s="705">
        <v>0</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804">
        <f t="shared" ref="AD62:AD66" si="23">$AC62*AD$52</f>
        <v>0.63127624194554144</v>
      </c>
      <c r="AE62" s="804">
        <f t="shared" si="22"/>
        <v>0.58572022448555394</v>
      </c>
      <c r="AF62" s="804">
        <f t="shared" si="22"/>
        <v>0.45556017459987519</v>
      </c>
      <c r="AG62" s="804">
        <f t="shared" si="22"/>
        <v>0.29286011224277697</v>
      </c>
      <c r="AH62" s="804">
        <f t="shared" si="22"/>
        <v>9.7620037414258981E-2</v>
      </c>
      <c r="AI62" s="804">
        <f t="shared" si="22"/>
        <v>3.254001247141966E-2</v>
      </c>
      <c r="AJ62" s="80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4">D62</f>
        <v>CEC</v>
      </c>
      <c r="BC62" s="705" t="str">
        <f t="shared" ref="BC62:BC119" si="25">AS62</f>
        <v>Commercial - Cooling - Electricity - Central - Existing</v>
      </c>
      <c r="BD62" s="705" t="s">
        <v>647</v>
      </c>
      <c r="BF62" s="314" t="s">
        <v>1503</v>
      </c>
    </row>
    <row r="63" spans="1:60">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6">I63*0.1</f>
        <v>11.89645075632396</v>
      </c>
      <c r="K63" s="705">
        <v>0</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804">
        <f t="shared" si="23"/>
        <v>0.16969791450148963</v>
      </c>
      <c r="AE63" s="804">
        <f t="shared" si="22"/>
        <v>0.15745167324880482</v>
      </c>
      <c r="AF63" s="804">
        <f t="shared" si="22"/>
        <v>0.12246241252684818</v>
      </c>
      <c r="AG63" s="804">
        <f t="shared" si="22"/>
        <v>7.8725836624402412E-2</v>
      </c>
      <c r="AH63" s="804">
        <f t="shared" si="22"/>
        <v>2.6241945541467471E-2</v>
      </c>
      <c r="AI63" s="804">
        <f t="shared" si="22"/>
        <v>8.7473151804891569E-3</v>
      </c>
      <c r="AJ63" s="804">
        <f t="shared" si="22"/>
        <v>0</v>
      </c>
      <c r="AK63" s="705">
        <f>AK62+1</f>
        <v>3</v>
      </c>
      <c r="AP63"/>
      <c r="AQ63" s="765" t="s">
        <v>1504</v>
      </c>
      <c r="AR63" t="s">
        <v>1365</v>
      </c>
      <c r="AS63" s="722" t="s">
        <v>1366</v>
      </c>
      <c r="AT63" s="705" t="s">
        <v>647</v>
      </c>
      <c r="AU63" s="705" t="s">
        <v>662</v>
      </c>
      <c r="AV63" s="314" t="s">
        <v>734</v>
      </c>
      <c r="AW63" s="314"/>
      <c r="AZ63" s="705" t="s">
        <v>1520</v>
      </c>
      <c r="BB63" s="705" t="str">
        <f t="shared" si="24"/>
        <v>CEC</v>
      </c>
      <c r="BC63" s="705" t="str">
        <f t="shared" si="25"/>
        <v>Commercial - Cooling - Electricity - Heat Pump - Existing</v>
      </c>
      <c r="BD63" s="705" t="s">
        <v>647</v>
      </c>
      <c r="BF63" s="314" t="s">
        <v>1503</v>
      </c>
    </row>
    <row r="64" spans="1:60">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6"/>
        <v>4.9654804773986427</v>
      </c>
      <c r="K64" s="705">
        <v>0</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804">
        <f t="shared" si="23"/>
        <v>0.1221824984410725</v>
      </c>
      <c r="AE64" s="804">
        <f t="shared" si="22"/>
        <v>0.11336520473913944</v>
      </c>
      <c r="AF64" s="804">
        <f t="shared" si="22"/>
        <v>8.8172937019330669E-2</v>
      </c>
      <c r="AG64" s="804">
        <f t="shared" si="22"/>
        <v>5.6682602369569721E-2</v>
      </c>
      <c r="AH64" s="804">
        <f t="shared" si="22"/>
        <v>1.8894200789856572E-2</v>
      </c>
      <c r="AI64" s="804">
        <f t="shared" si="22"/>
        <v>6.2980669299521914E-3</v>
      </c>
      <c r="AJ64" s="804">
        <f t="shared" si="22"/>
        <v>0</v>
      </c>
      <c r="AK64" s="705">
        <f t="shared" ref="AK64:AK121" si="27">AK63+1</f>
        <v>4</v>
      </c>
      <c r="AP64"/>
      <c r="AQ64" s="765" t="s">
        <v>1504</v>
      </c>
      <c r="AR64" t="s">
        <v>1367</v>
      </c>
      <c r="AS64" s="722" t="s">
        <v>1368</v>
      </c>
      <c r="AT64" s="705" t="s">
        <v>647</v>
      </c>
      <c r="AU64" s="705" t="s">
        <v>662</v>
      </c>
      <c r="AV64" s="314" t="s">
        <v>734</v>
      </c>
      <c r="AW64" s="314"/>
      <c r="AZ64" s="705" t="s">
        <v>1520</v>
      </c>
      <c r="BB64" s="705" t="str">
        <f t="shared" si="24"/>
        <v>CEC</v>
      </c>
      <c r="BC64" s="705" t="str">
        <f t="shared" si="25"/>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K65" s="705">
        <v>0</v>
      </c>
      <c r="L65" s="350">
        <v>0</v>
      </c>
      <c r="M65" s="349">
        <v>0</v>
      </c>
      <c r="N65" s="349">
        <v>0</v>
      </c>
      <c r="P65" s="696"/>
      <c r="Q65" s="694"/>
      <c r="R65" s="694">
        <f t="shared" si="19"/>
        <v>0</v>
      </c>
      <c r="S65" s="694">
        <f t="shared" si="20"/>
        <v>0.03</v>
      </c>
      <c r="T65" s="694">
        <f t="shared" si="20"/>
        <v>0.1</v>
      </c>
      <c r="U65" s="694">
        <f t="shared" si="20"/>
        <v>0.3</v>
      </c>
      <c r="V65" s="694">
        <f t="shared" si="20"/>
        <v>0.55000000000000004</v>
      </c>
      <c r="W65" s="694">
        <f t="shared" si="20"/>
        <v>0.85</v>
      </c>
      <c r="X65" s="694">
        <f t="shared" si="20"/>
        <v>0.95</v>
      </c>
      <c r="Y65" s="694">
        <f t="shared" si="20"/>
        <v>1</v>
      </c>
      <c r="AA65" s="695"/>
      <c r="AB65" s="694"/>
      <c r="AC65" s="694">
        <f t="shared" si="21"/>
        <v>0</v>
      </c>
      <c r="AD65" s="804">
        <f t="shared" si="23"/>
        <v>0</v>
      </c>
      <c r="AE65" s="804">
        <f t="shared" si="22"/>
        <v>0</v>
      </c>
      <c r="AF65" s="804">
        <f t="shared" si="22"/>
        <v>0</v>
      </c>
      <c r="AG65" s="804">
        <f t="shared" si="22"/>
        <v>0</v>
      </c>
      <c r="AH65" s="804">
        <f t="shared" si="22"/>
        <v>0</v>
      </c>
      <c r="AI65" s="804">
        <f t="shared" si="22"/>
        <v>0</v>
      </c>
      <c r="AJ65" s="804">
        <f t="shared" si="22"/>
        <v>0</v>
      </c>
      <c r="AK65" s="705">
        <f t="shared" si="27"/>
        <v>5</v>
      </c>
      <c r="AQ65" s="765" t="s">
        <v>1504</v>
      </c>
      <c r="AR65" t="s">
        <v>1369</v>
      </c>
      <c r="AS65" s="722" t="s">
        <v>1370</v>
      </c>
      <c r="AT65" s="705" t="s">
        <v>647</v>
      </c>
      <c r="AU65" s="705" t="s">
        <v>662</v>
      </c>
      <c r="AV65" s="314" t="s">
        <v>734</v>
      </c>
      <c r="AW65" s="314"/>
      <c r="AZ65" s="705" t="s">
        <v>1520</v>
      </c>
      <c r="BB65" s="705" t="str">
        <f t="shared" si="24"/>
        <v>CEC</v>
      </c>
      <c r="BC65" s="705" t="str">
        <f t="shared" si="25"/>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K66" s="705">
        <v>0</v>
      </c>
      <c r="L66" s="350">
        <v>0</v>
      </c>
      <c r="M66" s="349">
        <v>0</v>
      </c>
      <c r="N66" s="349">
        <v>0</v>
      </c>
      <c r="P66" s="696"/>
      <c r="Q66" s="694"/>
      <c r="R66" s="694">
        <f t="shared" si="19"/>
        <v>0</v>
      </c>
      <c r="S66" s="694">
        <f t="shared" si="20"/>
        <v>0.03</v>
      </c>
      <c r="T66" s="694">
        <f t="shared" si="20"/>
        <v>0.1</v>
      </c>
      <c r="U66" s="694">
        <f t="shared" si="20"/>
        <v>0.3</v>
      </c>
      <c r="V66" s="694">
        <f t="shared" si="20"/>
        <v>0.55000000000000004</v>
      </c>
      <c r="W66" s="694">
        <f t="shared" si="20"/>
        <v>0.85</v>
      </c>
      <c r="X66" s="694">
        <f t="shared" si="20"/>
        <v>0.95</v>
      </c>
      <c r="Y66" s="694">
        <f t="shared" si="20"/>
        <v>1</v>
      </c>
      <c r="AA66" s="695"/>
      <c r="AB66" s="694"/>
      <c r="AC66" s="694">
        <f t="shared" si="21"/>
        <v>0</v>
      </c>
      <c r="AD66" s="804">
        <f t="shared" si="23"/>
        <v>0</v>
      </c>
      <c r="AE66" s="804">
        <f t="shared" si="22"/>
        <v>0</v>
      </c>
      <c r="AF66" s="804">
        <f t="shared" si="22"/>
        <v>0</v>
      </c>
      <c r="AG66" s="804">
        <f t="shared" si="22"/>
        <v>0</v>
      </c>
      <c r="AH66" s="804">
        <f t="shared" si="22"/>
        <v>0</v>
      </c>
      <c r="AI66" s="804">
        <f t="shared" si="22"/>
        <v>0</v>
      </c>
      <c r="AJ66" s="804">
        <f t="shared" si="22"/>
        <v>0</v>
      </c>
      <c r="AK66" s="705">
        <f t="shared" si="27"/>
        <v>6</v>
      </c>
      <c r="AP66"/>
      <c r="AQ66" s="765" t="s">
        <v>1504</v>
      </c>
      <c r="AR66" t="s">
        <v>1371</v>
      </c>
      <c r="AS66" s="722" t="s">
        <v>1372</v>
      </c>
      <c r="AT66" s="705" t="s">
        <v>647</v>
      </c>
      <c r="AU66" s="705" t="s">
        <v>662</v>
      </c>
      <c r="AV66" s="314" t="s">
        <v>734</v>
      </c>
      <c r="AW66" s="314"/>
      <c r="AZ66" s="705" t="s">
        <v>1520</v>
      </c>
      <c r="BB66" s="705" t="str">
        <f t="shared" si="24"/>
        <v>CEC</v>
      </c>
      <c r="BC66" s="705" t="str">
        <f t="shared" si="25"/>
        <v>Commercial - Cooling - Electricity - Heat Pump - New</v>
      </c>
      <c r="BD66" s="705" t="s">
        <v>647</v>
      </c>
      <c r="BF66" s="314" t="s">
        <v>1503</v>
      </c>
    </row>
    <row r="67" spans="1:58">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7"/>
        <v>7</v>
      </c>
      <c r="AL67" s="705" t="str">
        <f>LEFT(B66,3)</f>
        <v>CEC</v>
      </c>
      <c r="AP67"/>
      <c r="AQ67" s="765" t="s">
        <v>709</v>
      </c>
      <c r="AR67"/>
      <c r="AS67" s="722"/>
      <c r="AV67" s="314"/>
      <c r="AW67" s="314"/>
      <c r="AZ67" s="705" t="s">
        <v>709</v>
      </c>
      <c r="BF67" s="314"/>
    </row>
    <row r="68" spans="1:58">
      <c r="A68" s="722" t="s">
        <v>1539</v>
      </c>
      <c r="B68" s="722"/>
      <c r="C68" s="743"/>
      <c r="D68" s="743"/>
      <c r="E68" s="738"/>
      <c r="F68" s="566"/>
      <c r="G68" s="738"/>
      <c r="H68" s="738"/>
      <c r="I68" s="349"/>
      <c r="J68" s="349"/>
      <c r="L68" s="745"/>
      <c r="M68" s="745"/>
      <c r="AK68" s="705">
        <f t="shared" si="27"/>
        <v>8</v>
      </c>
      <c r="AP68"/>
      <c r="AQ68" s="765" t="s">
        <v>709</v>
      </c>
      <c r="AS68" s="722"/>
      <c r="AW68" s="314"/>
      <c r="AZ68" s="705" t="s">
        <v>709</v>
      </c>
    </row>
    <row r="69" spans="1:5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18.737888205447756</v>
      </c>
      <c r="I69" s="567">
        <f>I72</f>
        <v>179.45037756394217</v>
      </c>
      <c r="J69" s="349">
        <f t="shared" si="26"/>
        <v>17.945037756394218</v>
      </c>
      <c r="K69" s="705">
        <v>0</v>
      </c>
      <c r="L69" s="350">
        <f>Appliances!F14</f>
        <v>1</v>
      </c>
      <c r="M69" s="349">
        <f>L69*SUMIF($C$6:$J$6,C69,$C$44:$J$44)</f>
        <v>15.062139135812419</v>
      </c>
      <c r="N69" s="349">
        <f>M69*E69</f>
        <v>9.037283481487453</v>
      </c>
      <c r="P69" s="696"/>
      <c r="Q69" s="699"/>
      <c r="R69" s="694">
        <f>N69/SUMIF($D$61:$D$121,$D69,$N$61:$N$121)*(1+$P$55)</f>
        <v>0.76108785604744955</v>
      </c>
      <c r="S69" s="694">
        <f t="shared" ref="S69:Y74" si="28">MIN(1,$R69+S$52)</f>
        <v>0.79108785604744958</v>
      </c>
      <c r="T69" s="694">
        <f t="shared" si="28"/>
        <v>0.86108785604744953</v>
      </c>
      <c r="U69" s="694">
        <f t="shared" si="28"/>
        <v>1</v>
      </c>
      <c r="V69" s="694">
        <f t="shared" si="28"/>
        <v>1</v>
      </c>
      <c r="W69" s="694">
        <f t="shared" si="28"/>
        <v>1</v>
      </c>
      <c r="X69" s="694">
        <f t="shared" si="28"/>
        <v>1</v>
      </c>
      <c r="Y69" s="694">
        <f t="shared" si="28"/>
        <v>1</v>
      </c>
      <c r="AA69" s="696"/>
      <c r="AB69" s="694"/>
      <c r="AC69" s="694">
        <f>R69/(1+$P$55+$AA$55)</f>
        <v>0.74616456475240156</v>
      </c>
      <c r="AD69" s="804">
        <f t="shared" ref="AD69:AJ73" si="29">$AC69*AD$52</f>
        <v>0.72377962780982952</v>
      </c>
      <c r="AE69" s="804">
        <f t="shared" si="29"/>
        <v>0.67154810827716138</v>
      </c>
      <c r="AF69" s="804">
        <f t="shared" si="29"/>
        <v>0.52231519532668103</v>
      </c>
      <c r="AG69" s="804">
        <f t="shared" si="29"/>
        <v>0.33577405413858069</v>
      </c>
      <c r="AH69" s="804">
        <f t="shared" si="29"/>
        <v>0.11192468471286023</v>
      </c>
      <c r="AI69" s="804">
        <f t="shared" si="29"/>
        <v>3.7308228237620082E-2</v>
      </c>
      <c r="AJ69" s="804">
        <f t="shared" si="29"/>
        <v>0</v>
      </c>
      <c r="AK69" s="705">
        <f t="shared" si="27"/>
        <v>9</v>
      </c>
      <c r="AP69"/>
      <c r="AQ69" s="765" t="s">
        <v>1504</v>
      </c>
      <c r="AR69" t="s">
        <v>1297</v>
      </c>
      <c r="AS69" s="722" t="s">
        <v>1298</v>
      </c>
      <c r="AT69" s="705" t="s">
        <v>647</v>
      </c>
      <c r="AU69" s="705" t="s">
        <v>662</v>
      </c>
      <c r="AV69" s="314" t="s">
        <v>734</v>
      </c>
      <c r="AW69" s="314"/>
      <c r="AZ69" s="705" t="s">
        <v>1520</v>
      </c>
      <c r="BB69" s="705" t="str">
        <f t="shared" si="24"/>
        <v>CEH</v>
      </c>
      <c r="BC69" s="705" t="str">
        <f t="shared" si="25"/>
        <v>Commercial - Space Heating - Coal - Existing</v>
      </c>
      <c r="BD69" s="705" t="s">
        <v>647</v>
      </c>
      <c r="BF69" s="314" t="s">
        <v>734</v>
      </c>
    </row>
    <row r="70" spans="1:5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6"/>
        <v>3.1420618543499241</v>
      </c>
      <c r="K70" s="705">
        <v>0</v>
      </c>
      <c r="L70" s="350">
        <f>Appliances!F11</f>
        <v>1</v>
      </c>
      <c r="M70" s="349">
        <f>L70*SUMIF($C$6:$J$6,C70,$C$44:$J$44)</f>
        <v>2.7103061542120312</v>
      </c>
      <c r="N70" s="349">
        <f>M70*E70</f>
        <v>2.7103061542120312</v>
      </c>
      <c r="P70" s="696"/>
      <c r="Q70" s="694"/>
      <c r="R70" s="694">
        <f>N70/SUMIF($D$61:$D$121,$D70,$N$61:$N$121)*(1+$P$55)</f>
        <v>0.22825233980620116</v>
      </c>
      <c r="S70" s="694">
        <f t="shared" si="28"/>
        <v>0.25825233980620116</v>
      </c>
      <c r="T70" s="694">
        <f t="shared" si="28"/>
        <v>0.32825233980620117</v>
      </c>
      <c r="U70" s="694">
        <f t="shared" si="28"/>
        <v>0.52825233980620112</v>
      </c>
      <c r="V70" s="694">
        <f t="shared" si="28"/>
        <v>0.77825233980620123</v>
      </c>
      <c r="W70" s="694">
        <f t="shared" si="28"/>
        <v>1</v>
      </c>
      <c r="X70" s="694">
        <f t="shared" si="28"/>
        <v>1</v>
      </c>
      <c r="Y70" s="694">
        <f t="shared" si="28"/>
        <v>1</v>
      </c>
      <c r="AA70" s="696"/>
      <c r="AB70" s="694"/>
      <c r="AC70" s="694">
        <f>R70/(1+$P$55+$AA$55)</f>
        <v>0.22377680373156977</v>
      </c>
      <c r="AD70" s="804">
        <f t="shared" si="29"/>
        <v>0.21706349961962268</v>
      </c>
      <c r="AE70" s="804">
        <f t="shared" si="29"/>
        <v>0.20139912335841281</v>
      </c>
      <c r="AF70" s="804">
        <f t="shared" si="29"/>
        <v>0.15664376261209884</v>
      </c>
      <c r="AG70" s="804">
        <f t="shared" si="29"/>
        <v>0.10069956167920641</v>
      </c>
      <c r="AH70" s="804">
        <f t="shared" si="29"/>
        <v>3.3566520559735462E-2</v>
      </c>
      <c r="AI70" s="804">
        <f t="shared" si="29"/>
        <v>1.1188840186578489E-2</v>
      </c>
      <c r="AJ70" s="804">
        <f t="shared" si="29"/>
        <v>0</v>
      </c>
      <c r="AK70" s="705">
        <f t="shared" si="27"/>
        <v>10</v>
      </c>
      <c r="AP70"/>
      <c r="AQ70" s="765" t="s">
        <v>1504</v>
      </c>
      <c r="AR70" t="s">
        <v>1299</v>
      </c>
      <c r="AS70" s="722" t="s">
        <v>1300</v>
      </c>
      <c r="AT70" s="705" t="s">
        <v>647</v>
      </c>
      <c r="AU70" s="705" t="s">
        <v>662</v>
      </c>
      <c r="AV70" s="314" t="s">
        <v>734</v>
      </c>
      <c r="AW70" s="314"/>
      <c r="AZ70" s="705" t="s">
        <v>1520</v>
      </c>
      <c r="BB70" s="705" t="str">
        <f t="shared" si="24"/>
        <v>CEH</v>
      </c>
      <c r="BC70" s="705" t="str">
        <f t="shared" si="25"/>
        <v>Commercial - Space Heating - Electricity - Existing</v>
      </c>
      <c r="BD70" s="705" t="s">
        <v>647</v>
      </c>
      <c r="BF70" s="314" t="s">
        <v>1503</v>
      </c>
    </row>
    <row r="71" spans="1:5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6"/>
        <v>4.9003487536247468</v>
      </c>
      <c r="K71" s="705">
        <v>0</v>
      </c>
      <c r="L71" s="350">
        <f>Appliances!F16</f>
        <v>1</v>
      </c>
      <c r="M71" s="349">
        <f>L71*SUMIF($C$6:$J$6,C71,$C$44:$J$44)</f>
        <v>0.3555332496863236</v>
      </c>
      <c r="N71" s="349">
        <f>M71*E71</f>
        <v>0.24531794228356327</v>
      </c>
      <c r="P71" s="696"/>
      <c r="Q71" s="694"/>
      <c r="R71" s="694">
        <f>N71/SUMIF($D$61:$D$121,$D71,$N$61:$N$121)*(1+$P$55)</f>
        <v>2.0659804146349367E-2</v>
      </c>
      <c r="S71" s="694">
        <f t="shared" si="28"/>
        <v>5.0659804146349366E-2</v>
      </c>
      <c r="T71" s="694">
        <f t="shared" si="28"/>
        <v>0.12065980414634937</v>
      </c>
      <c r="U71" s="694">
        <f t="shared" si="28"/>
        <v>0.32065980414634937</v>
      </c>
      <c r="V71" s="694">
        <f t="shared" si="28"/>
        <v>0.57065980414634943</v>
      </c>
      <c r="W71" s="694">
        <f t="shared" si="28"/>
        <v>0.87065980414634936</v>
      </c>
      <c r="X71" s="694">
        <f t="shared" si="28"/>
        <v>0.97065980414634934</v>
      </c>
      <c r="Y71" s="694">
        <f t="shared" si="28"/>
        <v>1</v>
      </c>
      <c r="AA71" s="696"/>
      <c r="AB71" s="694"/>
      <c r="AC71" s="694">
        <f>R71/(1+$P$55+$AA$55)</f>
        <v>2.0254709947401341E-2</v>
      </c>
      <c r="AD71" s="804">
        <f t="shared" si="29"/>
        <v>1.9647068648979301E-2</v>
      </c>
      <c r="AE71" s="804">
        <f t="shared" si="29"/>
        <v>1.8229238952661209E-2</v>
      </c>
      <c r="AF71" s="804">
        <f t="shared" si="29"/>
        <v>1.4178296963180938E-2</v>
      </c>
      <c r="AG71" s="804">
        <f t="shared" si="29"/>
        <v>9.1146194763306043E-3</v>
      </c>
      <c r="AH71" s="804">
        <f t="shared" si="29"/>
        <v>3.038206492110201E-3</v>
      </c>
      <c r="AI71" s="804">
        <f t="shared" si="29"/>
        <v>1.0127354973700671E-3</v>
      </c>
      <c r="AJ71" s="804">
        <f t="shared" si="29"/>
        <v>0</v>
      </c>
      <c r="AK71" s="705">
        <f t="shared" si="27"/>
        <v>11</v>
      </c>
      <c r="AQ71" s="765" t="s">
        <v>1504</v>
      </c>
      <c r="AR71" t="s">
        <v>1301</v>
      </c>
      <c r="AS71" s="722" t="s">
        <v>1302</v>
      </c>
      <c r="AT71" s="705" t="s">
        <v>647</v>
      </c>
      <c r="AU71" s="705" t="s">
        <v>662</v>
      </c>
      <c r="AV71" s="314" t="s">
        <v>734</v>
      </c>
      <c r="AW71" s="314"/>
      <c r="AZ71" s="705" t="s">
        <v>1520</v>
      </c>
      <c r="BB71" s="705" t="str">
        <f t="shared" si="24"/>
        <v>CEH</v>
      </c>
      <c r="BC71" s="705" t="str">
        <f t="shared" si="25"/>
        <v>Commercial - Space Heating - Gas - Existing</v>
      </c>
      <c r="BD71" s="705" t="s">
        <v>647</v>
      </c>
      <c r="BF71" s="314" t="s">
        <v>734</v>
      </c>
    </row>
    <row r="72" spans="1:5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K72" s="705">
        <v>0</v>
      </c>
      <c r="L72" s="350">
        <v>0</v>
      </c>
      <c r="M72" s="349">
        <v>0</v>
      </c>
      <c r="N72" s="349">
        <v>0</v>
      </c>
      <c r="P72" s="696"/>
      <c r="Q72" s="694"/>
      <c r="R72" s="694">
        <f>N72/SUMIF($D$61:$D$121,$D72,$N$61:$N$121)*(1+$P$55)</f>
        <v>0</v>
      </c>
      <c r="S72" s="694">
        <f t="shared" si="28"/>
        <v>0.03</v>
      </c>
      <c r="T72" s="694">
        <f t="shared" si="28"/>
        <v>0.1</v>
      </c>
      <c r="U72" s="694">
        <f t="shared" si="28"/>
        <v>0.3</v>
      </c>
      <c r="V72" s="694">
        <f t="shared" si="28"/>
        <v>0.55000000000000004</v>
      </c>
      <c r="W72" s="694">
        <f t="shared" si="28"/>
        <v>0.85</v>
      </c>
      <c r="X72" s="694">
        <f t="shared" si="28"/>
        <v>0.95</v>
      </c>
      <c r="Y72" s="694">
        <f t="shared" si="28"/>
        <v>1</v>
      </c>
      <c r="AA72" s="696"/>
      <c r="AB72" s="694"/>
      <c r="AC72" s="694">
        <f>R72/(1+$P$55+$AA$55)</f>
        <v>0</v>
      </c>
      <c r="AD72" s="804">
        <f t="shared" si="29"/>
        <v>0</v>
      </c>
      <c r="AE72" s="804">
        <f t="shared" si="29"/>
        <v>0</v>
      </c>
      <c r="AF72" s="804">
        <f t="shared" si="29"/>
        <v>0</v>
      </c>
      <c r="AG72" s="804">
        <f t="shared" si="29"/>
        <v>0</v>
      </c>
      <c r="AH72" s="804">
        <f t="shared" si="29"/>
        <v>0</v>
      </c>
      <c r="AI72" s="804">
        <f t="shared" si="29"/>
        <v>0</v>
      </c>
      <c r="AJ72" s="804">
        <f t="shared" si="29"/>
        <v>0</v>
      </c>
      <c r="AK72" s="705">
        <f t="shared" si="27"/>
        <v>12</v>
      </c>
      <c r="AP72"/>
      <c r="AQ72" s="765" t="s">
        <v>1504</v>
      </c>
      <c r="AR72" t="s">
        <v>1303</v>
      </c>
      <c r="AS72" s="722" t="s">
        <v>1304</v>
      </c>
      <c r="AT72" s="705" t="s">
        <v>647</v>
      </c>
      <c r="AU72" s="705" t="s">
        <v>662</v>
      </c>
      <c r="AV72" s="314" t="s">
        <v>734</v>
      </c>
      <c r="AW72" s="314"/>
      <c r="AZ72" s="705" t="s">
        <v>1520</v>
      </c>
      <c r="BB72" s="705" t="str">
        <f t="shared" si="24"/>
        <v>CEH</v>
      </c>
      <c r="BC72" s="705" t="str">
        <f t="shared" si="25"/>
        <v>Commercial - Space Heating - Electricity - New</v>
      </c>
      <c r="BD72" s="705" t="s">
        <v>647</v>
      </c>
      <c r="BF72" s="314" t="s">
        <v>1503</v>
      </c>
    </row>
    <row r="73" spans="1:5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81">
        <f>34.864360018767*Deflator!AD7</f>
        <v>49.003487536247462</v>
      </c>
      <c r="J73" s="486">
        <f>I73*0.1</f>
        <v>4.9003487536247468</v>
      </c>
      <c r="K73" s="705">
        <v>0</v>
      </c>
      <c r="L73" s="350">
        <v>0</v>
      </c>
      <c r="M73" s="349">
        <v>0</v>
      </c>
      <c r="N73" s="349">
        <v>0</v>
      </c>
      <c r="P73" s="696"/>
      <c r="Q73" s="694"/>
      <c r="R73" s="694">
        <f>N73/SUMIF($D$61:$D$121,$D73,$N$61:$N$121)*(1+$P$55)</f>
        <v>0</v>
      </c>
      <c r="S73" s="694">
        <f t="shared" si="28"/>
        <v>0.03</v>
      </c>
      <c r="T73" s="694">
        <f t="shared" si="28"/>
        <v>0.1</v>
      </c>
      <c r="U73" s="694">
        <f t="shared" si="28"/>
        <v>0.3</v>
      </c>
      <c r="V73" s="694">
        <f t="shared" si="28"/>
        <v>0.55000000000000004</v>
      </c>
      <c r="W73" s="694">
        <f t="shared" si="28"/>
        <v>0.85</v>
      </c>
      <c r="X73" s="694">
        <f t="shared" si="28"/>
        <v>0.95</v>
      </c>
      <c r="Y73" s="694">
        <f t="shared" si="28"/>
        <v>1</v>
      </c>
      <c r="AA73" s="696"/>
      <c r="AB73" s="694"/>
      <c r="AC73" s="694">
        <f>R73/(1+$P$55+$AA$55)</f>
        <v>0</v>
      </c>
      <c r="AD73" s="804">
        <f t="shared" si="29"/>
        <v>0</v>
      </c>
      <c r="AE73" s="804">
        <f t="shared" si="29"/>
        <v>0</v>
      </c>
      <c r="AF73" s="804">
        <f t="shared" si="29"/>
        <v>0</v>
      </c>
      <c r="AG73" s="804">
        <f t="shared" si="29"/>
        <v>0</v>
      </c>
      <c r="AH73" s="804">
        <f t="shared" si="29"/>
        <v>0</v>
      </c>
      <c r="AI73" s="804">
        <f t="shared" si="29"/>
        <v>0</v>
      </c>
      <c r="AJ73" s="804">
        <f t="shared" si="29"/>
        <v>0</v>
      </c>
      <c r="AK73" s="705">
        <f t="shared" si="27"/>
        <v>13</v>
      </c>
      <c r="AP73"/>
      <c r="AQ73" s="765" t="s">
        <v>1504</v>
      </c>
      <c r="AR73" t="s">
        <v>1305</v>
      </c>
      <c r="AS73" s="722" t="s">
        <v>1306</v>
      </c>
      <c r="AT73" s="705" t="s">
        <v>647</v>
      </c>
      <c r="AU73" s="705" t="s">
        <v>662</v>
      </c>
      <c r="AV73" s="314" t="s">
        <v>734</v>
      </c>
      <c r="AW73" s="314"/>
      <c r="AZ73" s="705" t="s">
        <v>1520</v>
      </c>
      <c r="BB73" s="705" t="str">
        <f t="shared" si="24"/>
        <v>CEH</v>
      </c>
      <c r="BC73" s="705" t="str">
        <f t="shared" si="25"/>
        <v>Commercial - Space Heating - Gas - New</v>
      </c>
      <c r="BD73" s="705" t="s">
        <v>647</v>
      </c>
      <c r="BF73" s="314" t="s">
        <v>734</v>
      </c>
    </row>
    <row r="74" spans="1:58">
      <c r="A74" s="742" t="s">
        <v>1538</v>
      </c>
      <c r="F74" s="566"/>
      <c r="I74" s="349"/>
      <c r="J74" s="349"/>
      <c r="L74" s="733"/>
      <c r="M74" s="356">
        <f>SUM(M69:M71)</f>
        <v>18.127978539710774</v>
      </c>
      <c r="N74" s="356">
        <f>SUM(N69:N71)</f>
        <v>11.992907577983047</v>
      </c>
      <c r="S74" s="694">
        <f t="shared" si="28"/>
        <v>0.03</v>
      </c>
      <c r="T74" s="694">
        <f t="shared" si="28"/>
        <v>0.1</v>
      </c>
      <c r="U74" s="694">
        <f t="shared" si="28"/>
        <v>0.3</v>
      </c>
      <c r="V74" s="694">
        <f t="shared" si="28"/>
        <v>0.55000000000000004</v>
      </c>
      <c r="W74" s="694">
        <f t="shared" si="28"/>
        <v>0.85</v>
      </c>
      <c r="X74" s="694">
        <f t="shared" si="28"/>
        <v>0.95</v>
      </c>
      <c r="Y74" s="694">
        <f t="shared" si="28"/>
        <v>1</v>
      </c>
      <c r="AK74" s="705">
        <f t="shared" si="27"/>
        <v>14</v>
      </c>
      <c r="AL74" s="705" t="str">
        <f>LEFT(B73,3)</f>
        <v>CEH</v>
      </c>
      <c r="AP74"/>
      <c r="AQ74" s="765" t="s">
        <v>709</v>
      </c>
      <c r="AR74"/>
      <c r="AV74" s="314"/>
      <c r="AW74" s="314"/>
      <c r="AZ74" s="705" t="s">
        <v>709</v>
      </c>
      <c r="BF74" s="314"/>
    </row>
    <row r="75" spans="1:58">
      <c r="A75" s="722" t="s">
        <v>1541</v>
      </c>
      <c r="B75" s="722"/>
      <c r="C75" s="743"/>
      <c r="D75" s="743"/>
      <c r="E75" s="738"/>
      <c r="F75" s="566"/>
      <c r="G75" s="738"/>
      <c r="H75" s="738"/>
      <c r="I75" s="349"/>
      <c r="J75" s="349"/>
      <c r="K75" s="698"/>
      <c r="L75" s="745"/>
      <c r="M75" s="745"/>
      <c r="AK75" s="705">
        <f t="shared" si="27"/>
        <v>15</v>
      </c>
      <c r="AQ75" s="765" t="s">
        <v>709</v>
      </c>
      <c r="AR75"/>
      <c r="AS75" s="722"/>
      <c r="AV75" s="314"/>
      <c r="AW75" s="314"/>
      <c r="AZ75" s="705" t="s">
        <v>709</v>
      </c>
      <c r="BF75" s="314"/>
    </row>
    <row r="76" spans="1:5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6"/>
        <v>17.662153776607365</v>
      </c>
      <c r="K76" s="705">
        <v>0</v>
      </c>
      <c r="L76" s="350">
        <f>Appliances!F34</f>
        <v>1</v>
      </c>
      <c r="M76" s="349">
        <f>L76*SUMIF($C$6:$J$6,C76,$C$45:$J$45)</f>
        <v>0.21722461939319382</v>
      </c>
      <c r="N76" s="349">
        <f>M76*E76</f>
        <v>0.19550215745387445</v>
      </c>
      <c r="P76" s="696"/>
      <c r="Q76" s="694"/>
      <c r="R76" s="694">
        <f>N76/SUMIF($D$61:$D$121,$D76,$N$61:$N$121)</f>
        <v>2.1812160533497223E-2</v>
      </c>
      <c r="S76" s="694">
        <f t="shared" ref="S76:Y77" si="30">MIN(1,$R76+S$52)</f>
        <v>5.1812160533497222E-2</v>
      </c>
      <c r="T76" s="694">
        <f t="shared" si="30"/>
        <v>0.12181216053349722</v>
      </c>
      <c r="U76" s="694">
        <f t="shared" si="30"/>
        <v>0.3218121605334972</v>
      </c>
      <c r="V76" s="694">
        <f t="shared" si="30"/>
        <v>0.57181216053349726</v>
      </c>
      <c r="W76" s="694">
        <f t="shared" si="30"/>
        <v>0.87181216053349719</v>
      </c>
      <c r="X76" s="694">
        <f t="shared" si="30"/>
        <v>0.97181216053349717</v>
      </c>
      <c r="Y76" s="694">
        <f t="shared" si="30"/>
        <v>1</v>
      </c>
      <c r="AA76" s="696"/>
      <c r="AB76" s="694"/>
      <c r="AC76" s="694">
        <f>R76/(1+$P$55+$AA$55)</f>
        <v>2.1384471111271786E-2</v>
      </c>
      <c r="AD76" s="804">
        <f t="shared" ref="AD76:AJ78" si="31">$AC76*AD$52</f>
        <v>2.074293697793363E-2</v>
      </c>
      <c r="AE76" s="804">
        <f t="shared" si="31"/>
        <v>1.9246024000144607E-2</v>
      </c>
      <c r="AF76" s="804">
        <f t="shared" si="31"/>
        <v>1.4969129777890248E-2</v>
      </c>
      <c r="AG76" s="804">
        <f t="shared" si="31"/>
        <v>9.6230120000723035E-3</v>
      </c>
      <c r="AH76" s="804">
        <f t="shared" si="31"/>
        <v>3.2076706666907678E-3</v>
      </c>
      <c r="AI76" s="804">
        <f t="shared" si="31"/>
        <v>1.0692235555635893E-3</v>
      </c>
      <c r="AJ76" s="804">
        <f t="shared" si="31"/>
        <v>0</v>
      </c>
      <c r="AK76" s="705">
        <f t="shared" si="27"/>
        <v>16</v>
      </c>
      <c r="AP76"/>
      <c r="AQ76" s="765" t="s">
        <v>1504</v>
      </c>
      <c r="AR76" t="s">
        <v>1307</v>
      </c>
      <c r="AS76" s="722" t="s">
        <v>1308</v>
      </c>
      <c r="AT76" s="705" t="s">
        <v>647</v>
      </c>
      <c r="AU76" s="705" t="s">
        <v>662</v>
      </c>
      <c r="AV76" s="314" t="s">
        <v>734</v>
      </c>
      <c r="AW76" s="314"/>
      <c r="AZ76" s="705" t="s">
        <v>1520</v>
      </c>
      <c r="BB76" s="705" t="str">
        <f t="shared" si="24"/>
        <v>CEK</v>
      </c>
      <c r="BC76" s="705" t="str">
        <f t="shared" si="25"/>
        <v>Commercial - Cooking - Oil LPG - Existing</v>
      </c>
      <c r="BD76" s="705" t="s">
        <v>647</v>
      </c>
      <c r="BF76" s="314" t="s">
        <v>734</v>
      </c>
    </row>
    <row r="77" spans="1:58">
      <c r="A77" s="722" t="str">
        <f>A$45&amp;" - "&amp;VLOOKUP(RIGHT(C77,3),NameConv!$E$3:$F$16,2,FALSE)&amp;" - Existing"</f>
        <v>Commercial - Cooking - Electricity - Existing</v>
      </c>
      <c r="B77" s="722" t="str">
        <f t="shared" ref="B77:B78" si="32">D77&amp;RIGHT(C77,3)&amp;"-E"</f>
        <v>CEKELC-E</v>
      </c>
      <c r="C77" s="723" t="str">
        <f t="shared" ref="C77" si="33">$E$6</f>
        <v>COMELC</v>
      </c>
      <c r="D77" s="723" t="str">
        <f t="shared" ref="D77:D78" si="34">$B$45</f>
        <v>CEK</v>
      </c>
      <c r="E77" s="347">
        <f>Appliances!J33</f>
        <v>1</v>
      </c>
      <c r="F77" s="566">
        <f ca="1">SUMIF(AFA!$B$3:$S$3,D77,AFA!$B$4:$J$4)</f>
        <v>0.68689999999999996</v>
      </c>
      <c r="G77" s="348">
        <v>15</v>
      </c>
      <c r="H77" s="349">
        <f t="shared" ref="H77:H78" ca="1" si="35">(N77/F77)*(1+$H$55)</f>
        <v>12.742239053244216</v>
      </c>
      <c r="I77" s="488">
        <f>I76</f>
        <v>176.62153776607363</v>
      </c>
      <c r="J77" s="349">
        <f t="shared" si="26"/>
        <v>17.662153776607365</v>
      </c>
      <c r="K77" s="705">
        <v>0</v>
      </c>
      <c r="L77" s="350">
        <f>Appliances!F33</f>
        <v>1</v>
      </c>
      <c r="M77" s="349">
        <f t="shared" ref="M77:M78" si="36">L77*SUMIF($C$6:$J$6,C77,$C$45:$J$45)</f>
        <v>8.7526440056734511</v>
      </c>
      <c r="N77" s="349">
        <f t="shared" ref="N77:N78" si="37">M77*E77</f>
        <v>8.7526440056734511</v>
      </c>
      <c r="P77" s="696"/>
      <c r="Q77" s="694"/>
      <c r="R77" s="694">
        <f t="shared" ref="R77:R78" si="38">N77/SUMIF($D$61:$D$121,$D77,$N$61:$N$121)</f>
        <v>0.97653181238853881</v>
      </c>
      <c r="S77" s="694">
        <f t="shared" si="30"/>
        <v>1</v>
      </c>
      <c r="T77" s="694">
        <f t="shared" si="30"/>
        <v>1</v>
      </c>
      <c r="U77" s="694">
        <f t="shared" si="30"/>
        <v>1</v>
      </c>
      <c r="V77" s="694">
        <f t="shared" si="30"/>
        <v>1</v>
      </c>
      <c r="W77" s="694">
        <f t="shared" si="30"/>
        <v>1</v>
      </c>
      <c r="X77" s="694">
        <f t="shared" si="30"/>
        <v>1</v>
      </c>
      <c r="Y77" s="694">
        <f t="shared" si="30"/>
        <v>1</v>
      </c>
      <c r="AA77" s="696"/>
      <c r="AB77" s="694"/>
      <c r="AC77" s="694">
        <f>R77/(1+$P$55+$AA$55)</f>
        <v>0.95738412979268506</v>
      </c>
      <c r="AD77" s="804">
        <f t="shared" si="31"/>
        <v>0.92866260589890448</v>
      </c>
      <c r="AE77" s="804">
        <f t="shared" si="31"/>
        <v>0.86164571681341662</v>
      </c>
      <c r="AF77" s="804">
        <f t="shared" si="31"/>
        <v>0.67016889085487952</v>
      </c>
      <c r="AG77" s="804">
        <f t="shared" si="31"/>
        <v>0.43082285840670831</v>
      </c>
      <c r="AH77" s="804">
        <f t="shared" si="31"/>
        <v>0.14360761946890274</v>
      </c>
      <c r="AI77" s="804">
        <f t="shared" si="31"/>
        <v>4.7869206489634254E-2</v>
      </c>
      <c r="AJ77" s="804">
        <f t="shared" si="31"/>
        <v>0</v>
      </c>
      <c r="AK77" s="705">
        <f t="shared" si="27"/>
        <v>17</v>
      </c>
      <c r="AP77"/>
      <c r="AQ77" s="765" t="s">
        <v>1504</v>
      </c>
      <c r="AR77" t="s">
        <v>1309</v>
      </c>
      <c r="AS77" s="722" t="s">
        <v>1310</v>
      </c>
      <c r="AT77" s="705" t="s">
        <v>647</v>
      </c>
      <c r="AU77" s="705" t="s">
        <v>662</v>
      </c>
      <c r="AV77" s="314" t="s">
        <v>734</v>
      </c>
      <c r="AW77" s="314"/>
      <c r="AZ77" s="705" t="s">
        <v>1520</v>
      </c>
      <c r="BB77" s="705" t="str">
        <f t="shared" si="24"/>
        <v>CEK</v>
      </c>
      <c r="BC77" s="705" t="str">
        <f t="shared" si="25"/>
        <v>Commercial - Cooking - Electricity - Existing</v>
      </c>
      <c r="BD77" s="705" t="s">
        <v>647</v>
      </c>
      <c r="BF77" s="314" t="s">
        <v>1503</v>
      </c>
    </row>
    <row r="78" spans="1:58">
      <c r="A78" s="722" t="str">
        <f>A$45&amp;" - "&amp;VLOOKUP(RIGHT(C78,3),NameConv!$E$3:$F$16,2,FALSE)&amp;" - Existing"</f>
        <v>Commercial - Cooking - Coal - Existing</v>
      </c>
      <c r="B78" s="722" t="str">
        <f t="shared" si="32"/>
        <v>CEKCOA-E</v>
      </c>
      <c r="C78" s="723" t="str">
        <f>$C$6</f>
        <v>COMCOA</v>
      </c>
      <c r="D78" s="723" t="str">
        <f t="shared" si="34"/>
        <v>CEK</v>
      </c>
      <c r="E78" s="347">
        <f>Appliances!J36</f>
        <v>0.75</v>
      </c>
      <c r="F78" s="566">
        <f ca="1">SUMIF(AFA!$B$3:$S$3,D78,AFA!$B$4:$J$4)</f>
        <v>0.68689999999999996</v>
      </c>
      <c r="G78" s="348">
        <v>15</v>
      </c>
      <c r="H78" s="349">
        <f t="shared" ca="1" si="35"/>
        <v>2.1608607767162974E-2</v>
      </c>
      <c r="I78" s="488">
        <f>I77</f>
        <v>176.62153776607363</v>
      </c>
      <c r="J78" s="349">
        <f t="shared" si="26"/>
        <v>17.662153776607365</v>
      </c>
      <c r="K78" s="705">
        <v>0</v>
      </c>
      <c r="L78" s="350">
        <f>Appliances!F36</f>
        <v>1</v>
      </c>
      <c r="M78" s="349">
        <f t="shared" si="36"/>
        <v>1.9790603567018995E-2</v>
      </c>
      <c r="N78" s="349">
        <f t="shared" si="37"/>
        <v>1.4842952675264247E-2</v>
      </c>
      <c r="P78" s="696"/>
      <c r="Q78" s="694"/>
      <c r="R78" s="694">
        <f t="shared" si="38"/>
        <v>1.6560270779638379E-3</v>
      </c>
      <c r="S78" s="694">
        <f>R78</f>
        <v>1.6560270779638379E-3</v>
      </c>
      <c r="T78" s="694">
        <f t="shared" ref="T78:Y78" si="39">S78</f>
        <v>1.6560270779638379E-3</v>
      </c>
      <c r="U78" s="694">
        <f t="shared" si="39"/>
        <v>1.6560270779638379E-3</v>
      </c>
      <c r="V78" s="694">
        <f t="shared" si="39"/>
        <v>1.6560270779638379E-3</v>
      </c>
      <c r="W78" s="694">
        <f t="shared" si="39"/>
        <v>1.6560270779638379E-3</v>
      </c>
      <c r="X78" s="694">
        <f t="shared" si="39"/>
        <v>1.6560270779638379E-3</v>
      </c>
      <c r="Y78" s="694">
        <f t="shared" si="39"/>
        <v>1.6560270779638379E-3</v>
      </c>
      <c r="AA78" s="696"/>
      <c r="AB78" s="694"/>
      <c r="AC78" s="694">
        <f>R78/(1+$P$55+$AA$55)</f>
        <v>1.6235559587880763E-3</v>
      </c>
      <c r="AD78" s="804">
        <f t="shared" si="31"/>
        <v>1.5748492800244339E-3</v>
      </c>
      <c r="AE78" s="804">
        <f t="shared" si="31"/>
        <v>1.4612003629092688E-3</v>
      </c>
      <c r="AF78" s="804">
        <f t="shared" si="31"/>
        <v>1.1364891711516533E-3</v>
      </c>
      <c r="AG78" s="804">
        <f t="shared" si="31"/>
        <v>7.3060018145463439E-4</v>
      </c>
      <c r="AH78" s="804">
        <f t="shared" si="31"/>
        <v>2.4353339381821143E-4</v>
      </c>
      <c r="AI78" s="804">
        <f t="shared" si="31"/>
        <v>8.1177797939403827E-5</v>
      </c>
      <c r="AJ78" s="804">
        <f t="shared" si="31"/>
        <v>0</v>
      </c>
      <c r="AK78" s="705">
        <f t="shared" si="27"/>
        <v>18</v>
      </c>
      <c r="AP78"/>
      <c r="AQ78" s="765" t="s">
        <v>1504</v>
      </c>
      <c r="AR78" t="s">
        <v>1311</v>
      </c>
      <c r="AS78" s="722" t="s">
        <v>1312</v>
      </c>
      <c r="AT78" s="705" t="s">
        <v>647</v>
      </c>
      <c r="AU78" s="705" t="s">
        <v>662</v>
      </c>
      <c r="AV78" s="314" t="s">
        <v>734</v>
      </c>
      <c r="AW78" s="314"/>
      <c r="AZ78" s="705" t="s">
        <v>1520</v>
      </c>
      <c r="BB78" s="705" t="str">
        <f t="shared" si="24"/>
        <v>CEK</v>
      </c>
      <c r="BC78" s="705" t="str">
        <f t="shared" si="25"/>
        <v>Commercial - Cooking - Coal - Existing</v>
      </c>
      <c r="BD78" s="705" t="s">
        <v>647</v>
      </c>
      <c r="BF78" s="314" t="s">
        <v>734</v>
      </c>
    </row>
    <row r="79" spans="1:58">
      <c r="A79" s="742" t="s">
        <v>1538</v>
      </c>
      <c r="F79" s="566"/>
      <c r="I79" s="349"/>
      <c r="J79" s="349"/>
      <c r="L79" s="733">
        <f>SUM(L76)</f>
        <v>1</v>
      </c>
      <c r="M79" s="356">
        <f>SUM(M76:M78)</f>
        <v>8.9896592286336645</v>
      </c>
      <c r="N79" s="356">
        <f>SUM(N76:N78)</f>
        <v>8.9629891158025909</v>
      </c>
      <c r="AD79" s="694"/>
      <c r="AE79" s="694"/>
      <c r="AF79" s="694"/>
      <c r="AG79" s="694"/>
      <c r="AH79" s="694"/>
      <c r="AI79" s="694"/>
      <c r="AK79" s="705">
        <f t="shared" si="27"/>
        <v>19</v>
      </c>
      <c r="AL79" s="705" t="str">
        <f>LEFT(B78,3)</f>
        <v>CEK</v>
      </c>
      <c r="AP79"/>
      <c r="AQ79" s="765" t="s">
        <v>709</v>
      </c>
      <c r="AR79"/>
      <c r="AV79" s="314"/>
      <c r="AW79" s="314"/>
      <c r="AZ79" s="705" t="s">
        <v>709</v>
      </c>
      <c r="BF79" s="314"/>
    </row>
    <row r="80" spans="1:58">
      <c r="A80" s="722" t="s">
        <v>1542</v>
      </c>
      <c r="B80" s="722"/>
      <c r="C80" s="743"/>
      <c r="D80" s="743"/>
      <c r="E80" s="738"/>
      <c r="F80" s="566"/>
      <c r="G80" s="738"/>
      <c r="H80" s="738"/>
      <c r="I80" s="349"/>
      <c r="J80" s="349"/>
      <c r="K80" s="698"/>
      <c r="L80" s="745"/>
      <c r="M80" s="745"/>
      <c r="AK80" s="705">
        <f t="shared" si="27"/>
        <v>20</v>
      </c>
      <c r="AP80"/>
      <c r="AQ80" s="765" t="s">
        <v>709</v>
      </c>
      <c r="AR80"/>
      <c r="AS80" s="722"/>
      <c r="AV80" s="314"/>
      <c r="AW80" s="314"/>
      <c r="AZ80" s="705" t="s">
        <v>709</v>
      </c>
      <c r="BF80" s="314"/>
    </row>
    <row r="81" spans="1:58">
      <c r="A81" s="722" t="str">
        <f>A$46&amp;" - "&amp;VLOOKUP(RIGHT(C81,3),NameConv!$E$3:$F$16,2,FALSE)&amp;" - CFL - Existing"</f>
        <v>Commercial - Lighting - Electricity - CFL - Existing</v>
      </c>
      <c r="B81" s="722" t="str">
        <f>D81&amp;RIGHT(C81,3)&amp;"CFL-E"</f>
        <v>CELELCCFL-E</v>
      </c>
      <c r="C81" s="723" t="str">
        <f t="shared" ref="C81:C86" si="40">$E$6</f>
        <v>COMELC</v>
      </c>
      <c r="D81" s="723" t="str">
        <f t="shared" ref="D81:D86" si="41">$B$46</f>
        <v>CEL</v>
      </c>
      <c r="E81" s="347">
        <f>Appliances!J68</f>
        <v>4</v>
      </c>
      <c r="F81" s="566">
        <f ca="1">SUMIF(AFA!$B$3:$S$3,D81,AFA!$B$4:$J$4)</f>
        <v>0.55200000000000005</v>
      </c>
      <c r="G81" s="348">
        <v>5</v>
      </c>
      <c r="H81" s="349">
        <f t="shared" ref="H81:H85" ca="1" si="42">(N81/F81)*(1+$H$55)</f>
        <v>10.678329345719563</v>
      </c>
      <c r="I81" s="780">
        <f>2.52021843691898*Deflator!AD7</f>
        <v>3.5422848059078738</v>
      </c>
      <c r="J81" s="349">
        <f t="shared" si="26"/>
        <v>0.35422848059078738</v>
      </c>
      <c r="K81" s="705">
        <v>0</v>
      </c>
      <c r="L81" s="350">
        <f>Appliances!F68</f>
        <v>0.06</v>
      </c>
      <c r="M81" s="349">
        <f>L81*SUMIF($C$6:$J$6,C81,$C$46:$J$46)</f>
        <v>1.4736094497092997</v>
      </c>
      <c r="N81" s="349">
        <f>M81*E81</f>
        <v>5.894437798837199</v>
      </c>
      <c r="P81" s="696"/>
      <c r="Q81" s="694"/>
      <c r="R81" s="694">
        <f t="shared" ref="R81:R86" si="43">N81/SUMIF($D$61:$D$121,$D81,$N$61:$N$121)*(1+$P$55)</f>
        <v>5.3274725274725265E-2</v>
      </c>
      <c r="S81" s="694">
        <f t="shared" ref="S81:Y86" si="44">MIN(1,$R81+S$52)</f>
        <v>8.3274725274725264E-2</v>
      </c>
      <c r="T81" s="694">
        <f t="shared" si="44"/>
        <v>0.15327472527472527</v>
      </c>
      <c r="U81" s="694">
        <f t="shared" si="44"/>
        <v>0.35327472527472525</v>
      </c>
      <c r="V81" s="694">
        <f t="shared" si="44"/>
        <v>0.60327472527472525</v>
      </c>
      <c r="W81" s="694">
        <f t="shared" si="44"/>
        <v>0.9032747252747253</v>
      </c>
      <c r="X81" s="694">
        <f t="shared" si="44"/>
        <v>1</v>
      </c>
      <c r="Y81" s="694">
        <f t="shared" si="44"/>
        <v>1</v>
      </c>
      <c r="AA81" s="696"/>
      <c r="AB81" s="694"/>
      <c r="AC81" s="694">
        <f t="shared" ref="AC81:AC87" si="45">R81/(1+$P$55+$AA$55)</f>
        <v>5.22301228183581E-2</v>
      </c>
      <c r="AD81" s="804">
        <f t="shared" ref="AD81:AJ86" si="46">$AC81*AD$52</f>
        <v>5.0663219133807356E-2</v>
      </c>
      <c r="AE81" s="804">
        <f t="shared" si="46"/>
        <v>4.700711053652229E-2</v>
      </c>
      <c r="AF81" s="804">
        <f t="shared" si="46"/>
        <v>3.6561085972850668E-2</v>
      </c>
      <c r="AG81" s="804">
        <f t="shared" si="46"/>
        <v>2.3503555268261145E-2</v>
      </c>
      <c r="AH81" s="804">
        <f t="shared" si="46"/>
        <v>7.8345184227537144E-3</v>
      </c>
      <c r="AI81" s="804">
        <f t="shared" si="46"/>
        <v>2.6115061409179054E-3</v>
      </c>
      <c r="AJ81" s="804">
        <f t="shared" si="46"/>
        <v>0</v>
      </c>
      <c r="AK81" s="705">
        <f t="shared" si="27"/>
        <v>21</v>
      </c>
      <c r="AP81"/>
      <c r="AQ81" s="765" t="s">
        <v>1504</v>
      </c>
      <c r="AR81" t="s">
        <v>1373</v>
      </c>
      <c r="AS81" s="722" t="s">
        <v>1374</v>
      </c>
      <c r="AT81" s="705" t="s">
        <v>647</v>
      </c>
      <c r="AU81" s="705" t="s">
        <v>662</v>
      </c>
      <c r="AV81" s="314" t="s">
        <v>734</v>
      </c>
      <c r="AW81" s="314"/>
      <c r="AZ81" s="705" t="s">
        <v>1520</v>
      </c>
      <c r="BB81" s="705" t="str">
        <f t="shared" si="24"/>
        <v>CEL</v>
      </c>
      <c r="BC81" s="705" t="str">
        <f t="shared" si="25"/>
        <v>Commercial - Lighting - Electricity - CFL - Existing</v>
      </c>
      <c r="BD81" s="705" t="s">
        <v>647</v>
      </c>
      <c r="BF81" s="314" t="s">
        <v>1503</v>
      </c>
    </row>
    <row r="82" spans="1:58">
      <c r="A82" s="722" t="str">
        <f>A$46&amp;" - "&amp;VLOOKUP(RIGHT(C82,3),NameConv!$E$3:$F$16,2,FALSE)&amp;" - FLU - Existing"</f>
        <v>Commercial - Lighting - Electricity - FLU - Existing</v>
      </c>
      <c r="B82" s="722" t="str">
        <f>D82&amp;RIGHT(C82,3)&amp;"FLU-E"</f>
        <v>CELELCFLU-E</v>
      </c>
      <c r="C82" s="723" t="str">
        <f t="shared" si="40"/>
        <v>COMELC</v>
      </c>
      <c r="D82" s="723" t="str">
        <f t="shared" si="41"/>
        <v>CEL</v>
      </c>
      <c r="E82" s="347">
        <f>Appliances!J69</f>
        <v>4.5</v>
      </c>
      <c r="F82" s="566">
        <f ca="1">SUMIF(AFA!$B$3:$S$3,D82,AFA!$B$4:$J$4)</f>
        <v>0.55200000000000005</v>
      </c>
      <c r="G82" s="570">
        <v>5</v>
      </c>
      <c r="H82" s="349">
        <f t="shared" ca="1" si="42"/>
        <v>140.15307266256926</v>
      </c>
      <c r="I82" s="569">
        <f>('Technology costs'!J15/'Technology costs'!J14)*COM_2017!I81</f>
        <v>2.9545163093523632</v>
      </c>
      <c r="J82" s="349">
        <f t="shared" si="26"/>
        <v>0.29545163093523635</v>
      </c>
      <c r="K82" s="705">
        <v>0</v>
      </c>
      <c r="L82" s="350">
        <f>Appliances!F69</f>
        <v>0.7</v>
      </c>
      <c r="M82" s="349">
        <f>L82*SUMIF($C$6:$J$6,C82,$C$46:$J$46)</f>
        <v>17.192110246608497</v>
      </c>
      <c r="N82" s="349">
        <f t="shared" ref="N82:N86" si="47">M82*E82</f>
        <v>77.364496109738241</v>
      </c>
      <c r="P82" s="696"/>
      <c r="Q82" s="694"/>
      <c r="R82" s="694">
        <f t="shared" si="43"/>
        <v>0.69923076923076921</v>
      </c>
      <c r="S82" s="694">
        <f t="shared" si="44"/>
        <v>0.72923076923076924</v>
      </c>
      <c r="T82" s="694">
        <f t="shared" si="44"/>
        <v>0.79923076923076919</v>
      </c>
      <c r="U82" s="694">
        <f t="shared" si="44"/>
        <v>0.99923076923076914</v>
      </c>
      <c r="V82" s="694">
        <f t="shared" si="44"/>
        <v>1</v>
      </c>
      <c r="W82" s="694">
        <f t="shared" si="44"/>
        <v>1</v>
      </c>
      <c r="X82" s="694">
        <f t="shared" si="44"/>
        <v>1</v>
      </c>
      <c r="Y82" s="694">
        <f t="shared" si="44"/>
        <v>1</v>
      </c>
      <c r="AA82" s="696"/>
      <c r="AB82" s="694"/>
      <c r="AC82" s="694">
        <f t="shared" si="45"/>
        <v>0.68552036199095023</v>
      </c>
      <c r="AD82" s="804">
        <f t="shared" si="46"/>
        <v>0.66495475113122171</v>
      </c>
      <c r="AE82" s="804">
        <f t="shared" si="46"/>
        <v>0.61696832579185523</v>
      </c>
      <c r="AF82" s="804">
        <f t="shared" si="46"/>
        <v>0.47986425339366512</v>
      </c>
      <c r="AG82" s="804">
        <f t="shared" si="46"/>
        <v>0.30848416289592762</v>
      </c>
      <c r="AH82" s="804">
        <f t="shared" si="46"/>
        <v>0.10282805429864253</v>
      </c>
      <c r="AI82" s="804">
        <f t="shared" si="46"/>
        <v>3.4276018099547514E-2</v>
      </c>
      <c r="AJ82" s="804">
        <f t="shared" si="46"/>
        <v>0</v>
      </c>
      <c r="AK82" s="705">
        <f t="shared" si="27"/>
        <v>22</v>
      </c>
      <c r="AQ82" s="765" t="s">
        <v>1504</v>
      </c>
      <c r="AR82" t="s">
        <v>1375</v>
      </c>
      <c r="AS82" s="722" t="s">
        <v>1376</v>
      </c>
      <c r="AT82" s="705" t="s">
        <v>647</v>
      </c>
      <c r="AU82" s="705" t="s">
        <v>662</v>
      </c>
      <c r="AV82" s="314" t="s">
        <v>734</v>
      </c>
      <c r="AW82" s="314"/>
      <c r="AZ82" s="705" t="s">
        <v>1520</v>
      </c>
      <c r="BB82" s="705" t="str">
        <f t="shared" si="24"/>
        <v>CEL</v>
      </c>
      <c r="BC82" s="705" t="str">
        <f t="shared" si="25"/>
        <v>Commercial - Lighting - Electricity - FLU - Existing</v>
      </c>
      <c r="BD82" s="705" t="s">
        <v>647</v>
      </c>
      <c r="BF82" s="314" t="s">
        <v>1503</v>
      </c>
    </row>
    <row r="83" spans="1:58">
      <c r="A83" s="722" t="str">
        <f>A$46&amp;" - "&amp;VLOOKUP(RIGHT(C83,3),NameConv!$E$3:$F$16,2,FALSE)&amp;" - HAL - Existing"</f>
        <v>Commercial - Lighting - Electricity - HAL - Existing</v>
      </c>
      <c r="B83" s="722" t="str">
        <f>D83&amp;RIGHT(C83,3)&amp;"HAL-E"</f>
        <v>CELELCHAL-E</v>
      </c>
      <c r="C83" s="723" t="str">
        <f t="shared" si="40"/>
        <v>COMELC</v>
      </c>
      <c r="D83" s="723" t="str">
        <f t="shared" si="41"/>
        <v>CEL</v>
      </c>
      <c r="E83" s="347">
        <f>Appliances!J70</f>
        <v>2</v>
      </c>
      <c r="F83" s="566">
        <f ca="1">SUMIF(AFA!$B$3:$S$3,D83,AFA!$B$4:$J$4)</f>
        <v>0.55200000000000005</v>
      </c>
      <c r="G83" s="570">
        <v>5</v>
      </c>
      <c r="H83" s="349">
        <f t="shared" ca="1" si="42"/>
        <v>1.7797215576199272</v>
      </c>
      <c r="I83" s="569">
        <f>('Technology costs'!J16/'Technology costs'!J14)*COM_2017!I81</f>
        <v>1.0658202070873248</v>
      </c>
      <c r="J83" s="349">
        <f t="shared" si="26"/>
        <v>0.10658202070873249</v>
      </c>
      <c r="K83" s="705">
        <v>0</v>
      </c>
      <c r="L83" s="350">
        <f>Appliances!F70</f>
        <v>0.02</v>
      </c>
      <c r="M83" s="349">
        <f>L83*SUMIF($C$6:$J$6,C83,$C$46:$J$46)</f>
        <v>0.49120314990309993</v>
      </c>
      <c r="N83" s="349">
        <f t="shared" si="47"/>
        <v>0.98240629980619987</v>
      </c>
      <c r="P83" s="696"/>
      <c r="Q83" s="694"/>
      <c r="R83" s="694">
        <f t="shared" si="43"/>
        <v>8.8791208791208793E-3</v>
      </c>
      <c r="S83" s="694">
        <f t="shared" si="44"/>
        <v>3.8879120879120876E-2</v>
      </c>
      <c r="T83" s="694">
        <f t="shared" si="44"/>
        <v>0.10887912087912088</v>
      </c>
      <c r="U83" s="694">
        <f t="shared" si="44"/>
        <v>0.30887912087912089</v>
      </c>
      <c r="V83" s="694">
        <f t="shared" si="44"/>
        <v>0.55887912087912095</v>
      </c>
      <c r="W83" s="694">
        <f t="shared" si="44"/>
        <v>0.85887912087912088</v>
      </c>
      <c r="X83" s="694">
        <f t="shared" si="44"/>
        <v>0.95887912087912086</v>
      </c>
      <c r="Y83" s="694">
        <f t="shared" si="44"/>
        <v>1</v>
      </c>
      <c r="AA83" s="696"/>
      <c r="AB83" s="694"/>
      <c r="AC83" s="694">
        <f t="shared" si="45"/>
        <v>8.7050204697263524E-3</v>
      </c>
      <c r="AD83" s="804">
        <f t="shared" si="46"/>
        <v>8.4438698556345611E-3</v>
      </c>
      <c r="AE83" s="804">
        <f t="shared" si="46"/>
        <v>7.8345184227537178E-3</v>
      </c>
      <c r="AF83" s="804">
        <f t="shared" si="46"/>
        <v>6.0935143288084461E-3</v>
      </c>
      <c r="AG83" s="804">
        <f t="shared" si="46"/>
        <v>3.9172592113768589E-3</v>
      </c>
      <c r="AH83" s="804">
        <f t="shared" si="46"/>
        <v>1.3057530704589529E-3</v>
      </c>
      <c r="AI83" s="804">
        <f t="shared" si="46"/>
        <v>4.3525102348631765E-4</v>
      </c>
      <c r="AJ83" s="804">
        <f t="shared" si="46"/>
        <v>0</v>
      </c>
      <c r="AK83" s="705">
        <f t="shared" si="27"/>
        <v>23</v>
      </c>
      <c r="AP83"/>
      <c r="AQ83" s="765" t="s">
        <v>1504</v>
      </c>
      <c r="AR83" t="s">
        <v>1377</v>
      </c>
      <c r="AS83" s="722" t="s">
        <v>1378</v>
      </c>
      <c r="AT83" s="705" t="s">
        <v>647</v>
      </c>
      <c r="AU83" s="705" t="s">
        <v>662</v>
      </c>
      <c r="AV83" s="314" t="s">
        <v>734</v>
      </c>
      <c r="AW83" s="314"/>
      <c r="AZ83" s="705" t="s">
        <v>1520</v>
      </c>
      <c r="BB83" s="705" t="str">
        <f t="shared" si="24"/>
        <v>CEL</v>
      </c>
      <c r="BC83" s="705" t="str">
        <f t="shared" si="25"/>
        <v>Commercial - Lighting - Electricity - HAL - Existing</v>
      </c>
      <c r="BD83" s="705" t="s">
        <v>647</v>
      </c>
      <c r="BF83" s="314" t="s">
        <v>1503</v>
      </c>
    </row>
    <row r="84" spans="1:58">
      <c r="A84" s="722" t="str">
        <f>A$46&amp;" - "&amp;VLOOKUP(RIGHT(C84,3),NameConv!$E$3:$F$16,2,FALSE)&amp;" - HID - Existing"</f>
        <v>Commercial - Lighting - Electricity - HID - Existing</v>
      </c>
      <c r="B84" s="722" t="str">
        <f>D84&amp;RIGHT(C84,3)&amp;"HID-E"</f>
        <v>CELELCHID-E</v>
      </c>
      <c r="C84" s="723" t="str">
        <f t="shared" si="40"/>
        <v>COMELC</v>
      </c>
      <c r="D84" s="723" t="str">
        <f t="shared" si="41"/>
        <v>CEL</v>
      </c>
      <c r="E84" s="347">
        <f>Appliances!J71</f>
        <v>7</v>
      </c>
      <c r="F84" s="566">
        <f ca="1">SUMIF(AFA!$B$3:$S$3,D84,AFA!$B$4:$J$4)</f>
        <v>0.55200000000000005</v>
      </c>
      <c r="G84" s="570">
        <v>5</v>
      </c>
      <c r="H84" s="349">
        <f t="shared" ca="1" si="42"/>
        <v>46.717690887523091</v>
      </c>
      <c r="I84" s="569">
        <f>('Technology costs'!J17/'Technology costs'!J14)*COM_2017!I81</f>
        <v>0.43103023080737402</v>
      </c>
      <c r="J84" s="349">
        <f t="shared" si="26"/>
        <v>4.3103023080737407E-2</v>
      </c>
      <c r="K84" s="705">
        <v>0</v>
      </c>
      <c r="L84" s="350">
        <f>Appliances!F71</f>
        <v>0.15</v>
      </c>
      <c r="M84" s="349">
        <f t="shared" ref="M84:M86" si="48">L84*SUMIF($C$6:$J$6,C84,$C$46:$J$46)</f>
        <v>3.6840236242732494</v>
      </c>
      <c r="N84" s="349">
        <f t="shared" si="47"/>
        <v>25.788165369912747</v>
      </c>
      <c r="P84" s="696"/>
      <c r="Q84" s="694"/>
      <c r="R84" s="694">
        <f t="shared" si="43"/>
        <v>0.23307692307692307</v>
      </c>
      <c r="S84" s="694">
        <f t="shared" si="44"/>
        <v>0.2630769230769231</v>
      </c>
      <c r="T84" s="694">
        <f t="shared" si="44"/>
        <v>0.33307692307692305</v>
      </c>
      <c r="U84" s="694">
        <f t="shared" si="44"/>
        <v>0.533076923076923</v>
      </c>
      <c r="V84" s="694">
        <f t="shared" si="44"/>
        <v>0.78307692307692311</v>
      </c>
      <c r="W84" s="694">
        <f t="shared" si="44"/>
        <v>1</v>
      </c>
      <c r="X84" s="694">
        <f t="shared" si="44"/>
        <v>1</v>
      </c>
      <c r="Y84" s="694">
        <f t="shared" si="44"/>
        <v>1</v>
      </c>
      <c r="AA84" s="696"/>
      <c r="AB84" s="694"/>
      <c r="AC84" s="694">
        <f t="shared" si="45"/>
        <v>0.22850678733031674</v>
      </c>
      <c r="AD84" s="804">
        <f t="shared" si="46"/>
        <v>0.22165158371040722</v>
      </c>
      <c r="AE84" s="804">
        <f t="shared" si="46"/>
        <v>0.20565610859728506</v>
      </c>
      <c r="AF84" s="804">
        <f t="shared" si="46"/>
        <v>0.15995475113122171</v>
      </c>
      <c r="AG84" s="804">
        <f t="shared" si="46"/>
        <v>0.10282805429864253</v>
      </c>
      <c r="AH84" s="804">
        <f t="shared" si="46"/>
        <v>3.4276018099547508E-2</v>
      </c>
      <c r="AI84" s="804">
        <f t="shared" si="46"/>
        <v>1.1425339366515838E-2</v>
      </c>
      <c r="AJ84" s="804">
        <f t="shared" si="46"/>
        <v>0</v>
      </c>
      <c r="AK84" s="705">
        <f t="shared" si="27"/>
        <v>24</v>
      </c>
      <c r="AP84"/>
      <c r="AQ84" s="765" t="s">
        <v>1504</v>
      </c>
      <c r="AR84" t="s">
        <v>1379</v>
      </c>
      <c r="AS84" s="722" t="s">
        <v>1380</v>
      </c>
      <c r="AT84" s="705" t="s">
        <v>647</v>
      </c>
      <c r="AU84" s="705" t="s">
        <v>662</v>
      </c>
      <c r="AV84" s="314" t="s">
        <v>734</v>
      </c>
      <c r="AW84" s="314"/>
      <c r="AZ84" s="705" t="s">
        <v>1520</v>
      </c>
      <c r="BB84" s="705" t="str">
        <f t="shared" si="24"/>
        <v>CEL</v>
      </c>
      <c r="BC84" s="705" t="str">
        <f t="shared" si="25"/>
        <v>Commercial - Lighting - Electricity - HID - Existing</v>
      </c>
      <c r="BD84" s="705" t="s">
        <v>647</v>
      </c>
      <c r="BF84" s="314" t="s">
        <v>1503</v>
      </c>
    </row>
    <row r="85" spans="1:58">
      <c r="A85" s="722" t="str">
        <f>A$46&amp;" - "&amp;VLOOKUP(RIGHT(C85,3),NameConv!$E$3:$F$16,2,FALSE)&amp;" - INC - Existing"</f>
        <v>Commercial - Lighting - Electricity - INC - Existing</v>
      </c>
      <c r="B85" s="722" t="str">
        <f>D85&amp;RIGHT(C85,3)&amp;"INC-E"</f>
        <v>CELELCINC-E</v>
      </c>
      <c r="C85" s="723" t="str">
        <f t="shared" si="40"/>
        <v>COMELC</v>
      </c>
      <c r="D85" s="723" t="str">
        <f t="shared" si="41"/>
        <v>CEL</v>
      </c>
      <c r="E85" s="347">
        <f>Appliances!J72</f>
        <v>1</v>
      </c>
      <c r="F85" s="566">
        <f ca="1">SUMIF(AFA!$B$3:$S$3,D85,AFA!$B$4:$J$4)</f>
        <v>0.55200000000000005</v>
      </c>
      <c r="G85" s="348">
        <v>2</v>
      </c>
      <c r="H85" s="349">
        <f t="shared" ca="1" si="42"/>
        <v>3.1145127258348726</v>
      </c>
      <c r="I85" s="780">
        <f>0.267295894824741*Deflator!AD7</f>
        <v>0.37569687335386637</v>
      </c>
      <c r="J85" s="349">
        <f t="shared" si="26"/>
        <v>3.756968733538664E-2</v>
      </c>
      <c r="K85" s="705">
        <v>0</v>
      </c>
      <c r="L85" s="350">
        <f>Appliances!F72</f>
        <v>7.0000000000000007E-2</v>
      </c>
      <c r="M85" s="349">
        <f t="shared" si="48"/>
        <v>1.7192110246608499</v>
      </c>
      <c r="N85" s="349">
        <f t="shared" si="47"/>
        <v>1.7192110246608499</v>
      </c>
      <c r="P85" s="696"/>
      <c r="Q85" s="694"/>
      <c r="R85" s="694">
        <f t="shared" si="43"/>
        <v>1.5538461538461537E-2</v>
      </c>
      <c r="S85" s="694">
        <f>R85</f>
        <v>1.5538461538461537E-2</v>
      </c>
      <c r="T85" s="694">
        <f t="shared" si="44"/>
        <v>0.11553846153846155</v>
      </c>
      <c r="U85" s="694">
        <f t="shared" si="44"/>
        <v>0.31553846153846155</v>
      </c>
      <c r="V85" s="694">
        <f t="shared" si="44"/>
        <v>0.56553846153846155</v>
      </c>
      <c r="W85" s="694">
        <f t="shared" si="44"/>
        <v>0.86553846153846148</v>
      </c>
      <c r="X85" s="694">
        <f t="shared" si="44"/>
        <v>0.96553846153846146</v>
      </c>
      <c r="Y85" s="694">
        <f t="shared" si="44"/>
        <v>1</v>
      </c>
      <c r="AA85" s="696"/>
      <c r="AB85" s="694"/>
      <c r="AC85" s="694">
        <f t="shared" si="45"/>
        <v>1.5233785822021114E-2</v>
      </c>
      <c r="AD85" s="804">
        <f t="shared" si="46"/>
        <v>1.477677224736048E-2</v>
      </c>
      <c r="AE85" s="804">
        <f t="shared" si="46"/>
        <v>1.3710407239819002E-2</v>
      </c>
      <c r="AF85" s="804">
        <f t="shared" si="46"/>
        <v>1.0663650075414779E-2</v>
      </c>
      <c r="AG85" s="804">
        <f t="shared" si="46"/>
        <v>6.8552036199095012E-3</v>
      </c>
      <c r="AH85" s="804">
        <f t="shared" si="46"/>
        <v>2.2850678733031672E-3</v>
      </c>
      <c r="AI85" s="804">
        <f t="shared" si="46"/>
        <v>7.6168929110105577E-4</v>
      </c>
      <c r="AJ85" s="804">
        <f t="shared" si="46"/>
        <v>0</v>
      </c>
      <c r="AK85" s="705">
        <f t="shared" si="27"/>
        <v>25</v>
      </c>
      <c r="AQ85" s="765" t="s">
        <v>1504</v>
      </c>
      <c r="AR85" t="s">
        <v>1381</v>
      </c>
      <c r="AS85" s="722" t="s">
        <v>1382</v>
      </c>
      <c r="AT85" s="705" t="s">
        <v>647</v>
      </c>
      <c r="AU85" s="705" t="s">
        <v>662</v>
      </c>
      <c r="AV85" s="314" t="s">
        <v>734</v>
      </c>
      <c r="AW85" s="314"/>
      <c r="AZ85" s="705" t="s">
        <v>1520</v>
      </c>
      <c r="BB85" s="705" t="str">
        <f t="shared" si="24"/>
        <v>CEL</v>
      </c>
      <c r="BC85" s="705" t="str">
        <f t="shared" si="25"/>
        <v>Commercial - Lighting - Electricity - INC - Existing</v>
      </c>
      <c r="BD85" s="705" t="s">
        <v>647</v>
      </c>
      <c r="BF85" s="314" t="s">
        <v>1503</v>
      </c>
    </row>
    <row r="86" spans="1:58">
      <c r="A86" s="722" t="str">
        <f>A$46&amp;" - "&amp;VLOOKUP(RIGHT(C86,3),NameConv!$E$3:$F$16,2,FALSE)&amp;" - LED - New"</f>
        <v>Commercial - Lighting - Electricity - LED - New</v>
      </c>
      <c r="B86" s="722" t="str">
        <f>D86&amp;RIGHT(C86,3)&amp;"LED-N"</f>
        <v>CELELCLED-N</v>
      </c>
      <c r="C86" s="723" t="str">
        <f t="shared" si="40"/>
        <v>COMELC</v>
      </c>
      <c r="D86" s="723" t="str">
        <f t="shared" si="41"/>
        <v>CEL</v>
      </c>
      <c r="E86" s="347">
        <v>9.8000000000000007</v>
      </c>
      <c r="F86" s="566">
        <f ca="1">SUMIF(AFA!$B$3:$S$3,D86,AFA!$B$4:$J$4)</f>
        <v>0.55200000000000005</v>
      </c>
      <c r="G86" s="348">
        <v>10</v>
      </c>
      <c r="H86" s="349"/>
      <c r="I86" s="780">
        <f>4.92588149034165*Deflator!AD7</f>
        <v>6.9235566660926731</v>
      </c>
      <c r="J86" s="349">
        <f t="shared" si="26"/>
        <v>0.6923556666092674</v>
      </c>
      <c r="K86" s="705">
        <v>0</v>
      </c>
      <c r="L86" s="350">
        <v>0</v>
      </c>
      <c r="M86" s="349">
        <f t="shared" si="48"/>
        <v>0</v>
      </c>
      <c r="N86" s="349">
        <f t="shared" si="47"/>
        <v>0</v>
      </c>
      <c r="P86" s="696"/>
      <c r="Q86" s="694"/>
      <c r="R86" s="694">
        <f t="shared" si="43"/>
        <v>0</v>
      </c>
      <c r="S86" s="694">
        <f>R86</f>
        <v>0</v>
      </c>
      <c r="T86" s="694">
        <f t="shared" si="44"/>
        <v>0.1</v>
      </c>
      <c r="U86" s="694">
        <f t="shared" si="44"/>
        <v>0.3</v>
      </c>
      <c r="V86" s="694">
        <f t="shared" si="44"/>
        <v>0.55000000000000004</v>
      </c>
      <c r="W86" s="694">
        <f t="shared" si="44"/>
        <v>0.85</v>
      </c>
      <c r="X86" s="694">
        <f t="shared" si="44"/>
        <v>0.95</v>
      </c>
      <c r="Y86" s="694">
        <f t="shared" si="44"/>
        <v>1</v>
      </c>
      <c r="AA86" s="696"/>
      <c r="AB86" s="694"/>
      <c r="AC86" s="694">
        <f t="shared" si="45"/>
        <v>0</v>
      </c>
      <c r="AD86" s="804">
        <f t="shared" si="46"/>
        <v>0</v>
      </c>
      <c r="AE86" s="804">
        <f t="shared" si="46"/>
        <v>0</v>
      </c>
      <c r="AF86" s="804">
        <f t="shared" si="46"/>
        <v>0</v>
      </c>
      <c r="AG86" s="804">
        <f t="shared" si="46"/>
        <v>0</v>
      </c>
      <c r="AH86" s="804">
        <f t="shared" si="46"/>
        <v>0</v>
      </c>
      <c r="AI86" s="804">
        <f t="shared" si="46"/>
        <v>0</v>
      </c>
      <c r="AJ86" s="804">
        <f t="shared" si="46"/>
        <v>0</v>
      </c>
      <c r="AK86" s="705">
        <f t="shared" si="27"/>
        <v>26</v>
      </c>
      <c r="AP86"/>
      <c r="AQ86" s="765" t="s">
        <v>1504</v>
      </c>
      <c r="AR86" t="s">
        <v>1383</v>
      </c>
      <c r="AS86" s="722" t="s">
        <v>1384</v>
      </c>
      <c r="AT86" s="705" t="s">
        <v>647</v>
      </c>
      <c r="AU86" s="705" t="s">
        <v>662</v>
      </c>
      <c r="AV86" s="314" t="s">
        <v>734</v>
      </c>
      <c r="AW86" s="314"/>
      <c r="AZ86" s="705" t="s">
        <v>1520</v>
      </c>
      <c r="BB86" s="705" t="str">
        <f t="shared" si="24"/>
        <v>CEL</v>
      </c>
      <c r="BC86" s="705" t="str">
        <f t="shared" si="25"/>
        <v>Commercial - Lighting - Electricity - LED - New</v>
      </c>
      <c r="BD86" s="705" t="s">
        <v>647</v>
      </c>
      <c r="BF86" s="314" t="s">
        <v>1503</v>
      </c>
    </row>
    <row r="87" spans="1:58">
      <c r="A87" s="742" t="s">
        <v>1538</v>
      </c>
      <c r="F87" s="566"/>
      <c r="H87" s="349"/>
      <c r="I87" s="349"/>
      <c r="J87" s="349"/>
      <c r="L87" s="733">
        <f>SUM(L81:L85)</f>
        <v>1</v>
      </c>
      <c r="M87" s="356">
        <f>SUM(M81:M85)</f>
        <v>24.560157495154996</v>
      </c>
      <c r="N87" s="356">
        <f>SUM(N81:N85)</f>
        <v>111.74871660295524</v>
      </c>
      <c r="R87" s="733">
        <f>SUM(R81:R86)</f>
        <v>1.01</v>
      </c>
      <c r="S87" s="694">
        <f t="shared" ref="S87:Y87" si="49">MIN(1,$R87+S$52)</f>
        <v>1</v>
      </c>
      <c r="T87" s="694">
        <f t="shared" si="49"/>
        <v>1</v>
      </c>
      <c r="U87" s="694">
        <f t="shared" si="49"/>
        <v>1</v>
      </c>
      <c r="V87" s="694">
        <f t="shared" si="49"/>
        <v>1</v>
      </c>
      <c r="W87" s="694">
        <f t="shared" si="49"/>
        <v>1</v>
      </c>
      <c r="X87" s="694">
        <f t="shared" si="49"/>
        <v>1</v>
      </c>
      <c r="Y87" s="694">
        <f t="shared" si="49"/>
        <v>1</v>
      </c>
      <c r="AC87" s="694">
        <f t="shared" si="45"/>
        <v>0.99019607843137258</v>
      </c>
      <c r="AD87" s="694">
        <f>$AC87*AD$52</f>
        <v>0.96049019607843134</v>
      </c>
      <c r="AE87" s="694">
        <f t="shared" ref="AE86:AI87" si="50">$AC87*AE$52</f>
        <v>0.89117647058823535</v>
      </c>
      <c r="AF87" s="694">
        <f t="shared" si="50"/>
        <v>0.69313725490196076</v>
      </c>
      <c r="AG87" s="694">
        <f t="shared" si="50"/>
        <v>0.44558823529411767</v>
      </c>
      <c r="AH87" s="694">
        <f t="shared" si="50"/>
        <v>0.14852941176470588</v>
      </c>
      <c r="AI87" s="694">
        <f t="shared" si="50"/>
        <v>4.9509803921568632E-2</v>
      </c>
      <c r="AK87" s="705">
        <f t="shared" si="27"/>
        <v>27</v>
      </c>
      <c r="AL87" s="705" t="str">
        <f>LEFT(B86,3)</f>
        <v>CEL</v>
      </c>
      <c r="AP87"/>
      <c r="AQ87" s="765" t="s">
        <v>709</v>
      </c>
      <c r="AR87"/>
      <c r="AV87" s="314"/>
      <c r="AW87" s="314"/>
      <c r="AZ87" s="705" t="s">
        <v>709</v>
      </c>
      <c r="BF87" s="314"/>
    </row>
    <row r="88" spans="1:58">
      <c r="A88" s="722" t="s">
        <v>1543</v>
      </c>
      <c r="B88" s="722"/>
      <c r="C88" s="743"/>
      <c r="D88" s="743"/>
      <c r="E88" s="738"/>
      <c r="F88" s="566"/>
      <c r="G88" s="738"/>
      <c r="H88" s="349"/>
      <c r="I88" s="349"/>
      <c r="J88" s="349"/>
      <c r="K88" s="698"/>
      <c r="L88" s="745"/>
      <c r="M88" s="745"/>
      <c r="AK88" s="705">
        <f t="shared" si="27"/>
        <v>28</v>
      </c>
      <c r="AP88"/>
      <c r="AQ88" s="765" t="s">
        <v>709</v>
      </c>
      <c r="AR88"/>
      <c r="AS88" s="722"/>
      <c r="AV88" s="314"/>
      <c r="AW88" s="314"/>
      <c r="AZ88" s="705" t="s">
        <v>709</v>
      </c>
      <c r="BF88" s="314"/>
    </row>
    <row r="89" spans="1:5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6"/>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51">MIN(1,$R89+S$52)</f>
        <v>1</v>
      </c>
      <c r="T89" s="786">
        <f>MIN(1,$R89+T$53)</f>
        <v>1</v>
      </c>
      <c r="U89" s="786">
        <f t="shared" ref="U89:Y90" si="52">MIN(1,$R89+U$53)</f>
        <v>1</v>
      </c>
      <c r="V89" s="786">
        <f t="shared" si="52"/>
        <v>1</v>
      </c>
      <c r="W89" s="786">
        <f t="shared" si="52"/>
        <v>1</v>
      </c>
      <c r="X89" s="786">
        <f t="shared" si="52"/>
        <v>1</v>
      </c>
      <c r="Y89" s="786">
        <f t="shared" si="52"/>
        <v>1</v>
      </c>
      <c r="AA89" s="696"/>
      <c r="AB89" s="694"/>
      <c r="AC89" s="694">
        <f>R89/(1+$P$55+$AA$55)</f>
        <v>0.98039215686274506</v>
      </c>
      <c r="AD89" s="804">
        <f t="shared" ref="AD89:AJ90" si="53">$AC89*AD$52</f>
        <v>0.9509803921568627</v>
      </c>
      <c r="AE89" s="804">
        <f t="shared" si="53"/>
        <v>0.88235294117647056</v>
      </c>
      <c r="AF89" s="804">
        <f t="shared" si="53"/>
        <v>0.68627450980392146</v>
      </c>
      <c r="AG89" s="804">
        <f t="shared" si="53"/>
        <v>0.44117647058823528</v>
      </c>
      <c r="AH89" s="804">
        <f t="shared" si="53"/>
        <v>0.14705882352941174</v>
      </c>
      <c r="AI89" s="804">
        <f t="shared" si="53"/>
        <v>4.9019607843137254E-2</v>
      </c>
      <c r="AJ89" s="804">
        <f t="shared" si="53"/>
        <v>0</v>
      </c>
      <c r="AK89" s="705">
        <f t="shared" si="27"/>
        <v>29</v>
      </c>
      <c r="AP89"/>
      <c r="AQ89" s="765" t="s">
        <v>1504</v>
      </c>
      <c r="AR89" t="s">
        <v>1385</v>
      </c>
      <c r="AS89" s="722" t="s">
        <v>1386</v>
      </c>
      <c r="AT89" s="705" t="s">
        <v>647</v>
      </c>
      <c r="AU89" s="705" t="s">
        <v>662</v>
      </c>
      <c r="AV89" s="314" t="s">
        <v>734</v>
      </c>
      <c r="AW89" s="314"/>
      <c r="AZ89" s="705" t="s">
        <v>1520</v>
      </c>
      <c r="BB89" s="705" t="str">
        <f t="shared" si="24"/>
        <v>CER</v>
      </c>
      <c r="BC89" s="705" t="str">
        <f t="shared" si="25"/>
        <v>Commercial - Refrigeration - Electricity - Existing</v>
      </c>
      <c r="BD89" s="705" t="s">
        <v>647</v>
      </c>
      <c r="BF89" s="314" t="s">
        <v>1503</v>
      </c>
    </row>
    <row r="90" spans="1:5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6"/>
        <v>179.96770713155252</v>
      </c>
      <c r="K90" s="705">
        <v>0</v>
      </c>
      <c r="L90" s="350">
        <v>0</v>
      </c>
      <c r="M90" s="349">
        <v>0</v>
      </c>
      <c r="N90" s="349">
        <v>0</v>
      </c>
      <c r="P90" s="696"/>
      <c r="Q90" s="694"/>
      <c r="R90" s="694">
        <f>N90/SUMIF($D$61:$D$121,$D89,$N$61:$N$121)</f>
        <v>0</v>
      </c>
      <c r="S90" s="694">
        <f t="shared" si="51"/>
        <v>0.03</v>
      </c>
      <c r="T90" s="786">
        <f>MIN(1,$R90+T$53)</f>
        <v>0.5</v>
      </c>
      <c r="U90" s="786">
        <f t="shared" si="52"/>
        <v>0.75</v>
      </c>
      <c r="V90" s="786">
        <f t="shared" si="52"/>
        <v>1</v>
      </c>
      <c r="W90" s="786">
        <f t="shared" si="52"/>
        <v>1</v>
      </c>
      <c r="X90" s="786">
        <f t="shared" si="52"/>
        <v>1</v>
      </c>
      <c r="Y90" s="786">
        <f t="shared" si="52"/>
        <v>1</v>
      </c>
      <c r="AA90" s="696"/>
      <c r="AB90" s="694"/>
      <c r="AC90" s="694">
        <f>R90/(1+$P$55+$AA$55)</f>
        <v>0</v>
      </c>
      <c r="AD90" s="804">
        <f t="shared" si="53"/>
        <v>0</v>
      </c>
      <c r="AE90" s="804">
        <f t="shared" si="53"/>
        <v>0</v>
      </c>
      <c r="AF90" s="804">
        <f t="shared" si="53"/>
        <v>0</v>
      </c>
      <c r="AG90" s="804">
        <f t="shared" si="53"/>
        <v>0</v>
      </c>
      <c r="AH90" s="804">
        <f t="shared" si="53"/>
        <v>0</v>
      </c>
      <c r="AI90" s="804">
        <f t="shared" si="53"/>
        <v>0</v>
      </c>
      <c r="AJ90" s="804">
        <f t="shared" si="53"/>
        <v>0</v>
      </c>
      <c r="AK90" s="705">
        <f t="shared" si="27"/>
        <v>30</v>
      </c>
      <c r="AP90"/>
      <c r="AQ90" s="765" t="s">
        <v>1504</v>
      </c>
      <c r="AR90" t="s">
        <v>1387</v>
      </c>
      <c r="AS90" s="722" t="s">
        <v>1388</v>
      </c>
      <c r="AT90" s="705" t="s">
        <v>647</v>
      </c>
      <c r="AU90" s="705" t="s">
        <v>662</v>
      </c>
      <c r="AV90" s="314" t="s">
        <v>734</v>
      </c>
      <c r="AW90" s="314"/>
      <c r="AZ90" s="705" t="s">
        <v>1520</v>
      </c>
      <c r="BB90" s="705" t="str">
        <f t="shared" si="24"/>
        <v>CER</v>
      </c>
      <c r="BC90" s="705" t="str">
        <f t="shared" si="25"/>
        <v>Commercial - Refrigeration - Electricity - New</v>
      </c>
      <c r="BD90" s="705" t="s">
        <v>647</v>
      </c>
      <c r="BF90" s="314" t="s">
        <v>1503</v>
      </c>
    </row>
    <row r="91" spans="1:58">
      <c r="A91" s="742" t="s">
        <v>1538</v>
      </c>
      <c r="F91" s="566"/>
      <c r="H91" s="349"/>
      <c r="I91" s="349"/>
      <c r="J91" s="349"/>
      <c r="L91" s="733">
        <f>SUM(L89)</f>
        <v>1</v>
      </c>
      <c r="M91" s="356">
        <f>SUM(M89)</f>
        <v>27.184456041138358</v>
      </c>
      <c r="N91" s="356">
        <f>SUM(N89)</f>
        <v>27.184456041138358</v>
      </c>
      <c r="AK91" s="705">
        <f t="shared" si="27"/>
        <v>31</v>
      </c>
      <c r="AL91" s="705" t="str">
        <f>LEFT(B90,3)</f>
        <v>CER</v>
      </c>
      <c r="AP91"/>
      <c r="AQ91" s="765" t="s">
        <v>709</v>
      </c>
      <c r="AR91"/>
      <c r="AV91" s="314"/>
      <c r="AW91" s="314"/>
      <c r="AZ91" s="705" t="s">
        <v>709</v>
      </c>
      <c r="BF91" s="314"/>
    </row>
    <row r="92" spans="1:58">
      <c r="A92" s="722" t="s">
        <v>1544</v>
      </c>
      <c r="B92" s="722"/>
      <c r="C92" s="743"/>
      <c r="D92" s="743"/>
      <c r="E92" s="738"/>
      <c r="F92" s="566"/>
      <c r="G92" s="738"/>
      <c r="H92" s="349"/>
      <c r="I92" s="349"/>
      <c r="J92" s="349"/>
      <c r="K92" s="698"/>
      <c r="L92" s="745"/>
      <c r="M92" s="745"/>
      <c r="AK92" s="705">
        <f t="shared" si="27"/>
        <v>32</v>
      </c>
      <c r="AP92"/>
      <c r="AQ92" s="765" t="s">
        <v>709</v>
      </c>
      <c r="AR92"/>
      <c r="AS92" s="722"/>
      <c r="AV92" s="314"/>
      <c r="AW92" s="314"/>
      <c r="AZ92" s="705" t="s">
        <v>709</v>
      </c>
      <c r="BF92" s="314"/>
    </row>
    <row r="93" spans="1:5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6"/>
        <v>3.1581453839889382</v>
      </c>
      <c r="K93" s="705">
        <v>0</v>
      </c>
      <c r="L93" s="350">
        <f>Appliances!F22</f>
        <v>1</v>
      </c>
      <c r="M93" s="349">
        <f>L93*SUMIF($C$6:$J$6,C93,$C$48:$J$48)</f>
        <v>1.1882423368329196</v>
      </c>
      <c r="N93" s="349">
        <f>M93*E93</f>
        <v>1.1882423368329196</v>
      </c>
      <c r="O93" s="696"/>
      <c r="Q93" s="694"/>
      <c r="R93" s="694">
        <f t="shared" ref="R93:R99" si="54">N93/SUMIF($D$61:$D$121,$D93,$N$61:$N$121)*(1+$P$55)</f>
        <v>8.3387548786513319E-2</v>
      </c>
      <c r="S93" s="694">
        <f t="shared" ref="S93:Y93" si="55">MIN(1,$R93+S$52)</f>
        <v>0.11338754878651332</v>
      </c>
      <c r="T93" s="694">
        <f t="shared" si="55"/>
        <v>0.18338754878651331</v>
      </c>
      <c r="U93" s="694">
        <f t="shared" si="55"/>
        <v>0.38338754878651332</v>
      </c>
      <c r="V93" s="694">
        <f t="shared" si="55"/>
        <v>0.63338754878651338</v>
      </c>
      <c r="W93" s="694">
        <f t="shared" si="55"/>
        <v>0.93338754878651331</v>
      </c>
      <c r="X93" s="694">
        <f t="shared" si="55"/>
        <v>1</v>
      </c>
      <c r="Y93" s="694">
        <f t="shared" si="55"/>
        <v>1</v>
      </c>
      <c r="AA93" s="696"/>
      <c r="AB93" s="694"/>
      <c r="AC93" s="694">
        <f t="shared" ref="AC93:AC99" si="56">R93/(1+$P$55+$AA$55)</f>
        <v>8.1752498810307175E-2</v>
      </c>
      <c r="AD93" s="804">
        <f t="shared" ref="AD93:AJ99" si="57">$AC93*AD$52</f>
        <v>7.9299923845997961E-2</v>
      </c>
      <c r="AE93" s="804">
        <f t="shared" si="57"/>
        <v>7.3577248929276459E-2</v>
      </c>
      <c r="AF93" s="804">
        <f t="shared" si="57"/>
        <v>5.722674916721502E-2</v>
      </c>
      <c r="AG93" s="804">
        <f t="shared" si="57"/>
        <v>3.678862446463823E-2</v>
      </c>
      <c r="AH93" s="804">
        <f t="shared" si="57"/>
        <v>1.2262874821546076E-2</v>
      </c>
      <c r="AI93" s="804">
        <f t="shared" si="57"/>
        <v>4.0876249405153589E-3</v>
      </c>
      <c r="AJ93" s="804">
        <f t="shared" si="57"/>
        <v>0</v>
      </c>
      <c r="AK93" s="705">
        <f t="shared" si="27"/>
        <v>33</v>
      </c>
      <c r="AQ93" s="765" t="s">
        <v>1504</v>
      </c>
      <c r="AR93" t="s">
        <v>1313</v>
      </c>
      <c r="AS93" s="722" t="s">
        <v>1314</v>
      </c>
      <c r="AT93" s="705" t="s">
        <v>647</v>
      </c>
      <c r="AU93" s="705" t="s">
        <v>662</v>
      </c>
      <c r="AV93" s="314" t="s">
        <v>734</v>
      </c>
      <c r="AW93" s="314"/>
      <c r="AZ93" s="705" t="s">
        <v>1520</v>
      </c>
      <c r="BB93" s="705" t="str">
        <f t="shared" si="24"/>
        <v>CEW</v>
      </c>
      <c r="BC93" s="705" t="str">
        <f t="shared" si="25"/>
        <v>Commercial - Water Heating - Electricity - Existing</v>
      </c>
      <c r="BD93" s="705" t="s">
        <v>647</v>
      </c>
      <c r="BF93" s="314" t="s">
        <v>1503</v>
      </c>
    </row>
    <row r="94" spans="1:5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58">(N94/F94)*(1+$H$55)</f>
        <v>8.5143522454530913</v>
      </c>
      <c r="I94" s="349">
        <f>SUMIF('Technology costs'!$B$7:$B$28,COM_2017!B94,'Technology costs'!$L$7:$L$28)</f>
        <v>211.94584531928834</v>
      </c>
      <c r="J94" s="349">
        <f t="shared" si="26"/>
        <v>21.194584531928836</v>
      </c>
      <c r="K94" s="705">
        <v>0</v>
      </c>
      <c r="L94" s="350">
        <f>Appliances!F25</f>
        <v>1</v>
      </c>
      <c r="M94" s="349">
        <f>L94*SUMIF($C$6:$J$6,C94,$C$48:$J$48)</f>
        <v>12.648070260620566</v>
      </c>
      <c r="N94" s="349">
        <f>M94*E94</f>
        <v>7.5888421563723405</v>
      </c>
      <c r="O94" s="696"/>
      <c r="Q94" s="699"/>
      <c r="R94" s="694">
        <f t="shared" si="54"/>
        <v>0.53256387685555806</v>
      </c>
      <c r="S94" s="694">
        <f t="shared" ref="S94:Y99" si="59">MIN(1,$R94+S$52)</f>
        <v>0.56256387685555809</v>
      </c>
      <c r="T94" s="694">
        <f t="shared" si="59"/>
        <v>0.63256387685555804</v>
      </c>
      <c r="U94" s="694">
        <f t="shared" si="59"/>
        <v>0.8325638768555581</v>
      </c>
      <c r="V94" s="694">
        <f t="shared" si="59"/>
        <v>1</v>
      </c>
      <c r="W94" s="694">
        <f t="shared" si="59"/>
        <v>1</v>
      </c>
      <c r="X94" s="694">
        <f t="shared" si="59"/>
        <v>1</v>
      </c>
      <c r="Y94" s="694">
        <f t="shared" si="59"/>
        <v>1</v>
      </c>
      <c r="AA94" s="696"/>
      <c r="AB94" s="694"/>
      <c r="AC94" s="694">
        <f t="shared" si="56"/>
        <v>0.52212144789760595</v>
      </c>
      <c r="AD94" s="804">
        <f t="shared" si="57"/>
        <v>0.50645780446067779</v>
      </c>
      <c r="AE94" s="804">
        <f t="shared" si="57"/>
        <v>0.46990930310784534</v>
      </c>
      <c r="AF94" s="804">
        <f t="shared" si="57"/>
        <v>0.36548501352832413</v>
      </c>
      <c r="AG94" s="804">
        <f t="shared" si="57"/>
        <v>0.23495465155392267</v>
      </c>
      <c r="AH94" s="804">
        <f t="shared" si="57"/>
        <v>7.8318217184640895E-2</v>
      </c>
      <c r="AI94" s="804">
        <f t="shared" si="57"/>
        <v>2.61060723948803E-2</v>
      </c>
      <c r="AJ94" s="804">
        <f t="shared" si="57"/>
        <v>0</v>
      </c>
      <c r="AK94" s="705">
        <f t="shared" si="27"/>
        <v>34</v>
      </c>
      <c r="AP94"/>
      <c r="AQ94" s="765" t="s">
        <v>1504</v>
      </c>
      <c r="AR94" t="s">
        <v>1315</v>
      </c>
      <c r="AS94" s="722" t="s">
        <v>1316</v>
      </c>
      <c r="AT94" s="705" t="s">
        <v>647</v>
      </c>
      <c r="AU94" s="705" t="s">
        <v>662</v>
      </c>
      <c r="AV94" s="314" t="s">
        <v>734</v>
      </c>
      <c r="AW94" s="314"/>
      <c r="AZ94" s="705" t="s">
        <v>1520</v>
      </c>
      <c r="BB94" s="705" t="str">
        <f t="shared" si="24"/>
        <v>CEW</v>
      </c>
      <c r="BC94" s="705" t="str">
        <f t="shared" si="25"/>
        <v>Commercial - Water Heating - Coal - Existing</v>
      </c>
      <c r="BD94" s="705" t="s">
        <v>647</v>
      </c>
      <c r="BF94" s="314" t="s">
        <v>734</v>
      </c>
    </row>
    <row r="95" spans="1:5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58"/>
        <v>1.4745733858550749</v>
      </c>
      <c r="I95" s="349">
        <f>SUMIF('Technology costs'!$B$7:$B$28,COM_2017!B95,'Technology costs'!$L$7:$L$28)</f>
        <v>24.826371391503535</v>
      </c>
      <c r="J95" s="349">
        <f t="shared" si="26"/>
        <v>2.4826371391503539</v>
      </c>
      <c r="K95" s="705">
        <v>0</v>
      </c>
      <c r="L95" s="350">
        <f>Appliances!F23</f>
        <v>1</v>
      </c>
      <c r="M95" s="349">
        <f>L95*SUMIF($C$6:$J$6,C95,$C$48:$J$48)</f>
        <v>1.932775380606806</v>
      </c>
      <c r="N95" s="349">
        <f>M95*E95</f>
        <v>1.3142872588126282</v>
      </c>
      <c r="O95" s="696"/>
      <c r="Q95" s="694"/>
      <c r="R95" s="694">
        <f t="shared" si="54"/>
        <v>9.2233031526077688E-2</v>
      </c>
      <c r="S95" s="694">
        <f t="shared" si="59"/>
        <v>0.12223303152607769</v>
      </c>
      <c r="T95" s="694">
        <f t="shared" si="59"/>
        <v>0.19223303152607768</v>
      </c>
      <c r="U95" s="694">
        <f t="shared" si="59"/>
        <v>0.39223303152607769</v>
      </c>
      <c r="V95" s="694">
        <f t="shared" si="59"/>
        <v>0.64223303152607769</v>
      </c>
      <c r="W95" s="694">
        <f t="shared" si="59"/>
        <v>0.94223303152607762</v>
      </c>
      <c r="X95" s="694">
        <f t="shared" si="59"/>
        <v>1</v>
      </c>
      <c r="Y95" s="694">
        <f t="shared" si="59"/>
        <v>1</v>
      </c>
      <c r="AA95" s="696"/>
      <c r="AB95" s="694"/>
      <c r="AC95" s="694">
        <f t="shared" si="56"/>
        <v>9.0424540711840876E-2</v>
      </c>
      <c r="AD95" s="804">
        <f t="shared" si="57"/>
        <v>8.7711804490485643E-2</v>
      </c>
      <c r="AE95" s="804">
        <f t="shared" si="57"/>
        <v>8.1382086640656784E-2</v>
      </c>
      <c r="AF95" s="804">
        <f t="shared" si="57"/>
        <v>6.3297178498288614E-2</v>
      </c>
      <c r="AG95" s="804">
        <f t="shared" si="57"/>
        <v>4.0691043320328392E-2</v>
      </c>
      <c r="AH95" s="804">
        <f t="shared" si="57"/>
        <v>1.3563681106776131E-2</v>
      </c>
      <c r="AI95" s="804">
        <f t="shared" si="57"/>
        <v>4.5212270355920441E-3</v>
      </c>
      <c r="AJ95" s="804">
        <f t="shared" si="57"/>
        <v>0</v>
      </c>
      <c r="AK95" s="705">
        <f t="shared" si="27"/>
        <v>35</v>
      </c>
      <c r="AP95"/>
      <c r="AQ95" s="765" t="s">
        <v>1504</v>
      </c>
      <c r="AR95" t="s">
        <v>1317</v>
      </c>
      <c r="AS95" s="722" t="s">
        <v>1318</v>
      </c>
      <c r="AT95" s="705" t="s">
        <v>647</v>
      </c>
      <c r="AU95" s="705" t="s">
        <v>662</v>
      </c>
      <c r="AV95" s="314" t="s">
        <v>734</v>
      </c>
      <c r="AW95" s="314"/>
      <c r="AZ95" s="705" t="s">
        <v>1520</v>
      </c>
      <c r="BB95" s="705" t="str">
        <f t="shared" si="24"/>
        <v>CEW</v>
      </c>
      <c r="BC95" s="705" t="str">
        <f t="shared" si="25"/>
        <v>Commercial - Water Heating - Oil LPG - Existing</v>
      </c>
      <c r="BD95" s="705" t="s">
        <v>647</v>
      </c>
      <c r="BF95" s="314" t="s">
        <v>734</v>
      </c>
    </row>
    <row r="96" spans="1:58">
      <c r="A96" s="722" t="str">
        <f>A$48&amp;" - "&amp;VLOOKUP(RIGHT(C96,3),NameConv!$E$3:$F$16,2,FALSE)&amp;" - Existing"</f>
        <v>Commercial - Water Heating - Gas - Existing</v>
      </c>
      <c r="B96" s="722" t="str">
        <f t="shared" ref="B96:B97" si="60">D96&amp;RIGHT(C96,3)&amp;"-E"</f>
        <v>CEWGAS-E</v>
      </c>
      <c r="C96" s="723" t="str">
        <f>$F$6</f>
        <v>COMGAS</v>
      </c>
      <c r="D96" s="723" t="str">
        <f t="shared" ref="D96:D97" si="61">$B$48</f>
        <v>CEW</v>
      </c>
      <c r="E96" s="347">
        <f>Appliances!J27</f>
        <v>0.69</v>
      </c>
      <c r="F96" s="566">
        <f ca="1">SUMIF(AFA!$B$3:$S$3,D96,AFA!$B$4:$J$4)</f>
        <v>0.89129999999999998</v>
      </c>
      <c r="G96" s="348">
        <v>12</v>
      </c>
      <c r="H96" s="349">
        <f t="shared" ca="1" si="58"/>
        <v>0.67851683800789475</v>
      </c>
      <c r="I96" s="488">
        <f>I95</f>
        <v>24.826371391503535</v>
      </c>
      <c r="J96" s="349">
        <f t="shared" si="26"/>
        <v>2.4826371391503539</v>
      </c>
      <c r="K96" s="705">
        <v>0</v>
      </c>
      <c r="L96" s="350">
        <f>Appliances!F27</f>
        <v>1</v>
      </c>
      <c r="M96" s="349">
        <f>L96*SUMIF($C$6:$J$6,C96,$C$48:$J$48)</f>
        <v>0.87646675031367627</v>
      </c>
      <c r="N96" s="349">
        <f>M96*E96</f>
        <v>0.60476205771643654</v>
      </c>
      <c r="O96" s="696"/>
      <c r="Q96" s="694"/>
      <c r="R96" s="694">
        <f t="shared" si="54"/>
        <v>4.2440522466548433E-2</v>
      </c>
      <c r="S96" s="694">
        <f t="shared" si="59"/>
        <v>7.2440522466548432E-2</v>
      </c>
      <c r="T96" s="694">
        <f t="shared" si="59"/>
        <v>0.14244052246654842</v>
      </c>
      <c r="U96" s="694">
        <f t="shared" si="59"/>
        <v>0.34244052246654844</v>
      </c>
      <c r="V96" s="694">
        <f t="shared" si="59"/>
        <v>0.59244052246654844</v>
      </c>
      <c r="W96" s="694">
        <f t="shared" si="59"/>
        <v>0.89244052246654837</v>
      </c>
      <c r="X96" s="694">
        <f t="shared" si="59"/>
        <v>0.99244052246654835</v>
      </c>
      <c r="Y96" s="694">
        <f t="shared" si="59"/>
        <v>1</v>
      </c>
      <c r="AA96" s="696"/>
      <c r="AB96" s="694"/>
      <c r="AC96" s="694">
        <f t="shared" si="56"/>
        <v>4.1608355359361207E-2</v>
      </c>
      <c r="AD96" s="804">
        <f t="shared" si="57"/>
        <v>4.0360104698580368E-2</v>
      </c>
      <c r="AE96" s="804">
        <f t="shared" si="57"/>
        <v>3.7447519823425091E-2</v>
      </c>
      <c r="AF96" s="804">
        <f t="shared" si="57"/>
        <v>2.9125848751552844E-2</v>
      </c>
      <c r="AG96" s="804">
        <f t="shared" si="57"/>
        <v>1.8723759911712545E-2</v>
      </c>
      <c r="AH96" s="804">
        <f t="shared" si="57"/>
        <v>6.2412533039041809E-3</v>
      </c>
      <c r="AI96" s="804">
        <f t="shared" si="57"/>
        <v>2.0804177679680604E-3</v>
      </c>
      <c r="AJ96" s="804">
        <f t="shared" si="57"/>
        <v>0</v>
      </c>
      <c r="AK96" s="705">
        <f t="shared" si="27"/>
        <v>36</v>
      </c>
      <c r="AP96"/>
      <c r="AQ96" s="765" t="s">
        <v>1504</v>
      </c>
      <c r="AR96" t="s">
        <v>1319</v>
      </c>
      <c r="AS96" s="722" t="s">
        <v>1320</v>
      </c>
      <c r="AT96" s="705" t="s">
        <v>647</v>
      </c>
      <c r="AU96" s="705" t="s">
        <v>662</v>
      </c>
      <c r="AV96" s="314" t="s">
        <v>734</v>
      </c>
      <c r="AW96" s="314"/>
      <c r="AZ96" s="705" t="s">
        <v>1520</v>
      </c>
      <c r="BB96" s="705" t="str">
        <f t="shared" si="24"/>
        <v>CEW</v>
      </c>
      <c r="BC96" s="705" t="str">
        <f t="shared" si="25"/>
        <v>Commercial - Water Heating - Gas - Existing</v>
      </c>
      <c r="BD96" s="705" t="s">
        <v>647</v>
      </c>
      <c r="BF96" s="314" t="s">
        <v>734</v>
      </c>
    </row>
    <row r="97" spans="1:58">
      <c r="A97" s="722" t="str">
        <f>A$48&amp;" - "&amp;VLOOKUP(RIGHT(C97,3),NameConv!$E$3:$F$16,2,FALSE)&amp;" - Existing"</f>
        <v>Commercial - Water Heating - Oil Paraffin - Existing</v>
      </c>
      <c r="B97" s="722" t="str">
        <f t="shared" si="60"/>
        <v>CEWOKE-E</v>
      </c>
      <c r="C97" s="723" t="s">
        <v>1101</v>
      </c>
      <c r="D97" s="723" t="str">
        <f t="shared" si="61"/>
        <v>CEW</v>
      </c>
      <c r="E97" s="347">
        <f>Appliances!J28</f>
        <v>0.7</v>
      </c>
      <c r="F97" s="566">
        <f ca="1">SUMIF(AFA!$B$3:$S$3,D97,AFA!$B$4:$J$4)</f>
        <v>0.89129999999999998</v>
      </c>
      <c r="G97" s="348">
        <v>12</v>
      </c>
      <c r="H97" s="349">
        <f t="shared" ca="1" si="58"/>
        <v>4.1467519353752946</v>
      </c>
      <c r="I97" s="488">
        <f>I96</f>
        <v>24.826371391503535</v>
      </c>
      <c r="J97" s="349">
        <f t="shared" si="26"/>
        <v>2.4826371391503539</v>
      </c>
      <c r="K97" s="705">
        <v>0</v>
      </c>
      <c r="L97" s="350">
        <f>Appliances!F28</f>
        <v>1</v>
      </c>
      <c r="M97" s="349">
        <f>L97*SUMIF($C$6:$J$6,C97,$C$48:$J$48)</f>
        <v>5.28</v>
      </c>
      <c r="N97" s="349">
        <f>M97*E97</f>
        <v>3.6959999999999997</v>
      </c>
      <c r="O97" s="696"/>
      <c r="Q97" s="694"/>
      <c r="R97" s="694">
        <f t="shared" si="54"/>
        <v>0.25937502036530252</v>
      </c>
      <c r="S97" s="694">
        <f>R97</f>
        <v>0.25937502036530252</v>
      </c>
      <c r="T97" s="694">
        <f t="shared" si="59"/>
        <v>0.35937502036530256</v>
      </c>
      <c r="U97" s="694">
        <f t="shared" si="59"/>
        <v>0.55937502036530251</v>
      </c>
      <c r="V97" s="694">
        <f t="shared" si="59"/>
        <v>0.80937502036530251</v>
      </c>
      <c r="W97" s="694">
        <f t="shared" si="59"/>
        <v>1</v>
      </c>
      <c r="X97" s="694">
        <f t="shared" si="59"/>
        <v>1</v>
      </c>
      <c r="Y97" s="694">
        <f t="shared" si="59"/>
        <v>1</v>
      </c>
      <c r="AA97" s="696"/>
      <c r="AB97" s="694"/>
      <c r="AC97" s="694">
        <f t="shared" si="56"/>
        <v>0.25428923565225736</v>
      </c>
      <c r="AD97" s="804">
        <f t="shared" si="57"/>
        <v>0.24666055858268962</v>
      </c>
      <c r="AE97" s="804">
        <f t="shared" si="57"/>
        <v>0.22886031208703164</v>
      </c>
      <c r="AF97" s="804">
        <f t="shared" si="57"/>
        <v>0.17800246495658015</v>
      </c>
      <c r="AG97" s="804">
        <f t="shared" si="57"/>
        <v>0.11443015604351582</v>
      </c>
      <c r="AH97" s="804">
        <f t="shared" si="57"/>
        <v>3.81433853478386E-2</v>
      </c>
      <c r="AI97" s="804">
        <f t="shared" si="57"/>
        <v>1.2714461782612868E-2</v>
      </c>
      <c r="AJ97" s="804">
        <f t="shared" si="57"/>
        <v>0</v>
      </c>
      <c r="AK97" s="705">
        <f t="shared" si="27"/>
        <v>37</v>
      </c>
      <c r="AP97"/>
      <c r="AQ97" s="765" t="s">
        <v>1504</v>
      </c>
      <c r="AR97" t="s">
        <v>1321</v>
      </c>
      <c r="AS97" s="722" t="s">
        <v>1322</v>
      </c>
      <c r="AT97" s="705" t="s">
        <v>647</v>
      </c>
      <c r="AU97" s="705" t="s">
        <v>662</v>
      </c>
      <c r="AV97" s="314" t="s">
        <v>734</v>
      </c>
      <c r="AW97" s="314"/>
      <c r="AZ97" s="705" t="s">
        <v>1520</v>
      </c>
      <c r="BB97" s="705" t="str">
        <f t="shared" si="24"/>
        <v>CEW</v>
      </c>
      <c r="BC97" s="705" t="str">
        <f t="shared" si="25"/>
        <v>Commercial - Water Heating - Oil Paraffin - Existing</v>
      </c>
      <c r="BD97" s="705" t="s">
        <v>647</v>
      </c>
      <c r="BF97" s="314" t="s">
        <v>734</v>
      </c>
    </row>
    <row r="98" spans="1:5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4"/>
        <v>0</v>
      </c>
      <c r="S98" s="694">
        <f t="shared" ref="S98:S99" si="62">MIN(1,$R98+S$52)</f>
        <v>0.03</v>
      </c>
      <c r="T98" s="694">
        <f t="shared" si="59"/>
        <v>0.1</v>
      </c>
      <c r="U98" s="694">
        <f t="shared" si="59"/>
        <v>0.3</v>
      </c>
      <c r="V98" s="694">
        <f t="shared" si="59"/>
        <v>0.55000000000000004</v>
      </c>
      <c r="W98" s="694">
        <f t="shared" si="59"/>
        <v>0.85</v>
      </c>
      <c r="X98" s="694">
        <f t="shared" si="59"/>
        <v>0.95</v>
      </c>
      <c r="Y98" s="694">
        <f t="shared" si="59"/>
        <v>1</v>
      </c>
      <c r="AA98" s="696"/>
      <c r="AB98" s="694"/>
      <c r="AC98" s="694">
        <f t="shared" si="56"/>
        <v>0</v>
      </c>
      <c r="AD98" s="804">
        <f t="shared" si="57"/>
        <v>0</v>
      </c>
      <c r="AE98" s="804">
        <f t="shared" si="57"/>
        <v>0</v>
      </c>
      <c r="AF98" s="804">
        <f t="shared" si="57"/>
        <v>0</v>
      </c>
      <c r="AG98" s="804">
        <f t="shared" si="57"/>
        <v>0</v>
      </c>
      <c r="AH98" s="804">
        <f t="shared" si="57"/>
        <v>0</v>
      </c>
      <c r="AI98" s="804">
        <f t="shared" si="57"/>
        <v>0</v>
      </c>
      <c r="AJ98" s="804">
        <f t="shared" si="57"/>
        <v>0</v>
      </c>
      <c r="AK98" s="705">
        <f t="shared" si="27"/>
        <v>38</v>
      </c>
      <c r="AP98"/>
      <c r="AQ98" s="765" t="s">
        <v>1504</v>
      </c>
      <c r="AR98" t="s">
        <v>1323</v>
      </c>
      <c r="AS98" s="722" t="s">
        <v>1324</v>
      </c>
      <c r="AT98" s="705" t="s">
        <v>647</v>
      </c>
      <c r="AU98" s="705" t="s">
        <v>662</v>
      </c>
      <c r="AV98" s="314" t="s">
        <v>734</v>
      </c>
      <c r="AW98" s="314"/>
      <c r="AZ98" s="705" t="s">
        <v>1520</v>
      </c>
      <c r="BB98" s="705" t="str">
        <f t="shared" si="24"/>
        <v>CEW</v>
      </c>
      <c r="BC98" s="705" t="str">
        <f t="shared" si="25"/>
        <v>Commercial - Water Heating - Electricity - New</v>
      </c>
      <c r="BD98" s="705" t="s">
        <v>647</v>
      </c>
      <c r="BF98" s="314" t="s">
        <v>1503</v>
      </c>
    </row>
    <row r="99" spans="1:58">
      <c r="A99" s="722" t="str">
        <f>A$48&amp;" - "&amp;VLOOKUP(RIGHT(C99,3),NameConv!$E$3:$F$16,2,FALSE)&amp;" - HP - New"</f>
        <v>Commercial - Water Heating - Electricity - HP - New</v>
      </c>
      <c r="B99" s="722" t="str">
        <f>D99&amp;RIGHT(C99,3)&amp;"HP-N"</f>
        <v>CEWELCHP-N</v>
      </c>
      <c r="C99" s="723" t="str">
        <f t="shared" ref="C99" si="63">$E$6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4"/>
        <v>0</v>
      </c>
      <c r="S99" s="694">
        <f t="shared" si="62"/>
        <v>0.03</v>
      </c>
      <c r="T99" s="694">
        <f t="shared" si="59"/>
        <v>0.1</v>
      </c>
      <c r="U99" s="694">
        <f t="shared" si="59"/>
        <v>0.3</v>
      </c>
      <c r="V99" s="694">
        <f t="shared" si="59"/>
        <v>0.55000000000000004</v>
      </c>
      <c r="W99" s="694">
        <f t="shared" si="59"/>
        <v>0.85</v>
      </c>
      <c r="X99" s="694">
        <f t="shared" si="59"/>
        <v>0.95</v>
      </c>
      <c r="Y99" s="694">
        <f t="shared" si="59"/>
        <v>1</v>
      </c>
      <c r="AA99" s="696"/>
      <c r="AB99" s="694"/>
      <c r="AC99" s="694">
        <f t="shared" si="56"/>
        <v>0</v>
      </c>
      <c r="AD99" s="804">
        <f t="shared" si="57"/>
        <v>0</v>
      </c>
      <c r="AE99" s="804">
        <f t="shared" si="57"/>
        <v>0</v>
      </c>
      <c r="AF99" s="804">
        <f t="shared" si="57"/>
        <v>0</v>
      </c>
      <c r="AG99" s="804">
        <f t="shared" si="57"/>
        <v>0</v>
      </c>
      <c r="AH99" s="804">
        <f t="shared" si="57"/>
        <v>0</v>
      </c>
      <c r="AI99" s="804">
        <f t="shared" si="57"/>
        <v>0</v>
      </c>
      <c r="AJ99" s="804">
        <f t="shared" si="57"/>
        <v>0</v>
      </c>
      <c r="AK99" s="705">
        <f t="shared" si="27"/>
        <v>39</v>
      </c>
      <c r="AP99"/>
      <c r="AQ99" s="765" t="s">
        <v>1504</v>
      </c>
      <c r="AR99" t="s">
        <v>1325</v>
      </c>
      <c r="AS99" s="722" t="s">
        <v>1326</v>
      </c>
      <c r="AT99" s="705" t="s">
        <v>647</v>
      </c>
      <c r="AU99" s="705" t="s">
        <v>662</v>
      </c>
      <c r="AV99" s="314" t="s">
        <v>734</v>
      </c>
      <c r="AW99" s="314"/>
      <c r="AZ99" s="705" t="s">
        <v>1520</v>
      </c>
      <c r="BB99" s="705" t="str">
        <f t="shared" si="24"/>
        <v>CEW</v>
      </c>
      <c r="BC99" s="705" t="str">
        <f t="shared" si="25"/>
        <v>Commercial - Water Heating - Electricity - HP - New</v>
      </c>
      <c r="BD99" s="705" t="s">
        <v>647</v>
      </c>
      <c r="BF99" s="314" t="s">
        <v>1503</v>
      </c>
    </row>
    <row r="100" spans="1:58">
      <c r="A100" s="742" t="s">
        <v>1538</v>
      </c>
      <c r="F100" s="566"/>
      <c r="H100" s="349"/>
      <c r="I100" s="349"/>
      <c r="J100" s="349"/>
      <c r="L100" s="733"/>
      <c r="M100" s="356">
        <f>SUM(M93:M97)</f>
        <v>21.925554728373967</v>
      </c>
      <c r="N100" s="356">
        <f>SUM(N93:N97)</f>
        <v>14.392133809734325</v>
      </c>
      <c r="AK100" s="705">
        <f t="shared" si="27"/>
        <v>40</v>
      </c>
      <c r="AL100" s="705" t="str">
        <f>LEFT(B99,3)</f>
        <v>CEW</v>
      </c>
      <c r="AP100" s="314"/>
      <c r="AQ100" s="765" t="s">
        <v>709</v>
      </c>
      <c r="AR100"/>
      <c r="AV100" s="314"/>
      <c r="AW100" s="314"/>
      <c r="AZ100" s="705" t="s">
        <v>709</v>
      </c>
      <c r="BF100" s="314"/>
    </row>
    <row r="101" spans="1:58">
      <c r="A101" s="722" t="s">
        <v>1545</v>
      </c>
      <c r="F101" s="566"/>
      <c r="H101" s="349"/>
      <c r="I101" s="349"/>
      <c r="J101" s="349"/>
      <c r="L101" s="733"/>
      <c r="M101" s="356"/>
      <c r="N101" s="356"/>
      <c r="AK101" s="705">
        <f t="shared" si="27"/>
        <v>41</v>
      </c>
      <c r="AP101"/>
      <c r="AQ101" s="765" t="s">
        <v>709</v>
      </c>
      <c r="AR101"/>
      <c r="AV101" s="314"/>
      <c r="AW101" s="314"/>
      <c r="AZ101" s="705" t="s">
        <v>709</v>
      </c>
      <c r="BF101" s="314"/>
    </row>
    <row r="102" spans="1:58">
      <c r="A102" s="722" t="str">
        <f>A$49&amp;" - "&amp;VLOOKUP(RIGHT(C102,3),NameConv!$E$3:$F$16,2,FALSE)&amp;" - "&amp;LEFT(Appliances!B75,3)&amp;" - Existing"</f>
        <v>Commercial - Public Lights - Electricity - INC - Existing</v>
      </c>
      <c r="B102" s="722" t="str">
        <f t="shared" ref="B102:B106" si="64">D102&amp;RIGHT(C102,3)&amp;LEFT(RIGHT(A102,LEN("LIT - Existing")),3)&amp;"-E"</f>
        <v>CEGELCINC-E</v>
      </c>
      <c r="C102" s="723" t="str">
        <f t="shared" ref="C102:C107" si="65">$E$6</f>
        <v>COMELC</v>
      </c>
      <c r="D102" s="746" t="str">
        <f t="shared" ref="D102:D107" si="66">$B$49</f>
        <v>CEG</v>
      </c>
      <c r="E102" s="724">
        <f>Appliances!J75</f>
        <v>1</v>
      </c>
      <c r="F102" s="566">
        <f ca="1">SUMIF(AFA!$B$3:$S$3,D102,AFA!$B$4:$J$4)</f>
        <v>0.5464</v>
      </c>
      <c r="G102" s="348">
        <v>10</v>
      </c>
      <c r="H102" s="349">
        <f t="shared" ref="H102:H104" ca="1" si="67">(N102/F102)*(1+$H$55)</f>
        <v>0.25178255208401951</v>
      </c>
      <c r="I102" s="572">
        <f>I85</f>
        <v>0.37569687335386637</v>
      </c>
      <c r="J102" s="572">
        <f t="shared" ref="J102:J106" si="68">I102*0.1</f>
        <v>3.756968733538664E-2</v>
      </c>
      <c r="K102" s="705">
        <v>0</v>
      </c>
      <c r="L102" s="747">
        <f>Appliances!F75</f>
        <v>4.9630008962625594E-2</v>
      </c>
      <c r="M102" s="349">
        <f t="shared" ref="M102:M104" si="69">L102*SUMIF($C$6:$J$6,C102,$C$49:$J$49)</f>
        <v>0.13757398645870825</v>
      </c>
      <c r="N102" s="349">
        <f t="shared" ref="N102:N104" si="70">M102*E102</f>
        <v>0.13757398645870825</v>
      </c>
      <c r="O102" s="696"/>
      <c r="Q102" s="694"/>
      <c r="R102" s="694">
        <f t="shared" ref="R102:R107" si="71">N102/SUMIF($D$61:$D$121,$D102,$N$61:$N$121)*(1+$P$55)</f>
        <v>1.4671510186260122E-2</v>
      </c>
      <c r="S102" s="694">
        <f>R102</f>
        <v>1.4671510186260122E-2</v>
      </c>
      <c r="T102" s="694">
        <f t="shared" ref="T102:Y102" si="72">S102</f>
        <v>1.4671510186260122E-2</v>
      </c>
      <c r="U102" s="694">
        <f t="shared" si="72"/>
        <v>1.4671510186260122E-2</v>
      </c>
      <c r="V102" s="694">
        <f t="shared" si="72"/>
        <v>1.4671510186260122E-2</v>
      </c>
      <c r="W102" s="694">
        <f t="shared" si="72"/>
        <v>1.4671510186260122E-2</v>
      </c>
      <c r="X102" s="694">
        <f t="shared" si="72"/>
        <v>1.4671510186260122E-2</v>
      </c>
      <c r="Y102" s="694">
        <f t="shared" si="72"/>
        <v>1.4671510186260122E-2</v>
      </c>
      <c r="AA102" s="696"/>
      <c r="AB102" s="694"/>
      <c r="AC102" s="694">
        <v>0.01</v>
      </c>
      <c r="AD102" s="804">
        <f t="shared" ref="AD102:AJ107" si="73">$AC102*AD$52</f>
        <v>9.7000000000000003E-3</v>
      </c>
      <c r="AE102" s="804">
        <f t="shared" si="73"/>
        <v>9.0000000000000011E-3</v>
      </c>
      <c r="AF102" s="804">
        <f t="shared" si="73"/>
        <v>6.9999999999999993E-3</v>
      </c>
      <c r="AG102" s="804">
        <f t="shared" si="73"/>
        <v>4.5000000000000005E-3</v>
      </c>
      <c r="AH102" s="804">
        <f t="shared" si="73"/>
        <v>1.5E-3</v>
      </c>
      <c r="AI102" s="804">
        <f t="shared" si="73"/>
        <v>5.0000000000000001E-4</v>
      </c>
      <c r="AJ102" s="804">
        <f t="shared" si="73"/>
        <v>0</v>
      </c>
      <c r="AK102" s="705">
        <f t="shared" si="27"/>
        <v>42</v>
      </c>
      <c r="AP102" s="314"/>
      <c r="AQ102" s="765" t="s">
        <v>1504</v>
      </c>
      <c r="AR102" t="s">
        <v>1389</v>
      </c>
      <c r="AS102" s="722" t="s">
        <v>1390</v>
      </c>
      <c r="AT102" s="705" t="s">
        <v>647</v>
      </c>
      <c r="AU102" s="705" t="s">
        <v>662</v>
      </c>
      <c r="AV102" s="314" t="s">
        <v>734</v>
      </c>
      <c r="AW102" s="314"/>
      <c r="AZ102" s="705" t="s">
        <v>1520</v>
      </c>
      <c r="BB102" s="705" t="str">
        <f t="shared" si="24"/>
        <v>CEG</v>
      </c>
      <c r="BC102" s="705" t="str">
        <f t="shared" si="25"/>
        <v>Commercial - Public Lights - Electricity - INC - Existing</v>
      </c>
      <c r="BD102" s="705" t="s">
        <v>647</v>
      </c>
      <c r="BF102" s="314" t="s">
        <v>1503</v>
      </c>
    </row>
    <row r="103" spans="1:58">
      <c r="A103" s="722" t="str">
        <f>A$49&amp;" - "&amp;VLOOKUP(RIGHT(C103,3),NameConv!$E$3:$F$16,2,FALSE)&amp;" - "&amp;LEFT(Appliances!B76,3)&amp;" - Existing"</f>
        <v>Commercial - Public Lights - Electricity - HAL - Existing</v>
      </c>
      <c r="B103" s="722" t="str">
        <f t="shared" si="64"/>
        <v>CEGELCHAL-E</v>
      </c>
      <c r="C103" s="723" t="str">
        <f t="shared" si="65"/>
        <v>COMELC</v>
      </c>
      <c r="D103" s="746" t="str">
        <f t="shared" si="66"/>
        <v>CEG</v>
      </c>
      <c r="E103" s="724">
        <f>Appliances!J76</f>
        <v>2</v>
      </c>
      <c r="F103" s="566">
        <f ca="1">SUMIF(AFA!$B$3:$S$3,D103,AFA!$B$4:$J$4)</f>
        <v>0.5464</v>
      </c>
      <c r="G103" s="348">
        <v>10</v>
      </c>
      <c r="H103" s="349">
        <f ca="1">(N103/F103)*(1+$H$55)</f>
        <v>0.50356510416803901</v>
      </c>
      <c r="I103" s="572">
        <f>I83</f>
        <v>1.0658202070873248</v>
      </c>
      <c r="J103" s="572">
        <f t="shared" si="68"/>
        <v>0.10658202070873249</v>
      </c>
      <c r="K103" s="705">
        <v>0</v>
      </c>
      <c r="L103" s="747">
        <f>Appliances!F76</f>
        <v>4.9630008962625594E-2</v>
      </c>
      <c r="M103" s="349">
        <f t="shared" si="69"/>
        <v>0.13757398645870825</v>
      </c>
      <c r="N103" s="349">
        <f t="shared" si="70"/>
        <v>0.27514797291741649</v>
      </c>
      <c r="P103" s="696"/>
      <c r="Q103" s="694"/>
      <c r="R103" s="694">
        <f t="shared" si="71"/>
        <v>2.9343020372520245E-2</v>
      </c>
      <c r="S103" s="694">
        <f t="shared" ref="S103:Y107" si="74">MIN(1,$R103+S$52)</f>
        <v>5.9343020372520247E-2</v>
      </c>
      <c r="T103" s="694">
        <f t="shared" si="74"/>
        <v>0.12934302037252024</v>
      </c>
      <c r="U103" s="694">
        <f t="shared" si="74"/>
        <v>0.32934302037252022</v>
      </c>
      <c r="V103" s="694">
        <f t="shared" si="74"/>
        <v>0.57934302037252028</v>
      </c>
      <c r="W103" s="694">
        <f t="shared" si="74"/>
        <v>0.87934302037252021</v>
      </c>
      <c r="X103" s="694">
        <f t="shared" si="74"/>
        <v>0.97934302037252019</v>
      </c>
      <c r="Y103" s="694">
        <f t="shared" si="74"/>
        <v>1</v>
      </c>
      <c r="AA103" s="696"/>
      <c r="AB103" s="694"/>
      <c r="AC103" s="694">
        <f>R103/(1+$P$55+$AA$55)</f>
        <v>2.8767667031882594E-2</v>
      </c>
      <c r="AD103" s="804">
        <f t="shared" si="73"/>
        <v>2.7904637020926115E-2</v>
      </c>
      <c r="AE103" s="804">
        <f t="shared" si="73"/>
        <v>2.5890900328694334E-2</v>
      </c>
      <c r="AF103" s="804">
        <f t="shared" si="73"/>
        <v>2.0137366922317816E-2</v>
      </c>
      <c r="AG103" s="804">
        <f t="shared" si="73"/>
        <v>1.2945450164347167E-2</v>
      </c>
      <c r="AH103" s="804">
        <f t="shared" si="73"/>
        <v>4.3151500547823889E-3</v>
      </c>
      <c r="AI103" s="804">
        <f t="shared" si="73"/>
        <v>1.4383833515941298E-3</v>
      </c>
      <c r="AJ103" s="804">
        <f t="shared" si="73"/>
        <v>0</v>
      </c>
      <c r="AK103" s="705">
        <f t="shared" si="27"/>
        <v>43</v>
      </c>
      <c r="AP103"/>
      <c r="AQ103" s="765" t="s">
        <v>1504</v>
      </c>
      <c r="AR103" t="s">
        <v>1391</v>
      </c>
      <c r="AS103" s="722" t="s">
        <v>1392</v>
      </c>
      <c r="AT103" s="705" t="s">
        <v>647</v>
      </c>
      <c r="AU103" s="705" t="s">
        <v>662</v>
      </c>
      <c r="AV103" s="314" t="s">
        <v>734</v>
      </c>
      <c r="AW103" s="314"/>
      <c r="AZ103" s="705" t="s">
        <v>1520</v>
      </c>
      <c r="BB103" s="705" t="str">
        <f t="shared" si="24"/>
        <v>CEG</v>
      </c>
      <c r="BC103" s="705" t="str">
        <f t="shared" si="25"/>
        <v>Commercial - Public Lights - Electricity - HAL - Existing</v>
      </c>
      <c r="BD103" s="705" t="s">
        <v>647</v>
      </c>
      <c r="BF103" s="314" t="s">
        <v>1503</v>
      </c>
    </row>
    <row r="104" spans="1:5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65"/>
        <v>COMELC</v>
      </c>
      <c r="D104" s="746" t="str">
        <f t="shared" si="66"/>
        <v>CEG</v>
      </c>
      <c r="E104" s="724">
        <f>Appliances!J77</f>
        <v>2.4</v>
      </c>
      <c r="F104" s="566">
        <f ca="1">SUMIF(AFA!$B$3:$S$3,D104,AFA!$B$4:$J$4)</f>
        <v>0.5464</v>
      </c>
      <c r="G104" s="348">
        <v>10</v>
      </c>
      <c r="H104" s="349">
        <f t="shared" ca="1" si="67"/>
        <v>7.6415394562277434</v>
      </c>
      <c r="I104" s="572">
        <f>I105</f>
        <v>1.0658202070873248</v>
      </c>
      <c r="J104" s="572">
        <f t="shared" si="68"/>
        <v>0.10658202070873249</v>
      </c>
      <c r="K104" s="705">
        <v>0</v>
      </c>
      <c r="L104" s="747">
        <f>Appliances!F77</f>
        <v>0.62760781171717339</v>
      </c>
      <c r="M104" s="349">
        <f t="shared" si="69"/>
        <v>1.7397238162011832</v>
      </c>
      <c r="N104" s="349">
        <f t="shared" si="70"/>
        <v>4.1753371588828392</v>
      </c>
      <c r="P104" s="696"/>
      <c r="Q104" s="694"/>
      <c r="R104" s="694">
        <f t="shared" si="71"/>
        <v>0.44527677967670315</v>
      </c>
      <c r="S104" s="694">
        <f t="shared" si="74"/>
        <v>0.47527677967670312</v>
      </c>
      <c r="T104" s="694">
        <f t="shared" si="74"/>
        <v>0.54527677967670318</v>
      </c>
      <c r="U104" s="694">
        <f t="shared" si="74"/>
        <v>0.74527677967670314</v>
      </c>
      <c r="V104" s="694">
        <f t="shared" si="74"/>
        <v>0.99527677967670325</v>
      </c>
      <c r="W104" s="694">
        <f t="shared" si="74"/>
        <v>1</v>
      </c>
      <c r="X104" s="694">
        <f t="shared" si="74"/>
        <v>1</v>
      </c>
      <c r="Y104" s="694">
        <f t="shared" si="74"/>
        <v>1</v>
      </c>
      <c r="AA104" s="696"/>
      <c r="AB104" s="694"/>
      <c r="AC104" s="694">
        <f>R104/(1+$P$55+$AA$55)</f>
        <v>0.43654586242814031</v>
      </c>
      <c r="AD104" s="804">
        <f t="shared" si="73"/>
        <v>0.42344948655529607</v>
      </c>
      <c r="AE104" s="804">
        <f t="shared" si="73"/>
        <v>0.39289127618532627</v>
      </c>
      <c r="AF104" s="804">
        <f t="shared" si="73"/>
        <v>0.30558210369969818</v>
      </c>
      <c r="AG104" s="804">
        <f t="shared" si="73"/>
        <v>0.19644563809266313</v>
      </c>
      <c r="AH104" s="804">
        <f t="shared" si="73"/>
        <v>6.5481879364221049E-2</v>
      </c>
      <c r="AI104" s="804">
        <f t="shared" si="73"/>
        <v>2.1827293121407017E-2</v>
      </c>
      <c r="AJ104" s="804">
        <f t="shared" si="73"/>
        <v>0</v>
      </c>
      <c r="AK104" s="705">
        <f t="shared" si="27"/>
        <v>44</v>
      </c>
      <c r="AP104"/>
      <c r="AQ104" s="765" t="s">
        <v>1504</v>
      </c>
      <c r="AR104" t="s">
        <v>1393</v>
      </c>
      <c r="AS104" s="722" t="s">
        <v>1394</v>
      </c>
      <c r="AT104" s="705" t="s">
        <v>647</v>
      </c>
      <c r="AU104" s="705" t="s">
        <v>662</v>
      </c>
      <c r="AV104" s="314" t="s">
        <v>734</v>
      </c>
      <c r="AW104" s="314"/>
      <c r="AZ104" s="705" t="s">
        <v>1520</v>
      </c>
      <c r="BB104" s="705" t="str">
        <f t="shared" si="24"/>
        <v>CEG</v>
      </c>
      <c r="BC104" s="705" t="str">
        <f t="shared" si="25"/>
        <v>Commercial - Public Lights - Electricity - HPM - Existing</v>
      </c>
      <c r="BD104" s="705" t="s">
        <v>647</v>
      </c>
      <c r="BF104" s="314" t="s">
        <v>1503</v>
      </c>
    </row>
    <row r="105" spans="1:58">
      <c r="A105" s="722" t="str">
        <f>A$49&amp;" - "&amp;VLOOKUP(RIGHT(C105,3),NameConv!$E$3:$F$16,2,FALSE)&amp;" - "&amp;LEFT(Appliances!B78,3)&amp;" - Existing"</f>
        <v>Commercial - Public Lights - Electricity - HPS - Existing</v>
      </c>
      <c r="B105" s="722" t="str">
        <f t="shared" si="64"/>
        <v>CEGELCHPS-E</v>
      </c>
      <c r="C105" s="723" t="str">
        <f t="shared" si="65"/>
        <v>COMELC</v>
      </c>
      <c r="D105" s="746" t="str">
        <f t="shared" si="66"/>
        <v>CEG</v>
      </c>
      <c r="E105" s="724">
        <f>Appliances!J78</f>
        <v>6.5</v>
      </c>
      <c r="F105" s="566">
        <f ca="1">SUMIF(AFA!$B$3:$S$3,D105,AFA!$B$4:$J$4)</f>
        <v>0.5464</v>
      </c>
      <c r="G105" s="348">
        <v>12</v>
      </c>
      <c r="H105" s="349">
        <f ca="1">(N105/F105)*(1+$H$55)</f>
        <v>8.7004302651322494</v>
      </c>
      <c r="I105" s="572">
        <f>I83</f>
        <v>1.0658202070873248</v>
      </c>
      <c r="J105" s="572">
        <f t="shared" si="68"/>
        <v>0.10658202070873249</v>
      </c>
      <c r="K105" s="705">
        <v>0</v>
      </c>
      <c r="L105" s="747">
        <f>Appliances!F78</f>
        <v>0.26384331575196845</v>
      </c>
      <c r="M105" s="349">
        <f>L105*SUMIF($C$6:$J$6,C105,$C$49:$J$49)</f>
        <v>0.73137155336434789</v>
      </c>
      <c r="N105" s="349">
        <f>M105*E105</f>
        <v>4.7539150968682611</v>
      </c>
      <c r="P105" s="696"/>
      <c r="Q105" s="694"/>
      <c r="R105" s="694">
        <f t="shared" si="71"/>
        <v>0.50697893957774143</v>
      </c>
      <c r="S105" s="694">
        <f t="shared" si="74"/>
        <v>0.53697893957774145</v>
      </c>
      <c r="T105" s="694">
        <f t="shared" si="74"/>
        <v>0.60697893957774141</v>
      </c>
      <c r="U105" s="694">
        <f t="shared" si="74"/>
        <v>0.80697893957774136</v>
      </c>
      <c r="V105" s="694">
        <f t="shared" si="74"/>
        <v>1</v>
      </c>
      <c r="W105" s="694">
        <f t="shared" si="74"/>
        <v>1</v>
      </c>
      <c r="X105" s="694">
        <f t="shared" si="74"/>
        <v>1</v>
      </c>
      <c r="Y105" s="694">
        <f t="shared" si="74"/>
        <v>1</v>
      </c>
      <c r="AA105" s="696"/>
      <c r="AB105" s="694"/>
      <c r="AC105" s="694">
        <f>R105/(1+$P$55+$AA$55)</f>
        <v>0.49703817605660922</v>
      </c>
      <c r="AD105" s="804">
        <f t="shared" si="73"/>
        <v>0.48212703077491093</v>
      </c>
      <c r="AE105" s="804">
        <f t="shared" si="73"/>
        <v>0.44733435845094832</v>
      </c>
      <c r="AF105" s="804">
        <f t="shared" si="73"/>
        <v>0.34792672323962642</v>
      </c>
      <c r="AG105" s="804">
        <f t="shared" si="73"/>
        <v>0.22366717922547416</v>
      </c>
      <c r="AH105" s="804">
        <f t="shared" si="73"/>
        <v>7.4555726408491382E-2</v>
      </c>
      <c r="AI105" s="804">
        <f t="shared" si="73"/>
        <v>2.4851908802830461E-2</v>
      </c>
      <c r="AJ105" s="804">
        <f t="shared" si="73"/>
        <v>0</v>
      </c>
      <c r="AK105" s="705">
        <f t="shared" si="27"/>
        <v>45</v>
      </c>
      <c r="AP105"/>
      <c r="AQ105" s="765" t="s">
        <v>1504</v>
      </c>
      <c r="AR105" t="s">
        <v>1395</v>
      </c>
      <c r="AS105" s="722" t="s">
        <v>1396</v>
      </c>
      <c r="AT105" s="705" t="s">
        <v>647</v>
      </c>
      <c r="AU105" s="705" t="s">
        <v>662</v>
      </c>
      <c r="AV105" s="314" t="s">
        <v>734</v>
      </c>
      <c r="AW105" s="314"/>
      <c r="AZ105" s="705" t="s">
        <v>1520</v>
      </c>
      <c r="BB105" s="705" t="str">
        <f t="shared" si="24"/>
        <v>CEG</v>
      </c>
      <c r="BC105" s="705" t="str">
        <f t="shared" si="25"/>
        <v>Commercial - Public Lights - Electricity - HPS - Existing</v>
      </c>
      <c r="BD105" s="705" t="s">
        <v>647</v>
      </c>
      <c r="BF105" s="314" t="s">
        <v>1503</v>
      </c>
    </row>
    <row r="106" spans="1:58">
      <c r="A106" s="722" t="str">
        <f>A$49&amp;" - "&amp;VLOOKUP(RIGHT(C106,3),NameConv!$E$3:$F$16,2,FALSE)&amp;" - "&amp;LEFT(Appliances!B79,3)&amp;" - Existing"</f>
        <v>Commercial - Public Lights - Electricity - MHL - Existing</v>
      </c>
      <c r="B106" s="722" t="str">
        <f t="shared" si="64"/>
        <v>CEGELCMHL-E</v>
      </c>
      <c r="C106" s="723" t="str">
        <f t="shared" si="65"/>
        <v>COMELC</v>
      </c>
      <c r="D106" s="746" t="str">
        <f t="shared" si="66"/>
        <v>CEG</v>
      </c>
      <c r="E106" s="724">
        <f>Appliances!J79</f>
        <v>5</v>
      </c>
      <c r="F106" s="566">
        <f ca="1">SUMIF(AFA!$B$3:$S$3,D106,AFA!$B$4:$J$4)</f>
        <v>0.5464</v>
      </c>
      <c r="G106" s="348">
        <v>10</v>
      </c>
      <c r="H106" s="349">
        <f t="shared" ref="H106" ca="1" si="75">(N106/F106)*(1+$H$55)</f>
        <v>0.23562070281896844</v>
      </c>
      <c r="I106" s="572">
        <f>I84</f>
        <v>0.43103023080737402</v>
      </c>
      <c r="J106" s="572">
        <f t="shared" si="68"/>
        <v>4.3103023080737407E-2</v>
      </c>
      <c r="K106" s="705">
        <v>0</v>
      </c>
      <c r="L106" s="747">
        <f>Appliances!F79</f>
        <v>9.2888546056069232E-3</v>
      </c>
      <c r="M106" s="349">
        <f t="shared" ref="M106:M107" si="76">L106*SUMIF($C$6:$J$6,C106,$C$49:$J$49)</f>
        <v>2.5748630404056873E-2</v>
      </c>
      <c r="N106" s="349">
        <f t="shared" ref="N106:N107" si="77">M106*E106</f>
        <v>0.12874315202028436</v>
      </c>
      <c r="P106" s="696"/>
      <c r="Q106" s="694"/>
      <c r="R106" s="694">
        <f t="shared" si="71"/>
        <v>1.3729750186775047E-2</v>
      </c>
      <c r="S106" s="694">
        <f t="shared" si="74"/>
        <v>4.3729750186775045E-2</v>
      </c>
      <c r="T106" s="694">
        <f t="shared" si="74"/>
        <v>0.11372975018677506</v>
      </c>
      <c r="U106" s="694">
        <f t="shared" si="74"/>
        <v>0.31372975018677501</v>
      </c>
      <c r="V106" s="694">
        <f t="shared" si="74"/>
        <v>0.56372975018677507</v>
      </c>
      <c r="W106" s="694">
        <f t="shared" si="74"/>
        <v>0.863729750186775</v>
      </c>
      <c r="X106" s="694">
        <f t="shared" si="74"/>
        <v>0.96372975018677498</v>
      </c>
      <c r="Y106" s="694">
        <f t="shared" si="74"/>
        <v>1</v>
      </c>
      <c r="AA106" s="696"/>
      <c r="AB106" s="694"/>
      <c r="AC106" s="694">
        <f>R106/(1+$P$55+$AA$55)</f>
        <v>1.3460539398799065E-2</v>
      </c>
      <c r="AD106" s="804">
        <f t="shared" si="73"/>
        <v>1.3056723216835093E-2</v>
      </c>
      <c r="AE106" s="804">
        <f t="shared" si="73"/>
        <v>1.2114485458919159E-2</v>
      </c>
      <c r="AF106" s="804">
        <f t="shared" si="73"/>
        <v>9.4223775791593446E-3</v>
      </c>
      <c r="AG106" s="804">
        <f t="shared" si="73"/>
        <v>6.0572427294595796E-3</v>
      </c>
      <c r="AH106" s="804">
        <f t="shared" si="73"/>
        <v>2.0190809098198596E-3</v>
      </c>
      <c r="AI106" s="804">
        <f t="shared" si="73"/>
        <v>6.730269699399533E-4</v>
      </c>
      <c r="AJ106" s="804">
        <f t="shared" si="73"/>
        <v>0</v>
      </c>
      <c r="AK106" s="705">
        <f t="shared" si="27"/>
        <v>46</v>
      </c>
      <c r="AP106"/>
      <c r="AQ106" s="765" t="s">
        <v>1504</v>
      </c>
      <c r="AR106" t="s">
        <v>1397</v>
      </c>
      <c r="AS106" s="722" t="s">
        <v>1398</v>
      </c>
      <c r="AT106" s="705" t="s">
        <v>647</v>
      </c>
      <c r="AU106" s="705" t="s">
        <v>662</v>
      </c>
      <c r="AV106" s="314" t="s">
        <v>734</v>
      </c>
      <c r="AW106" s="314"/>
      <c r="AZ106" s="705" t="s">
        <v>1520</v>
      </c>
      <c r="BB106" s="705" t="str">
        <f t="shared" si="24"/>
        <v>CEG</v>
      </c>
      <c r="BC106" s="705" t="str">
        <f t="shared" si="25"/>
        <v>Commercial - Public Lights - Electricity - MHL - Existing</v>
      </c>
      <c r="BD106" s="705" t="s">
        <v>647</v>
      </c>
      <c r="BF106" s="314" t="s">
        <v>1503</v>
      </c>
    </row>
    <row r="107" spans="1:58">
      <c r="A107" s="722" t="str">
        <f>A$49&amp;" - "&amp;VLOOKUP(RIGHT(C107,3),NameConv!$E$3:$F$16,2,FALSE)&amp;" - "&amp;LEFT(Appliances!B80,3)&amp;" - New"</f>
        <v>Commercial - Public Lights - Electricity - LED - New</v>
      </c>
      <c r="B107" s="722" t="str">
        <f t="shared" ref="B107" si="78">D107&amp;RIGHT(C107,3)&amp;LEFT(RIGHT(A107,LEN("LIT - NEW")),3)&amp;"-N"</f>
        <v>CEGELCLED-N</v>
      </c>
      <c r="C107" s="723" t="str">
        <f t="shared" si="65"/>
        <v>COMELC</v>
      </c>
      <c r="D107" s="746" t="str">
        <f t="shared" si="66"/>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76"/>
        <v>0</v>
      </c>
      <c r="N107" s="349">
        <f t="shared" si="77"/>
        <v>0</v>
      </c>
      <c r="P107" s="696"/>
      <c r="Q107" s="694"/>
      <c r="R107" s="694">
        <f t="shared" si="71"/>
        <v>0</v>
      </c>
      <c r="S107" s="694">
        <f t="shared" si="74"/>
        <v>0.03</v>
      </c>
      <c r="T107" s="694">
        <f t="shared" si="74"/>
        <v>0.1</v>
      </c>
      <c r="U107" s="694">
        <f t="shared" si="74"/>
        <v>0.3</v>
      </c>
      <c r="V107" s="694">
        <f t="shared" si="74"/>
        <v>0.55000000000000004</v>
      </c>
      <c r="W107" s="694">
        <f t="shared" si="74"/>
        <v>0.85</v>
      </c>
      <c r="X107" s="694">
        <f t="shared" si="74"/>
        <v>0.95</v>
      </c>
      <c r="Y107" s="694">
        <f t="shared" si="74"/>
        <v>1</v>
      </c>
      <c r="AA107" s="696"/>
      <c r="AB107" s="694"/>
      <c r="AC107" s="694">
        <f>R107/(1+$P$55+$AA$55)</f>
        <v>0</v>
      </c>
      <c r="AD107" s="804">
        <f t="shared" si="73"/>
        <v>0</v>
      </c>
      <c r="AE107" s="804">
        <f t="shared" si="73"/>
        <v>0</v>
      </c>
      <c r="AF107" s="804">
        <f t="shared" si="73"/>
        <v>0</v>
      </c>
      <c r="AG107" s="804">
        <f t="shared" si="73"/>
        <v>0</v>
      </c>
      <c r="AH107" s="804">
        <f t="shared" si="73"/>
        <v>0</v>
      </c>
      <c r="AI107" s="804">
        <f t="shared" si="73"/>
        <v>0</v>
      </c>
      <c r="AJ107" s="804">
        <f t="shared" si="73"/>
        <v>0</v>
      </c>
      <c r="AK107" s="705">
        <f t="shared" si="27"/>
        <v>47</v>
      </c>
      <c r="AP107"/>
      <c r="AQ107" s="765" t="s">
        <v>1504</v>
      </c>
      <c r="AR107" t="s">
        <v>1399</v>
      </c>
      <c r="AS107" s="722" t="s">
        <v>1400</v>
      </c>
      <c r="AT107" s="705" t="s">
        <v>647</v>
      </c>
      <c r="AU107" s="705" t="s">
        <v>662</v>
      </c>
      <c r="AV107" s="314" t="s">
        <v>734</v>
      </c>
      <c r="AW107" s="314"/>
      <c r="AZ107" s="705" t="s">
        <v>1520</v>
      </c>
      <c r="BB107" s="705" t="str">
        <f t="shared" si="24"/>
        <v>CEG</v>
      </c>
      <c r="BC107" s="705" t="str">
        <f t="shared" si="25"/>
        <v>Commercial - Public Lights - Electricity - LED - New</v>
      </c>
      <c r="BD107" s="705" t="s">
        <v>647</v>
      </c>
      <c r="BF107" s="314" t="s">
        <v>1503</v>
      </c>
    </row>
    <row r="108" spans="1:58">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7"/>
        <v>48</v>
      </c>
      <c r="AL108" s="705" t="str">
        <f>LEFT(B107,3)</f>
        <v>CEG</v>
      </c>
      <c r="AP108"/>
      <c r="AQ108" s="765" t="s">
        <v>709</v>
      </c>
      <c r="AR108"/>
      <c r="AS108" s="722"/>
      <c r="AV108" s="314"/>
      <c r="AW108" s="314"/>
      <c r="AZ108" s="705" t="s">
        <v>709</v>
      </c>
      <c r="BF108" s="314"/>
    </row>
    <row r="109" spans="1:58">
      <c r="A109" s="722" t="s">
        <v>1546</v>
      </c>
      <c r="B109" s="722"/>
      <c r="D109" s="746"/>
      <c r="F109" s="566"/>
      <c r="H109" s="349"/>
      <c r="I109" s="349"/>
      <c r="J109" s="349"/>
      <c r="L109" s="733"/>
      <c r="M109" s="356"/>
      <c r="N109" s="356"/>
      <c r="AK109" s="705">
        <f t="shared" si="27"/>
        <v>49</v>
      </c>
      <c r="AP109"/>
      <c r="AQ109" s="765" t="s">
        <v>709</v>
      </c>
      <c r="AR109"/>
      <c r="AS109" s="722"/>
      <c r="AV109" s="314"/>
      <c r="AW109" s="314"/>
      <c r="AZ109" s="705" t="s">
        <v>709</v>
      </c>
      <c r="BF109" s="314"/>
    </row>
    <row r="110" spans="1:5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79">MIN(1,$R110+S$52)</f>
        <v>1</v>
      </c>
      <c r="T110" s="786">
        <f>MIN(1,$R110+T$53)</f>
        <v>1</v>
      </c>
      <c r="U110" s="786">
        <f t="shared" ref="U110:Y110" si="80">MIN(1,$R110+U$53)</f>
        <v>1</v>
      </c>
      <c r="V110" s="786">
        <f t="shared" si="80"/>
        <v>1</v>
      </c>
      <c r="W110" s="786">
        <f t="shared" si="80"/>
        <v>1</v>
      </c>
      <c r="X110" s="786">
        <f t="shared" si="80"/>
        <v>1</v>
      </c>
      <c r="Y110" s="786">
        <f t="shared" si="80"/>
        <v>1</v>
      </c>
      <c r="AA110" s="696"/>
      <c r="AB110" s="694"/>
      <c r="AC110" s="694">
        <f>R110/(1+$P$55+$AA$55)</f>
        <v>0.99019607843137258</v>
      </c>
      <c r="AD110" s="694">
        <f t="shared" ref="AD110:AI110" si="81">$AC110*AD$52</f>
        <v>0.96049019607843134</v>
      </c>
      <c r="AE110" s="694">
        <f t="shared" si="81"/>
        <v>0.89117647058823535</v>
      </c>
      <c r="AF110" s="694">
        <f t="shared" si="81"/>
        <v>0.69313725490196076</v>
      </c>
      <c r="AG110" s="694">
        <f t="shared" si="81"/>
        <v>0.44558823529411767</v>
      </c>
      <c r="AH110" s="694">
        <f t="shared" si="81"/>
        <v>0.14852941176470588</v>
      </c>
      <c r="AI110" s="694">
        <f t="shared" si="81"/>
        <v>4.9509803921568632E-2</v>
      </c>
      <c r="AJ110" s="694">
        <f>$AA110*AJ$52</f>
        <v>0</v>
      </c>
      <c r="AK110" s="705">
        <f t="shared" si="27"/>
        <v>50</v>
      </c>
      <c r="AP110"/>
      <c r="AQ110" s="765" t="s">
        <v>1504</v>
      </c>
      <c r="AR110" t="s">
        <v>1401</v>
      </c>
      <c r="AS110" s="722" t="s">
        <v>1402</v>
      </c>
      <c r="AT110" s="705" t="s">
        <v>647</v>
      </c>
      <c r="AU110" s="705" t="s">
        <v>662</v>
      </c>
      <c r="AV110" s="314" t="s">
        <v>734</v>
      </c>
      <c r="AW110"/>
      <c r="AZ110" s="705" t="s">
        <v>1520</v>
      </c>
      <c r="BB110" s="705" t="str">
        <f t="shared" si="24"/>
        <v>CET</v>
      </c>
      <c r="BC110" s="705" t="str">
        <f t="shared" si="25"/>
        <v>Commercial - Public Water - Electricity -  - Existing</v>
      </c>
      <c r="BD110" s="705" t="s">
        <v>647</v>
      </c>
      <c r="BF110" s="314" t="s">
        <v>1503</v>
      </c>
    </row>
    <row r="111" spans="1:58">
      <c r="A111" s="742" t="s">
        <v>1538</v>
      </c>
      <c r="F111" s="566"/>
      <c r="H111" s="349"/>
      <c r="I111" s="349"/>
      <c r="J111" s="349"/>
      <c r="L111" s="733"/>
      <c r="M111" s="356"/>
      <c r="N111" s="356"/>
      <c r="AK111" s="705">
        <f t="shared" si="27"/>
        <v>51</v>
      </c>
      <c r="AL111" s="705" t="str">
        <f>LEFT(B110,3)</f>
        <v>CET</v>
      </c>
      <c r="AP111"/>
      <c r="AQ111" s="765" t="s">
        <v>709</v>
      </c>
      <c r="AR111"/>
      <c r="AV111" s="314"/>
      <c r="AW111"/>
      <c r="AZ111" s="705" t="s">
        <v>709</v>
      </c>
      <c r="BF111" s="314"/>
    </row>
    <row r="112" spans="1:58">
      <c r="A112" s="722" t="s">
        <v>1547</v>
      </c>
      <c r="B112" s="722"/>
      <c r="C112" s="743"/>
      <c r="D112" s="743"/>
      <c r="E112" s="738"/>
      <c r="F112" s="566"/>
      <c r="G112" s="738"/>
      <c r="H112" s="349"/>
      <c r="I112" s="349"/>
      <c r="J112" s="349"/>
      <c r="K112" s="698"/>
      <c r="L112" s="745"/>
      <c r="M112" s="745"/>
      <c r="AK112" s="705">
        <f t="shared" si="27"/>
        <v>52</v>
      </c>
      <c r="AP112"/>
      <c r="AQ112" s="765" t="s">
        <v>709</v>
      </c>
      <c r="AR112"/>
      <c r="AS112" s="722"/>
      <c r="AV112"/>
      <c r="AW112"/>
      <c r="AZ112" s="705" t="s">
        <v>709</v>
      </c>
      <c r="BF112"/>
    </row>
    <row r="113" spans="1:58">
      <c r="A113" s="722" t="str">
        <f>A$51&amp;" - "&amp;VLOOKUP(RIGHT(C113,3),NameConv!$E$3:$F$16,2,FALSE)&amp;" - Existing"</f>
        <v>Commercial - Other - Coal - Existing</v>
      </c>
      <c r="B113" s="722" t="str">
        <f t="shared" ref="B113:B119" si="82">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6"/>
        <v>41.088682603593845</v>
      </c>
      <c r="K113" s="705">
        <v>0</v>
      </c>
      <c r="L113" s="350">
        <f>Appliances!F27</f>
        <v>1</v>
      </c>
      <c r="M113" s="349">
        <f t="shared" ref="M113:M119" si="83">L113*SUMIF($C$6:$J$6,C113,$C$51:$J$51)</f>
        <v>0</v>
      </c>
      <c r="N113" s="349">
        <f t="shared" ref="N113:N119" si="84">M113*E113</f>
        <v>0</v>
      </c>
      <c r="P113" s="696"/>
      <c r="Q113" s="694"/>
      <c r="R113" s="694">
        <f t="shared" ref="R113:R119" si="85">N113/SUMIF($D$61:$D$121,$D113,$N$61:$N$121)*(1+$P$55)</f>
        <v>0</v>
      </c>
      <c r="S113" s="699">
        <f>R113</f>
        <v>0</v>
      </c>
      <c r="T113" s="699">
        <v>0</v>
      </c>
      <c r="U113" s="699">
        <v>0</v>
      </c>
      <c r="V113" s="699">
        <v>0</v>
      </c>
      <c r="W113" s="699">
        <v>0</v>
      </c>
      <c r="X113" s="699">
        <v>0</v>
      </c>
      <c r="Y113" s="699">
        <v>0</v>
      </c>
      <c r="AA113" s="696"/>
      <c r="AB113" s="694"/>
      <c r="AC113" s="694">
        <f t="shared" ref="AC113:AC119" si="86">R113/(1+$P$55+$AA$55)</f>
        <v>0</v>
      </c>
      <c r="AD113" s="804">
        <f t="shared" ref="AD113:AJ119" si="87">$AC113*AD$52</f>
        <v>0</v>
      </c>
      <c r="AE113" s="804">
        <f t="shared" si="87"/>
        <v>0</v>
      </c>
      <c r="AF113" s="804">
        <f t="shared" si="87"/>
        <v>0</v>
      </c>
      <c r="AG113" s="804">
        <f t="shared" si="87"/>
        <v>0</v>
      </c>
      <c r="AH113" s="804">
        <f t="shared" si="87"/>
        <v>0</v>
      </c>
      <c r="AI113" s="804">
        <f t="shared" si="87"/>
        <v>0</v>
      </c>
      <c r="AJ113" s="804">
        <f t="shared" si="87"/>
        <v>0</v>
      </c>
      <c r="AK113" s="705">
        <f t="shared" si="27"/>
        <v>53</v>
      </c>
      <c r="AP113"/>
      <c r="AQ113" s="765" t="s">
        <v>1504</v>
      </c>
      <c r="AR113" t="s">
        <v>1327</v>
      </c>
      <c r="AS113" s="722" t="s">
        <v>1328</v>
      </c>
      <c r="AT113" s="705" t="s">
        <v>647</v>
      </c>
      <c r="AU113" s="705" t="s">
        <v>662</v>
      </c>
      <c r="AV113" s="314" t="s">
        <v>734</v>
      </c>
      <c r="AW113"/>
      <c r="AZ113" s="705" t="s">
        <v>1520</v>
      </c>
      <c r="BB113" s="705" t="str">
        <f t="shared" si="24"/>
        <v>CEO</v>
      </c>
      <c r="BC113" s="705" t="str">
        <f t="shared" si="25"/>
        <v>Commercial - Other - Coal - Existing</v>
      </c>
      <c r="BD113" s="705" t="s">
        <v>647</v>
      </c>
      <c r="BF113" s="314" t="s">
        <v>734</v>
      </c>
    </row>
    <row r="114" spans="1:58">
      <c r="A114" s="722" t="str">
        <f>A$51&amp;" - "&amp;VLOOKUP(RIGHT(C114,3),NameConv!$E$3:$F$16,2,FALSE)&amp;" - Existing"</f>
        <v>Commercial - Other - Oil Diesel - Existing</v>
      </c>
      <c r="B114" s="722" t="str">
        <f t="shared" si="82"/>
        <v>CEOODS-E</v>
      </c>
      <c r="C114" s="723" t="str">
        <f>$D$6</f>
        <v>COMODS</v>
      </c>
      <c r="D114" s="723" t="str">
        <f t="shared" ref="D114:D119" si="88">$B$51</f>
        <v>CEO</v>
      </c>
      <c r="E114" s="347">
        <f>Appliances!J47</f>
        <v>0.9</v>
      </c>
      <c r="F114" s="566">
        <f ca="1">SUMIF(AFA!$B$3:$S$3,D114,AFA!$B$4:$J$4)</f>
        <v>0.64739999999999998</v>
      </c>
      <c r="G114" s="348">
        <v>15</v>
      </c>
      <c r="H114" s="349">
        <f t="shared" ref="H114:H119" ca="1" si="89">(N114/F114)*(1+$H$55)</f>
        <v>1.5291936978683969</v>
      </c>
      <c r="I114" s="349">
        <f>SUMIF('Technology costs'!$B$7:$B$28,COM_2017!B114,'Technology costs'!$L$7:$L$28)</f>
        <v>410.88682603593844</v>
      </c>
      <c r="J114" s="349">
        <f t="shared" si="26"/>
        <v>41.088682603593845</v>
      </c>
      <c r="K114" s="705">
        <v>0</v>
      </c>
      <c r="L114" s="350">
        <f>Appliances!F27</f>
        <v>1</v>
      </c>
      <c r="M114" s="349">
        <f t="shared" si="83"/>
        <v>1.1000000000000001</v>
      </c>
      <c r="N114" s="349">
        <f t="shared" si="84"/>
        <v>0.9900000000000001</v>
      </c>
      <c r="P114" s="696"/>
      <c r="Q114" s="694"/>
      <c r="R114" s="694">
        <f t="shared" si="85"/>
        <v>4.9502547141743784E-2</v>
      </c>
      <c r="S114" s="699">
        <f>R114</f>
        <v>4.9502547141743784E-2</v>
      </c>
      <c r="T114" s="699">
        <f t="shared" ref="T114:Y114" si="90">S114</f>
        <v>4.9502547141743784E-2</v>
      </c>
      <c r="U114" s="699">
        <f t="shared" si="90"/>
        <v>4.9502547141743784E-2</v>
      </c>
      <c r="V114" s="699">
        <f t="shared" si="90"/>
        <v>4.9502547141743784E-2</v>
      </c>
      <c r="W114" s="699">
        <f t="shared" si="90"/>
        <v>4.9502547141743784E-2</v>
      </c>
      <c r="X114" s="699">
        <f t="shared" si="90"/>
        <v>4.9502547141743784E-2</v>
      </c>
      <c r="Y114" s="699">
        <f t="shared" si="90"/>
        <v>4.9502547141743784E-2</v>
      </c>
      <c r="AA114" s="696"/>
      <c r="AB114" s="694"/>
      <c r="AC114" s="694">
        <f t="shared" si="86"/>
        <v>4.8531908962493903E-2</v>
      </c>
      <c r="AD114" s="804">
        <f t="shared" si="87"/>
        <v>4.7075951693619084E-2</v>
      </c>
      <c r="AE114" s="804">
        <f t="shared" si="87"/>
        <v>4.3678718066244515E-2</v>
      </c>
      <c r="AF114" s="804">
        <f t="shared" si="87"/>
        <v>3.3972336273745726E-2</v>
      </c>
      <c r="AG114" s="804">
        <f t="shared" si="87"/>
        <v>2.1839359033122258E-2</v>
      </c>
      <c r="AH114" s="804">
        <f t="shared" si="87"/>
        <v>7.2797863443740847E-3</v>
      </c>
      <c r="AI114" s="804">
        <f t="shared" si="87"/>
        <v>2.4265954481246955E-3</v>
      </c>
      <c r="AJ114" s="804">
        <f t="shared" si="87"/>
        <v>0</v>
      </c>
      <c r="AK114" s="705">
        <f t="shared" si="27"/>
        <v>54</v>
      </c>
      <c r="AP114"/>
      <c r="AQ114" s="765" t="s">
        <v>1504</v>
      </c>
      <c r="AR114" t="s">
        <v>1329</v>
      </c>
      <c r="AS114" s="722" t="s">
        <v>1330</v>
      </c>
      <c r="AT114" s="705" t="s">
        <v>647</v>
      </c>
      <c r="AU114" s="705" t="s">
        <v>662</v>
      </c>
      <c r="AV114" s="314" t="s">
        <v>734</v>
      </c>
      <c r="AW114"/>
      <c r="AZ114" s="705" t="s">
        <v>1520</v>
      </c>
      <c r="BB114" s="705" t="str">
        <f t="shared" si="24"/>
        <v>CEO</v>
      </c>
      <c r="BC114" s="705" t="str">
        <f t="shared" si="25"/>
        <v>Commercial - Other - Oil Diesel - Existing</v>
      </c>
      <c r="BD114" s="705" t="s">
        <v>647</v>
      </c>
      <c r="BF114" s="314" t="s">
        <v>734</v>
      </c>
    </row>
    <row r="115" spans="1:58">
      <c r="A115" s="722" t="str">
        <f>A$51&amp;" - "&amp;VLOOKUP(RIGHT(C115,3),NameConv!$E$3:$F$16,2,FALSE)&amp;" - Existing"</f>
        <v>Commercial - Other - Electricity - Existing</v>
      </c>
      <c r="B115" s="722" t="str">
        <f t="shared" si="82"/>
        <v>CEOELC-E</v>
      </c>
      <c r="C115" s="723" t="str">
        <f>$E$6</f>
        <v>COMELC</v>
      </c>
      <c r="D115" s="723" t="str">
        <f t="shared" si="88"/>
        <v>CEO</v>
      </c>
      <c r="E115" s="347">
        <f>Appliances!J45</f>
        <v>0.75</v>
      </c>
      <c r="F115" s="566">
        <f ca="1">SUMIF(AFA!$B$3:$S$3,D115,AFA!$B$4:$J$4)</f>
        <v>0.64739999999999998</v>
      </c>
      <c r="G115" s="348">
        <v>15</v>
      </c>
      <c r="H115" s="349">
        <f t="shared" ca="1" si="89"/>
        <v>25.423170549618511</v>
      </c>
      <c r="I115" s="349">
        <f>SUMIF('Technology costs'!$B$7:$B$28,COM_2017!B115,'Technology costs'!$L$7:$L$28)</f>
        <v>410.88682603593844</v>
      </c>
      <c r="J115" s="349">
        <f t="shared" si="26"/>
        <v>41.088682603593845</v>
      </c>
      <c r="K115" s="705">
        <v>0</v>
      </c>
      <c r="L115" s="350">
        <f>Appliances!F27</f>
        <v>1</v>
      </c>
      <c r="M115" s="349">
        <f t="shared" si="83"/>
        <v>21.9452808184307</v>
      </c>
      <c r="N115" s="349">
        <f t="shared" si="84"/>
        <v>16.458960613823024</v>
      </c>
      <c r="P115" s="696"/>
      <c r="Q115" s="694"/>
      <c r="R115" s="694">
        <f t="shared" si="85"/>
        <v>0.82299037746452364</v>
      </c>
      <c r="S115" s="694">
        <f t="shared" ref="S115:Y115" si="91">MIN(1,$R115+S$52)</f>
        <v>0.85299037746452366</v>
      </c>
      <c r="T115" s="694">
        <f t="shared" si="91"/>
        <v>0.92299037746452361</v>
      </c>
      <c r="U115" s="694">
        <f t="shared" si="91"/>
        <v>1</v>
      </c>
      <c r="V115" s="694">
        <f t="shared" si="91"/>
        <v>1</v>
      </c>
      <c r="W115" s="694">
        <f t="shared" si="91"/>
        <v>1</v>
      </c>
      <c r="X115" s="694">
        <f t="shared" si="91"/>
        <v>1</v>
      </c>
      <c r="Y115" s="694">
        <f t="shared" si="91"/>
        <v>1</v>
      </c>
      <c r="AA115" s="696"/>
      <c r="AB115" s="694"/>
      <c r="AC115" s="694">
        <f t="shared" si="86"/>
        <v>0.80685331123972903</v>
      </c>
      <c r="AD115" s="804">
        <f t="shared" si="87"/>
        <v>0.78264771190253712</v>
      </c>
      <c r="AE115" s="804">
        <f t="shared" si="87"/>
        <v>0.72616798011575612</v>
      </c>
      <c r="AF115" s="804">
        <f t="shared" si="87"/>
        <v>0.56479731786781029</v>
      </c>
      <c r="AG115" s="804">
        <f t="shared" si="87"/>
        <v>0.36308399005787806</v>
      </c>
      <c r="AH115" s="804">
        <f t="shared" si="87"/>
        <v>0.12102799668595934</v>
      </c>
      <c r="AI115" s="804">
        <f t="shared" si="87"/>
        <v>4.0342665561986457E-2</v>
      </c>
      <c r="AJ115" s="804">
        <f t="shared" si="87"/>
        <v>0</v>
      </c>
      <c r="AK115" s="705">
        <f t="shared" si="27"/>
        <v>55</v>
      </c>
      <c r="AP115"/>
      <c r="AQ115" s="765" t="s">
        <v>1504</v>
      </c>
      <c r="AR115" t="s">
        <v>1331</v>
      </c>
      <c r="AS115" s="722" t="s">
        <v>1332</v>
      </c>
      <c r="AT115" s="705" t="s">
        <v>647</v>
      </c>
      <c r="AU115" s="705" t="s">
        <v>662</v>
      </c>
      <c r="AV115" s="314" t="s">
        <v>734</v>
      </c>
      <c r="AW115"/>
      <c r="AZ115" s="705" t="s">
        <v>1520</v>
      </c>
      <c r="BB115" s="705" t="str">
        <f t="shared" si="24"/>
        <v>CEO</v>
      </c>
      <c r="BC115" s="705" t="str">
        <f t="shared" si="25"/>
        <v>Commercial - Other - Electricity - Existing</v>
      </c>
      <c r="BD115" s="705" t="s">
        <v>647</v>
      </c>
      <c r="BF115" s="314" t="s">
        <v>1503</v>
      </c>
    </row>
    <row r="116" spans="1:58">
      <c r="A116" s="722" t="str">
        <f>A$51&amp;" - "&amp;VLOOKUP(RIGHT(C116,3),NameConv!$E$3:$F$16,2,FALSE)&amp;" - Existing"</f>
        <v>Commercial - Other - Gas - Existing</v>
      </c>
      <c r="B116" s="722" t="str">
        <f t="shared" si="82"/>
        <v>CEOGAS-E</v>
      </c>
      <c r="C116" s="723" t="str">
        <f>$F$6</f>
        <v>COMGAS</v>
      </c>
      <c r="D116" s="723" t="str">
        <f t="shared" si="88"/>
        <v>CEO</v>
      </c>
      <c r="E116" s="347">
        <v>1</v>
      </c>
      <c r="F116" s="566">
        <f ca="1">SUMIF(AFA!$B$3:$S$3,D116,AFA!$B$4:$J$4)</f>
        <v>0.64739999999999998</v>
      </c>
      <c r="G116" s="348">
        <v>15</v>
      </c>
      <c r="H116" s="349">
        <f t="shared" ca="1" si="89"/>
        <v>0</v>
      </c>
      <c r="I116" s="349">
        <f>SUMIF('Technology costs'!$B$7:$B$28,COM_2017!B116,'Technology costs'!$L$7:$L$28)</f>
        <v>410.88682603593844</v>
      </c>
      <c r="J116" s="349">
        <f t="shared" si="26"/>
        <v>41.088682603593845</v>
      </c>
      <c r="K116" s="705">
        <v>0</v>
      </c>
      <c r="L116" s="350">
        <f>Appliances!F27</f>
        <v>1</v>
      </c>
      <c r="M116" s="349">
        <f t="shared" si="83"/>
        <v>0</v>
      </c>
      <c r="N116" s="349">
        <f t="shared" si="84"/>
        <v>0</v>
      </c>
      <c r="P116" s="696"/>
      <c r="Q116" s="694"/>
      <c r="R116" s="694">
        <f t="shared" si="85"/>
        <v>0</v>
      </c>
      <c r="S116" s="699">
        <f>R116</f>
        <v>0</v>
      </c>
      <c r="T116" s="699">
        <f t="shared" ref="T116:Y116" si="92">S116</f>
        <v>0</v>
      </c>
      <c r="U116" s="699">
        <f t="shared" si="92"/>
        <v>0</v>
      </c>
      <c r="V116" s="699">
        <f t="shared" si="92"/>
        <v>0</v>
      </c>
      <c r="W116" s="699">
        <f t="shared" si="92"/>
        <v>0</v>
      </c>
      <c r="X116" s="699">
        <f t="shared" si="92"/>
        <v>0</v>
      </c>
      <c r="Y116" s="699">
        <f t="shared" si="92"/>
        <v>0</v>
      </c>
      <c r="AA116" s="696"/>
      <c r="AB116" s="694"/>
      <c r="AC116" s="694">
        <f t="shared" si="86"/>
        <v>0</v>
      </c>
      <c r="AD116" s="804">
        <f t="shared" si="87"/>
        <v>0</v>
      </c>
      <c r="AE116" s="804">
        <f t="shared" si="87"/>
        <v>0</v>
      </c>
      <c r="AF116" s="804">
        <f t="shared" si="87"/>
        <v>0</v>
      </c>
      <c r="AG116" s="804">
        <f t="shared" si="87"/>
        <v>0</v>
      </c>
      <c r="AH116" s="804">
        <f t="shared" si="87"/>
        <v>0</v>
      </c>
      <c r="AI116" s="804">
        <f t="shared" si="87"/>
        <v>0</v>
      </c>
      <c r="AJ116" s="804">
        <f t="shared" si="87"/>
        <v>0</v>
      </c>
      <c r="AK116" s="705">
        <f t="shared" si="27"/>
        <v>56</v>
      </c>
      <c r="AP116"/>
      <c r="AQ116" s="765" t="s">
        <v>1504</v>
      </c>
      <c r="AR116" t="s">
        <v>1333</v>
      </c>
      <c r="AS116" s="722" t="s">
        <v>1334</v>
      </c>
      <c r="AT116" s="705" t="s">
        <v>647</v>
      </c>
      <c r="AU116" s="705" t="s">
        <v>662</v>
      </c>
      <c r="AV116" s="314" t="s">
        <v>734</v>
      </c>
      <c r="AW116"/>
      <c r="AZ116" s="705" t="s">
        <v>1520</v>
      </c>
      <c r="BB116" s="705" t="str">
        <f t="shared" si="24"/>
        <v>CEO</v>
      </c>
      <c r="BC116" s="705" t="str">
        <f t="shared" si="25"/>
        <v>Commercial - Other - Gas - Existing</v>
      </c>
      <c r="BD116" s="705" t="s">
        <v>647</v>
      </c>
      <c r="BF116" s="314" t="s">
        <v>734</v>
      </c>
    </row>
    <row r="117" spans="1:58">
      <c r="A117" s="722" t="str">
        <f>A$51&amp;" - "&amp;VLOOKUP(RIGHT(C117,3),NameConv!$E$3:$F$16,2,FALSE)&amp;" - Existing"</f>
        <v>Commercial - Other - Oil Gasoline - Existing</v>
      </c>
      <c r="B117" s="722" t="str">
        <f t="shared" si="82"/>
        <v>CEOOGS-E</v>
      </c>
      <c r="C117" s="723" t="str">
        <f>$G$6</f>
        <v>COMOGS</v>
      </c>
      <c r="D117" s="723" t="str">
        <f t="shared" si="88"/>
        <v>CEO</v>
      </c>
      <c r="E117" s="347">
        <v>1</v>
      </c>
      <c r="F117" s="566">
        <f ca="1">SUMIF(AFA!$B$3:$S$3,D117,AFA!$B$4:$J$4)</f>
        <v>0.64739999999999998</v>
      </c>
      <c r="G117" s="348">
        <v>15</v>
      </c>
      <c r="H117" s="349">
        <f t="shared" ca="1" si="89"/>
        <v>0</v>
      </c>
      <c r="I117" s="349">
        <f>SUMIF('Technology costs'!$B$7:$B$28,COM_2017!B117,'Technology costs'!$L$7:$L$28)</f>
        <v>410.88682603593844</v>
      </c>
      <c r="J117" s="349">
        <f t="shared" si="26"/>
        <v>41.088682603593845</v>
      </c>
      <c r="K117" s="705">
        <v>0</v>
      </c>
      <c r="L117" s="350">
        <f>Appliances!F27</f>
        <v>1</v>
      </c>
      <c r="M117" s="349">
        <f t="shared" si="83"/>
        <v>0</v>
      </c>
      <c r="N117" s="349">
        <f t="shared" si="84"/>
        <v>0</v>
      </c>
      <c r="P117" s="696"/>
      <c r="Q117" s="694"/>
      <c r="R117" s="694">
        <f t="shared" si="85"/>
        <v>0</v>
      </c>
      <c r="S117" s="699">
        <f t="shared" ref="S117:Y119" si="93">R117</f>
        <v>0</v>
      </c>
      <c r="T117" s="699">
        <f t="shared" si="93"/>
        <v>0</v>
      </c>
      <c r="U117" s="699">
        <f t="shared" si="93"/>
        <v>0</v>
      </c>
      <c r="V117" s="699">
        <f t="shared" si="93"/>
        <v>0</v>
      </c>
      <c r="W117" s="699">
        <f t="shared" si="93"/>
        <v>0</v>
      </c>
      <c r="X117" s="699">
        <f t="shared" si="93"/>
        <v>0</v>
      </c>
      <c r="Y117" s="699">
        <f t="shared" si="93"/>
        <v>0</v>
      </c>
      <c r="AA117" s="696"/>
      <c r="AB117" s="694"/>
      <c r="AC117" s="694">
        <f t="shared" si="86"/>
        <v>0</v>
      </c>
      <c r="AD117" s="804">
        <f t="shared" si="87"/>
        <v>0</v>
      </c>
      <c r="AE117" s="804">
        <f t="shared" si="87"/>
        <v>0</v>
      </c>
      <c r="AF117" s="804">
        <f t="shared" si="87"/>
        <v>0</v>
      </c>
      <c r="AG117" s="804">
        <f t="shared" si="87"/>
        <v>0</v>
      </c>
      <c r="AH117" s="804">
        <f t="shared" si="87"/>
        <v>0</v>
      </c>
      <c r="AI117" s="804">
        <f t="shared" si="87"/>
        <v>0</v>
      </c>
      <c r="AJ117" s="804">
        <f t="shared" si="87"/>
        <v>0</v>
      </c>
      <c r="AK117" s="705">
        <f t="shared" si="27"/>
        <v>57</v>
      </c>
      <c r="AP117"/>
      <c r="AQ117" s="765" t="s">
        <v>1504</v>
      </c>
      <c r="AR117" t="s">
        <v>1335</v>
      </c>
      <c r="AS117" s="722" t="s">
        <v>1336</v>
      </c>
      <c r="AT117" s="705" t="s">
        <v>647</v>
      </c>
      <c r="AU117" s="705" t="s">
        <v>662</v>
      </c>
      <c r="AV117" s="314" t="s">
        <v>734</v>
      </c>
      <c r="AW117"/>
      <c r="AZ117" s="705" t="s">
        <v>1520</v>
      </c>
      <c r="BB117" s="705" t="str">
        <f t="shared" si="24"/>
        <v>CEO</v>
      </c>
      <c r="BC117" s="705" t="str">
        <f t="shared" si="25"/>
        <v>Commercial - Other - Oil Gasoline - Existing</v>
      </c>
      <c r="BD117" s="705" t="s">
        <v>647</v>
      </c>
      <c r="BF117" s="314" t="s">
        <v>734</v>
      </c>
    </row>
    <row r="118" spans="1:58">
      <c r="A118" s="722" t="str">
        <f>A$51&amp;" - "&amp;VLOOKUP(RIGHT(C118,3),NameConv!$E$3:$F$16,2,FALSE)&amp;" - Existing"</f>
        <v>Commercial - Other - Oil HFO - Existing</v>
      </c>
      <c r="B118" s="722" t="str">
        <f t="shared" si="82"/>
        <v>CEOOHF-E</v>
      </c>
      <c r="C118" s="723" t="str">
        <f>$H$6</f>
        <v>COMOHF</v>
      </c>
      <c r="D118" s="723" t="str">
        <f t="shared" si="88"/>
        <v>CEO</v>
      </c>
      <c r="E118" s="347">
        <v>1</v>
      </c>
      <c r="F118" s="566">
        <f ca="1">SUMIF(AFA!$B$3:$S$3,D118,AFA!$B$4:$J$4)</f>
        <v>0.64739999999999998</v>
      </c>
      <c r="G118" s="348">
        <v>15</v>
      </c>
      <c r="H118" s="349">
        <f t="shared" ca="1" si="89"/>
        <v>4.2477602718566576</v>
      </c>
      <c r="I118" s="349">
        <f>SUMIF('Technology costs'!$B$7:$B$28,COM_2017!B118,'Technology costs'!$L$7:$L$28)</f>
        <v>410.88682603593844</v>
      </c>
      <c r="J118" s="349">
        <f t="shared" si="26"/>
        <v>41.088682603593845</v>
      </c>
      <c r="K118" s="705">
        <v>0</v>
      </c>
      <c r="L118" s="350">
        <f>Appliances!F27</f>
        <v>1</v>
      </c>
      <c r="M118" s="349">
        <f t="shared" si="83"/>
        <v>2.75</v>
      </c>
      <c r="N118" s="349">
        <f t="shared" si="84"/>
        <v>2.75</v>
      </c>
      <c r="P118" s="696"/>
      <c r="Q118" s="694"/>
      <c r="R118" s="694">
        <f t="shared" si="85"/>
        <v>0.13750707539373272</v>
      </c>
      <c r="S118" s="699">
        <f t="shared" si="93"/>
        <v>0.13750707539373272</v>
      </c>
      <c r="T118" s="699">
        <f t="shared" si="93"/>
        <v>0.13750707539373272</v>
      </c>
      <c r="U118" s="699">
        <f t="shared" si="93"/>
        <v>0.13750707539373272</v>
      </c>
      <c r="V118" s="699">
        <f t="shared" si="93"/>
        <v>0.13750707539373272</v>
      </c>
      <c r="W118" s="699">
        <f t="shared" si="93"/>
        <v>0.13750707539373272</v>
      </c>
      <c r="X118" s="699">
        <f t="shared" si="93"/>
        <v>0.13750707539373272</v>
      </c>
      <c r="Y118" s="699">
        <f t="shared" si="93"/>
        <v>0.13750707539373272</v>
      </c>
      <c r="AA118" s="696"/>
      <c r="AB118" s="694"/>
      <c r="AC118" s="694">
        <f t="shared" si="86"/>
        <v>0.13481085822914973</v>
      </c>
      <c r="AD118" s="804">
        <f t="shared" si="87"/>
        <v>0.13076653248227524</v>
      </c>
      <c r="AE118" s="804">
        <f t="shared" si="87"/>
        <v>0.12132977240623476</v>
      </c>
      <c r="AF118" s="804">
        <f t="shared" si="87"/>
        <v>9.4367600760404804E-2</v>
      </c>
      <c r="AG118" s="804">
        <f t="shared" si="87"/>
        <v>6.0664886203117378E-2</v>
      </c>
      <c r="AH118" s="804">
        <f t="shared" si="87"/>
        <v>2.0221628734372461E-2</v>
      </c>
      <c r="AI118" s="804">
        <f t="shared" si="87"/>
        <v>6.7405429114574872E-3</v>
      </c>
      <c r="AJ118" s="804">
        <f t="shared" si="87"/>
        <v>0</v>
      </c>
      <c r="AK118" s="705">
        <f t="shared" si="27"/>
        <v>58</v>
      </c>
      <c r="AP118"/>
      <c r="AQ118" s="765" t="s">
        <v>1504</v>
      </c>
      <c r="AR118" t="s">
        <v>1337</v>
      </c>
      <c r="AS118" s="722" t="s">
        <v>1338</v>
      </c>
      <c r="AT118" s="705" t="s">
        <v>647</v>
      </c>
      <c r="AU118" s="705" t="s">
        <v>662</v>
      </c>
      <c r="AV118" s="314" t="s">
        <v>734</v>
      </c>
      <c r="AW118"/>
      <c r="AZ118" s="705" t="s">
        <v>1520</v>
      </c>
      <c r="BB118" s="705" t="str">
        <f t="shared" si="24"/>
        <v>CEO</v>
      </c>
      <c r="BC118" s="705" t="str">
        <f t="shared" si="25"/>
        <v>Commercial - Other - Oil HFO - Existing</v>
      </c>
      <c r="BD118" s="705" t="s">
        <v>647</v>
      </c>
      <c r="BF118" s="314" t="s">
        <v>734</v>
      </c>
    </row>
    <row r="119" spans="1:58">
      <c r="A119" s="722" t="str">
        <f>A$51&amp;" - "&amp;VLOOKUP(RIGHT(C119,3),NameConv!$E$3:$F$16,2,FALSE)&amp;" - Existing"</f>
        <v>Commercial - Other - Oil Paraffin - Existing</v>
      </c>
      <c r="B119" s="722" t="str">
        <f t="shared" si="82"/>
        <v>CEOOKE-E</v>
      </c>
      <c r="C119" s="723" t="str">
        <f>$I$6</f>
        <v>COMOKE</v>
      </c>
      <c r="D119" s="723" t="str">
        <f t="shared" si="88"/>
        <v>CEO</v>
      </c>
      <c r="E119" s="347">
        <v>1</v>
      </c>
      <c r="F119" s="566">
        <f ca="1">SUMIF(AFA!$B$3:$S$3,D119,AFA!$B$4:$J$4)</f>
        <v>0.64739999999999998</v>
      </c>
      <c r="G119" s="348">
        <v>15</v>
      </c>
      <c r="H119" s="349">
        <f t="shared" ca="1" si="89"/>
        <v>0</v>
      </c>
      <c r="I119" s="349">
        <f>SUMIF('Technology costs'!$B$7:$B$29,COM_2017!B119,'Technology costs'!$L$7:$L$29)</f>
        <v>410.88682603593844</v>
      </c>
      <c r="J119" s="349">
        <f>I119*0.1</f>
        <v>41.088682603593845</v>
      </c>
      <c r="K119" s="705">
        <v>0</v>
      </c>
      <c r="L119" s="350">
        <f>Appliances!F33</f>
        <v>1</v>
      </c>
      <c r="M119" s="349">
        <f t="shared" si="83"/>
        <v>0</v>
      </c>
      <c r="N119" s="349">
        <f t="shared" si="84"/>
        <v>0</v>
      </c>
      <c r="P119" s="696"/>
      <c r="Q119" s="694"/>
      <c r="R119" s="694">
        <f t="shared" si="85"/>
        <v>0</v>
      </c>
      <c r="S119" s="699">
        <f t="shared" si="93"/>
        <v>0</v>
      </c>
      <c r="T119" s="699">
        <f t="shared" si="93"/>
        <v>0</v>
      </c>
      <c r="U119" s="699">
        <f t="shared" si="93"/>
        <v>0</v>
      </c>
      <c r="V119" s="699">
        <f t="shared" si="93"/>
        <v>0</v>
      </c>
      <c r="W119" s="699">
        <f t="shared" si="93"/>
        <v>0</v>
      </c>
      <c r="X119" s="699">
        <f t="shared" si="93"/>
        <v>0</v>
      </c>
      <c r="Y119" s="699">
        <f t="shared" si="93"/>
        <v>0</v>
      </c>
      <c r="AA119" s="696"/>
      <c r="AB119" s="694"/>
      <c r="AC119" s="694">
        <f t="shared" si="86"/>
        <v>0</v>
      </c>
      <c r="AD119" s="804">
        <f t="shared" si="87"/>
        <v>0</v>
      </c>
      <c r="AE119" s="804">
        <f t="shared" si="87"/>
        <v>0</v>
      </c>
      <c r="AF119" s="804">
        <f t="shared" si="87"/>
        <v>0</v>
      </c>
      <c r="AG119" s="804">
        <f t="shared" si="87"/>
        <v>0</v>
      </c>
      <c r="AH119" s="804">
        <f t="shared" si="87"/>
        <v>0</v>
      </c>
      <c r="AI119" s="804">
        <f t="shared" si="87"/>
        <v>0</v>
      </c>
      <c r="AJ119" s="804">
        <f t="shared" si="87"/>
        <v>0</v>
      </c>
      <c r="AK119" s="705">
        <f t="shared" si="27"/>
        <v>59</v>
      </c>
      <c r="AP119"/>
      <c r="AQ119" s="765" t="s">
        <v>1504</v>
      </c>
      <c r="AR119" t="s">
        <v>1339</v>
      </c>
      <c r="AS119" s="722" t="s">
        <v>1340</v>
      </c>
      <c r="AT119" s="705" t="s">
        <v>647</v>
      </c>
      <c r="AU119" s="705" t="s">
        <v>662</v>
      </c>
      <c r="AV119" s="314" t="s">
        <v>734</v>
      </c>
      <c r="AW119"/>
      <c r="AZ119" s="705" t="s">
        <v>1520</v>
      </c>
      <c r="BB119" s="705" t="str">
        <f t="shared" si="24"/>
        <v>CEO</v>
      </c>
      <c r="BC119" s="705" t="str">
        <f t="shared" si="25"/>
        <v>Commercial - Other - Oil Paraffin - Existing</v>
      </c>
      <c r="BD119" s="705" t="s">
        <v>647</v>
      </c>
      <c r="BF119" s="314" t="s">
        <v>734</v>
      </c>
    </row>
    <row r="120" spans="1:58">
      <c r="A120" s="742" t="s">
        <v>1538</v>
      </c>
      <c r="L120" s="733"/>
      <c r="M120" s="356">
        <f>SUM(M113:M119)</f>
        <v>25.795280818430701</v>
      </c>
      <c r="N120" s="356">
        <f>SUM(N113:N119)</f>
        <v>20.198960613823022</v>
      </c>
      <c r="AK120" s="705">
        <f t="shared" si="27"/>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7"/>
        <v>61</v>
      </c>
    </row>
    <row r="122" spans="1:58">
      <c r="AP122"/>
      <c r="AQ122"/>
      <c r="AR122"/>
      <c r="AS122"/>
      <c r="AT122" s="314"/>
      <c r="AU122" s="314"/>
      <c r="AV122" s="314"/>
      <c r="AW122"/>
    </row>
    <row r="123" spans="1:58">
      <c r="E123" s="757"/>
      <c r="AP123"/>
      <c r="AQ123"/>
      <c r="AR123"/>
      <c r="AS123"/>
      <c r="AT123" s="314"/>
      <c r="AU123" s="314"/>
      <c r="AV123" s="314"/>
      <c r="AW123"/>
    </row>
    <row r="124" spans="1:58">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4"/>
      <c r="B130" s="764"/>
      <c r="C130" s="763"/>
      <c r="D130" s="763"/>
      <c r="E130" s="763"/>
      <c r="F130" s="763"/>
      <c r="G130" s="763"/>
      <c r="H130" s="763"/>
      <c r="I130" s="314"/>
      <c r="AP130"/>
      <c r="AQ130"/>
      <c r="AR130"/>
      <c r="AS130"/>
      <c r="AT130" s="314"/>
      <c r="AU130" s="314"/>
      <c r="AV130" s="314"/>
      <c r="AW130"/>
    </row>
    <row r="131" spans="1:49">
      <c r="A131" s="762"/>
      <c r="B131" s="739"/>
      <c r="C131" s="794"/>
      <c r="D131" s="794"/>
      <c r="E131" s="794"/>
      <c r="F131" s="794"/>
      <c r="G131" s="794"/>
      <c r="H131" s="794"/>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opLeftCell="A40" zoomScale="94" zoomScaleNormal="115" workbookViewId="0">
      <selection activeCell="E19" sqref="E19"/>
    </sheetView>
  </sheetViews>
  <sheetFormatPr defaultColWidth="8.85546875" defaultRowHeight="12.75"/>
  <cols>
    <col min="1" max="1" width="52.7109375" customWidth="1"/>
    <col min="2" max="2" width="29.42578125" customWidth="1"/>
    <col min="3" max="17" width="8.42578125" customWidth="1"/>
    <col min="18" max="37" width="10" customWidth="1"/>
    <col min="38" max="38" width="11.7109375" customWidth="1"/>
    <col min="39" max="42" width="10" customWidth="1"/>
    <col min="45" max="45" width="18.5703125" customWidth="1"/>
    <col min="46" max="46" width="52.140625" customWidth="1"/>
    <col min="56" max="56" width="48.85546875" customWidth="1"/>
  </cols>
  <sheetData>
    <row r="1" spans="1:42" s="307" customFormat="1" ht="15.75">
      <c r="A1" s="490" t="s">
        <v>441</v>
      </c>
      <c r="B1" s="795" t="s">
        <v>638</v>
      </c>
      <c r="C1" s="795"/>
      <c r="D1" s="795"/>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COM_2017!C7</f>
        <v>27.73</v>
      </c>
      <c r="D7" s="316">
        <f>COM_2017!D7</f>
        <v>1.1000000000000001</v>
      </c>
      <c r="E7" s="316">
        <f>COM_2017!E7</f>
        <v>137.7612</v>
      </c>
      <c r="F7" s="316">
        <f>COM_2017!F7</f>
        <v>1.232</v>
      </c>
      <c r="G7" s="316">
        <f>COM_2017!G7</f>
        <v>0</v>
      </c>
      <c r="H7" s="316">
        <f>COM_2017!H7</f>
        <v>2.75</v>
      </c>
      <c r="I7" s="316">
        <f>COM_2017!I7</f>
        <v>5.28</v>
      </c>
      <c r="J7" s="316">
        <f>COM_2017!J7</f>
        <v>2.15</v>
      </c>
      <c r="K7" s="316">
        <f>SUM(C7:J7)</f>
        <v>178.00320000000002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0.15578371624779777</v>
      </c>
      <c r="D8" s="416">
        <f>D7/$K$7</f>
        <v>6.1796641858123894E-3</v>
      </c>
      <c r="E8" s="416">
        <f t="shared" ref="E8:J8" si="2">E7/$K$7</f>
        <v>0.77392541257685243</v>
      </c>
      <c r="F8" s="416">
        <f t="shared" si="2"/>
        <v>6.9212238881098754E-3</v>
      </c>
      <c r="G8" s="416">
        <f t="shared" si="2"/>
        <v>0</v>
      </c>
      <c r="H8" s="416">
        <f t="shared" si="2"/>
        <v>1.5449160464530973E-2</v>
      </c>
      <c r="I8" s="416">
        <f t="shared" si="2"/>
        <v>2.9662388091899469E-2</v>
      </c>
      <c r="J8" s="416">
        <f t="shared" si="2"/>
        <v>1.2078434544996942E-2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186.39561159375924</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30.503000000000007</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155.89261159375923</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c r="A43" s="343" t="str">
        <f t="shared" ref="A43:B51" si="9">A31</f>
        <v>Commercial - Cooling</v>
      </c>
      <c r="B43" s="346" t="str">
        <f t="shared" si="9"/>
        <v>CNC</v>
      </c>
      <c r="C43" s="321">
        <f t="shared" ref="C43:J49" si="10">C31*C$7</f>
        <v>0</v>
      </c>
      <c r="D43" s="321">
        <f t="shared" si="10"/>
        <v>0</v>
      </c>
      <c r="E43" s="321">
        <f>E31*E$7</f>
        <v>45.375519199794304</v>
      </c>
      <c r="F43" s="321">
        <f t="shared" si="10"/>
        <v>0</v>
      </c>
      <c r="G43" s="321">
        <f t="shared" si="10"/>
        <v>0</v>
      </c>
      <c r="H43" s="321">
        <f t="shared" si="10"/>
        <v>0</v>
      </c>
      <c r="I43" s="321">
        <f t="shared" si="10"/>
        <v>0</v>
      </c>
      <c r="J43" s="321">
        <f t="shared" si="10"/>
        <v>0</v>
      </c>
      <c r="K43" s="330">
        <f t="shared" ref="K43:K50" si="11">SUM(C43:J43)</f>
        <v>45.375519199794304</v>
      </c>
      <c r="L43" s="307"/>
      <c r="M43" s="307"/>
      <c r="N43" s="459">
        <f>E43/0.0036</f>
        <v>12604.310888831751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c r="A44" s="343" t="str">
        <f t="shared" si="9"/>
        <v>Commercial - Space Heating</v>
      </c>
      <c r="B44" s="346" t="str">
        <f t="shared" si="9"/>
        <v>CNH</v>
      </c>
      <c r="C44" s="321">
        <f t="shared" si="10"/>
        <v>15.062139135812419</v>
      </c>
      <c r="D44" s="321">
        <f>D32*D$7</f>
        <v>0</v>
      </c>
      <c r="E44" s="321">
        <f>E32*E$7</f>
        <v>2.7103061542120312</v>
      </c>
      <c r="F44" s="321">
        <f t="shared" si="10"/>
        <v>0</v>
      </c>
      <c r="G44" s="321">
        <f t="shared" si="10"/>
        <v>0</v>
      </c>
      <c r="H44" s="321">
        <f t="shared" si="10"/>
        <v>0</v>
      </c>
      <c r="I44" s="321">
        <f t="shared" si="10"/>
        <v>0</v>
      </c>
      <c r="J44" s="321">
        <f t="shared" si="10"/>
        <v>0</v>
      </c>
      <c r="K44" s="330">
        <f t="shared" si="11"/>
        <v>17.77244529002445</v>
      </c>
      <c r="L44" s="307"/>
      <c r="M44" s="307"/>
      <c r="N44" s="307">
        <f t="shared" ref="N44:N51" si="12">E44/0.0036</f>
        <v>752.8628206144532</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0.21722461939319382</v>
      </c>
      <c r="K45" s="330">
        <f t="shared" si="11"/>
        <v>0.41722461939319383</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c r="A46" s="343" t="str">
        <f t="shared" si="9"/>
        <v>Commercial - Lighting</v>
      </c>
      <c r="B46" s="346" t="str">
        <f t="shared" si="9"/>
        <v>CNL</v>
      </c>
      <c r="C46" s="321">
        <f t="shared" si="10"/>
        <v>0</v>
      </c>
      <c r="D46" s="321">
        <f>D34*D$7</f>
        <v>0</v>
      </c>
      <c r="E46" s="321">
        <f t="shared" ref="E46:E51" si="13">E34*E$7</f>
        <v>24.560157495154996</v>
      </c>
      <c r="F46" s="321">
        <f t="shared" si="10"/>
        <v>0</v>
      </c>
      <c r="G46" s="321">
        <f t="shared" si="10"/>
        <v>0</v>
      </c>
      <c r="H46" s="321">
        <f t="shared" si="10"/>
        <v>0</v>
      </c>
      <c r="I46" s="321">
        <f t="shared" si="10"/>
        <v>0</v>
      </c>
      <c r="J46" s="321">
        <f t="shared" si="10"/>
        <v>0</v>
      </c>
      <c r="K46" s="330">
        <f t="shared" si="11"/>
        <v>24.560157495154996</v>
      </c>
      <c r="L46" s="307"/>
      <c r="M46" s="307"/>
      <c r="N46" s="307">
        <f t="shared" si="12"/>
        <v>6822.2659708763877</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c r="A47" s="343" t="str">
        <f t="shared" si="9"/>
        <v>Commercial - Refrigeration</v>
      </c>
      <c r="B47" s="346" t="str">
        <f t="shared" si="9"/>
        <v>CNR</v>
      </c>
      <c r="C47" s="321">
        <f t="shared" si="10"/>
        <v>0</v>
      </c>
      <c r="D47" s="321">
        <f>D35*D$7</f>
        <v>0</v>
      </c>
      <c r="E47" s="321">
        <f t="shared" si="13"/>
        <v>27.184456041138358</v>
      </c>
      <c r="F47" s="321">
        <f t="shared" si="10"/>
        <v>0</v>
      </c>
      <c r="G47" s="321">
        <f t="shared" si="10"/>
        <v>0</v>
      </c>
      <c r="H47" s="321">
        <f t="shared" si="10"/>
        <v>0</v>
      </c>
      <c r="I47" s="321">
        <f t="shared" si="10"/>
        <v>0</v>
      </c>
      <c r="J47" s="321">
        <f t="shared" si="10"/>
        <v>0</v>
      </c>
      <c r="K47" s="330">
        <f t="shared" si="11"/>
        <v>27.184456041138358</v>
      </c>
      <c r="L47" s="307"/>
      <c r="M47" s="307"/>
      <c r="N47" s="307">
        <f t="shared" si="12"/>
        <v>7551.2377892050999</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c r="A48" s="343" t="str">
        <f t="shared" si="9"/>
        <v>Commercial - Water Heating</v>
      </c>
      <c r="B48" s="346" t="str">
        <f t="shared" si="9"/>
        <v>CNW</v>
      </c>
      <c r="C48" s="321">
        <f t="shared" si="10"/>
        <v>12.648070260620566</v>
      </c>
      <c r="D48" s="321">
        <f>D36*D$7</f>
        <v>0</v>
      </c>
      <c r="E48" s="321">
        <f t="shared" si="13"/>
        <v>1.1882423368329196</v>
      </c>
      <c r="F48" s="321">
        <f t="shared" si="10"/>
        <v>0</v>
      </c>
      <c r="G48" s="321">
        <f t="shared" si="10"/>
        <v>0</v>
      </c>
      <c r="H48" s="321">
        <f t="shared" si="10"/>
        <v>0</v>
      </c>
      <c r="I48" s="321">
        <f t="shared" si="10"/>
        <v>0</v>
      </c>
      <c r="J48" s="321">
        <f t="shared" si="10"/>
        <v>1.932775380606806</v>
      </c>
      <c r="K48" s="330">
        <f t="shared" si="11"/>
        <v>15.769087978060291</v>
      </c>
      <c r="L48" s="307"/>
      <c r="M48" s="307"/>
      <c r="N48" s="307">
        <f t="shared" si="12"/>
        <v>330.06731578692211</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c r="A49" s="343" t="str">
        <f t="shared" si="9"/>
        <v>Commercial - Public Lights</v>
      </c>
      <c r="B49" s="346" t="str">
        <f t="shared" si="9"/>
        <v>CNG</v>
      </c>
      <c r="C49" s="321">
        <f t="shared" si="10"/>
        <v>0</v>
      </c>
      <c r="D49" s="321">
        <f t="shared" si="10"/>
        <v>0</v>
      </c>
      <c r="E49" s="321">
        <f>E37*E$7</f>
        <v>2.7719919728870046</v>
      </c>
      <c r="F49" s="321">
        <f t="shared" si="10"/>
        <v>0</v>
      </c>
      <c r="G49" s="321">
        <f t="shared" si="10"/>
        <v>0</v>
      </c>
      <c r="H49" s="321">
        <f t="shared" si="10"/>
        <v>0</v>
      </c>
      <c r="I49" s="321">
        <f t="shared" si="10"/>
        <v>0</v>
      </c>
      <c r="J49" s="321">
        <f t="shared" si="10"/>
        <v>0</v>
      </c>
      <c r="K49" s="330">
        <f t="shared" si="11"/>
        <v>2.7719919728870046</v>
      </c>
      <c r="L49" s="307"/>
      <c r="M49" s="307"/>
      <c r="N49" s="307">
        <f t="shared" si="12"/>
        <v>769.99777024639025</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c r="A50" s="343" t="str">
        <f t="shared" si="9"/>
        <v>Commercial - Public Water</v>
      </c>
      <c r="B50" s="346" t="str">
        <f t="shared" si="9"/>
        <v>CNT</v>
      </c>
      <c r="C50" s="321"/>
      <c r="D50" s="321"/>
      <c r="E50" s="321">
        <f t="shared" si="13"/>
        <v>3.2726019758762139</v>
      </c>
      <c r="F50" s="321"/>
      <c r="G50" s="321"/>
      <c r="H50" s="321"/>
      <c r="I50" s="321"/>
      <c r="J50" s="321"/>
      <c r="K50" s="330">
        <f t="shared" si="11"/>
        <v>3.2726019758762139</v>
      </c>
      <c r="L50" s="307"/>
      <c r="M50" s="307"/>
      <c r="N50" s="307">
        <f t="shared" si="12"/>
        <v>909.05610441005945</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c r="A51" s="343" t="str">
        <f t="shared" si="9"/>
        <v>Commercial - Other</v>
      </c>
      <c r="B51" s="346" t="str">
        <f t="shared" si="9"/>
        <v>CNO</v>
      </c>
      <c r="C51" s="321">
        <f>C39*C$7</f>
        <v>1.9790603567018086E-2</v>
      </c>
      <c r="D51" s="321">
        <f>D39*D$7</f>
        <v>1.1000000000000001</v>
      </c>
      <c r="E51" s="321">
        <f t="shared" si="13"/>
        <v>21.945280818430714</v>
      </c>
      <c r="F51" s="321">
        <f>F39*F$7</f>
        <v>1.232</v>
      </c>
      <c r="G51" s="321">
        <f>G39*G$7</f>
        <v>0</v>
      </c>
      <c r="H51" s="321">
        <f>H39*H$7</f>
        <v>2.75</v>
      </c>
      <c r="I51" s="321">
        <f>I39*I$7</f>
        <v>5.28</v>
      </c>
      <c r="J51" s="321">
        <f>J39*J$7</f>
        <v>0</v>
      </c>
      <c r="K51" s="330">
        <f>SUM(C51:J51)</f>
        <v>32.327071421997729</v>
      </c>
      <c r="L51" s="307"/>
      <c r="M51" s="307"/>
      <c r="N51" s="307">
        <f t="shared" si="12"/>
        <v>6095.9113384529765</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5">
      <c r="A52" s="331" t="str">
        <f>A40</f>
        <v>Total</v>
      </c>
      <c r="B52" s="343"/>
      <c r="C52" s="330">
        <f t="shared" ref="C52:K52" si="14">SUM(C43:C51)</f>
        <v>27.730000000000004</v>
      </c>
      <c r="D52" s="330">
        <f t="shared" si="14"/>
        <v>1.1000000000000001</v>
      </c>
      <c r="E52" s="330">
        <f t="shared" si="14"/>
        <v>129.20855599432656</v>
      </c>
      <c r="F52" s="330">
        <f t="shared" si="14"/>
        <v>1.232</v>
      </c>
      <c r="G52" s="330">
        <f t="shared" si="14"/>
        <v>0</v>
      </c>
      <c r="H52" s="330">
        <f t="shared" si="14"/>
        <v>2.75</v>
      </c>
      <c r="I52" s="330">
        <f t="shared" si="14"/>
        <v>5.28</v>
      </c>
      <c r="J52" s="330">
        <f t="shared" si="14"/>
        <v>2.15</v>
      </c>
      <c r="K52" s="330">
        <f t="shared" si="14"/>
        <v>169.45055599432658</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8.25">
      <c r="A56" s="335" t="s">
        <v>676</v>
      </c>
      <c r="B56" s="335" t="s">
        <v>677</v>
      </c>
      <c r="C56" s="335" t="s">
        <v>678</v>
      </c>
      <c r="D56" s="335" t="s">
        <v>679</v>
      </c>
      <c r="E56" s="732" t="s">
        <v>731</v>
      </c>
      <c r="F56" s="732" t="s">
        <v>1551</v>
      </c>
      <c r="G56" s="732" t="s">
        <v>741</v>
      </c>
      <c r="H56" s="732" t="s">
        <v>1673</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5.25"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 si="83">U113</f>
        <v>0</v>
      </c>
      <c r="W113" s="411">
        <f t="shared" ref="W113" si="84">V113</f>
        <v>0</v>
      </c>
      <c r="X113" s="411">
        <f t="shared" ref="X113" si="85">W113</f>
        <v>0</v>
      </c>
      <c r="Y113" s="411">
        <f t="shared" ref="Y113"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 t="shared" si="90"/>
        <v>0.18015598697730933</v>
      </c>
      <c r="U114" s="411">
        <f t="shared" si="90"/>
        <v>0.38015598697730935</v>
      </c>
      <c r="V114" s="411">
        <f t="shared" si="90"/>
        <v>0.5801559869773093</v>
      </c>
      <c r="W114" s="411">
        <f t="shared" si="90"/>
        <v>0.78015598697730926</v>
      </c>
      <c r="X114" s="411">
        <f t="shared" si="90"/>
        <v>0.98015598697730932</v>
      </c>
      <c r="Y114" s="411">
        <f t="shared" si="90"/>
        <v>1</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 t="shared" si="90"/>
        <v>0.1</v>
      </c>
      <c r="U116" s="411">
        <f t="shared" si="90"/>
        <v>0.3</v>
      </c>
      <c r="V116" s="411">
        <f t="shared" si="90"/>
        <v>0.5</v>
      </c>
      <c r="W116" s="411">
        <f t="shared" si="90"/>
        <v>0.7</v>
      </c>
      <c r="X116" s="411">
        <f t="shared" si="90"/>
        <v>0.9</v>
      </c>
      <c r="Y116" s="411">
        <f t="shared" si="90"/>
        <v>1</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 t="shared" si="90"/>
        <v>0.1</v>
      </c>
      <c r="U117" s="411">
        <f t="shared" si="90"/>
        <v>0.3</v>
      </c>
      <c r="V117" s="411">
        <f t="shared" si="90"/>
        <v>0.5</v>
      </c>
      <c r="W117" s="411">
        <f t="shared" si="90"/>
        <v>0.7</v>
      </c>
      <c r="X117" s="411">
        <f t="shared" si="90"/>
        <v>0.9</v>
      </c>
      <c r="Y117" s="411">
        <f t="shared" si="90"/>
        <v>1</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si="90"/>
        <v>0.11385204197097303</v>
      </c>
      <c r="U118" s="411">
        <f t="shared" si="90"/>
        <v>0.31385204197097299</v>
      </c>
      <c r="V118" s="411">
        <f t="shared" si="90"/>
        <v>0.51385204197097301</v>
      </c>
      <c r="W118" s="411">
        <f t="shared" si="90"/>
        <v>0.71385204197097296</v>
      </c>
      <c r="X118" s="411">
        <f t="shared" si="90"/>
        <v>0.91385204197097303</v>
      </c>
      <c r="Y118" s="411">
        <f t="shared" si="90"/>
        <v>1</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Y119" si="91">R119</f>
        <v>0</v>
      </c>
      <c r="T119" s="411">
        <f t="shared" si="91"/>
        <v>0</v>
      </c>
      <c r="U119" s="411">
        <f t="shared" si="91"/>
        <v>0</v>
      </c>
      <c r="V119" s="411">
        <f t="shared" si="91"/>
        <v>0</v>
      </c>
      <c r="W119" s="411">
        <f t="shared" si="91"/>
        <v>0</v>
      </c>
      <c r="X119" s="411">
        <f t="shared" si="91"/>
        <v>0</v>
      </c>
      <c r="Y119" s="411">
        <f t="shared" si="91"/>
        <v>0</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2578125" defaultRowHeight="12.75"/>
  <cols>
    <col min="1" max="1" width="11.42578125" style="1"/>
    <col min="2" max="3" width="15" style="1" customWidth="1"/>
    <col min="4" max="5" width="11.42578125" style="1"/>
    <col min="6" max="6" width="14" style="1" customWidth="1"/>
    <col min="7" max="8" width="11.42578125" style="1"/>
    <col min="9" max="9" width="24.140625" style="1" customWidth="1"/>
    <col min="10"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5.5">
      <c r="A9" s="9"/>
      <c r="B9" s="223" t="s">
        <v>42</v>
      </c>
      <c r="C9" s="223" t="s">
        <v>468</v>
      </c>
      <c r="D9" s="223" t="s">
        <v>469</v>
      </c>
      <c r="E9" s="223" t="s">
        <v>470</v>
      </c>
      <c r="F9" s="223" t="s">
        <v>471</v>
      </c>
      <c r="G9" s="223" t="s">
        <v>472</v>
      </c>
      <c r="H9" s="223" t="s">
        <v>43</v>
      </c>
      <c r="I9" s="9" t="s">
        <v>525</v>
      </c>
    </row>
    <row r="10" spans="1:23" ht="38.25">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5.5">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40625" defaultRowHeight="12.75"/>
  <cols>
    <col min="1" max="1" width="12.85546875" style="461" customWidth="1"/>
    <col min="2" max="2" width="6.85546875" style="461" customWidth="1"/>
    <col min="3" max="23" width="5.42578125" style="461" customWidth="1"/>
    <col min="24" max="28" width="9.140625" style="461"/>
    <col min="29" max="29" width="15.140625" style="461" customWidth="1"/>
    <col min="30" max="30" width="9.140625" style="461"/>
    <col min="31" max="31" width="12.140625" style="461" customWidth="1"/>
    <col min="32" max="16384" width="9.140625" style="461"/>
  </cols>
  <sheetData>
    <row r="1" spans="1:33" ht="15.95"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5"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5.95"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5.95"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5">
      <c r="A14" s="461" t="s">
        <v>858</v>
      </c>
      <c r="B14" s="469">
        <f>1/B15</f>
        <v>1.1665213324705017</v>
      </c>
      <c r="E14" s="469">
        <f>1/E15</f>
        <v>1.6888866539095024</v>
      </c>
      <c r="G14" s="469">
        <f>1/G15</f>
        <v>1.5853980057513077</v>
      </c>
    </row>
    <row r="15" spans="1:33" ht="1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5"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5"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5"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5"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5"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5"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5546875" defaultRowHeight="12.75"/>
  <cols>
    <col min="1" max="1" width="50" customWidth="1"/>
    <col min="2" max="2" width="17" customWidth="1"/>
    <col min="3" max="3" width="8.42578125" customWidth="1"/>
    <col min="4" max="4" width="14.85546875" customWidth="1"/>
    <col min="5" max="5" width="12" customWidth="1"/>
    <col min="6" max="6" width="15" customWidth="1"/>
    <col min="7" max="7" width="10.5703125" customWidth="1"/>
    <col min="8" max="8" width="14.140625" customWidth="1"/>
    <col min="9" max="9" width="16.85546875" customWidth="1"/>
  </cols>
  <sheetData>
    <row r="1" spans="1:12">
      <c r="A1" s="314"/>
    </row>
    <row r="4" spans="1:12" ht="13.5" thickBot="1">
      <c r="B4" s="480" t="s">
        <v>923</v>
      </c>
      <c r="C4" s="481">
        <f>Deflator!P25</f>
        <v>6.3593283333333304</v>
      </c>
      <c r="D4" t="s">
        <v>920</v>
      </c>
      <c r="E4" s="458"/>
    </row>
    <row r="5" spans="1:12" ht="13.5" thickBot="1">
      <c r="D5" s="796" t="s">
        <v>781</v>
      </c>
      <c r="E5" s="797"/>
      <c r="F5" s="798"/>
      <c r="G5" s="796" t="s">
        <v>780</v>
      </c>
      <c r="H5" s="797"/>
      <c r="I5" s="798"/>
      <c r="J5" s="314"/>
    </row>
    <row r="6" spans="1:12">
      <c r="C6" s="314" t="s">
        <v>777</v>
      </c>
      <c r="D6" s="314" t="s">
        <v>778</v>
      </c>
      <c r="E6" s="314" t="s">
        <v>442</v>
      </c>
      <c r="F6" s="314" t="s">
        <v>1195</v>
      </c>
      <c r="G6" s="392" t="s">
        <v>782</v>
      </c>
      <c r="H6" s="393" t="s">
        <v>1196</v>
      </c>
      <c r="I6" s="394" t="s">
        <v>786</v>
      </c>
      <c r="L6" t="s">
        <v>1660</v>
      </c>
    </row>
    <row r="7" spans="1:12" ht="1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7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2578125" defaultRowHeight="11.25"/>
  <cols>
    <col min="1" max="1" width="12.140625" style="304" customWidth="1"/>
    <col min="2" max="2" width="42.42578125" style="304" customWidth="1"/>
    <col min="3" max="3" width="28.42578125" style="304" customWidth="1"/>
    <col min="4" max="4" width="21.7109375" style="304" customWidth="1"/>
    <col min="5" max="16384" width="11.425781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2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2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2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799" t="s">
        <v>567</v>
      </c>
      <c r="O44" s="799"/>
      <c r="P44" s="799"/>
    </row>
    <row r="45" spans="1:16" ht="38.2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2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99" t="s">
        <v>567</v>
      </c>
      <c r="O56" s="799"/>
      <c r="P56" s="799"/>
    </row>
    <row r="57" spans="1:28" ht="38.2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38.25">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9" t="s">
        <v>567</v>
      </c>
      <c r="O54" s="799"/>
      <c r="P54" s="799"/>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9" t="s">
        <v>567</v>
      </c>
      <c r="O66" s="799"/>
      <c r="P66" s="799"/>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9" t="s">
        <v>567</v>
      </c>
      <c r="O54" s="799"/>
      <c r="P54" s="799"/>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9" t="s">
        <v>567</v>
      </c>
      <c r="O66" s="799"/>
      <c r="P66" s="799"/>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75"/>
  <cols>
    <col min="1" max="1" width="34.425781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 width="12.42578125" style="68" bestFit="1" customWidth="1"/>
    <col min="17" max="16384" width="9" style="68"/>
  </cols>
  <sheetData>
    <row r="1" spans="1:256" s="158" customFormat="1" ht="12.75" customHeight="1">
      <c r="A1" s="800" t="s">
        <v>1262</v>
      </c>
      <c r="B1" s="800"/>
      <c r="C1" s="800"/>
      <c r="D1" s="800"/>
      <c r="E1" s="800"/>
      <c r="F1" s="800"/>
      <c r="G1" s="800"/>
      <c r="H1" s="800"/>
      <c r="I1" s="800"/>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800" t="s">
        <v>1268</v>
      </c>
      <c r="B14" s="800"/>
      <c r="C14" s="800"/>
      <c r="D14" s="800"/>
      <c r="E14" s="800"/>
      <c r="F14" s="800"/>
      <c r="G14" s="800"/>
      <c r="H14" s="800"/>
      <c r="I14" s="800"/>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800" t="s">
        <v>1269</v>
      </c>
      <c r="B18" s="800"/>
      <c r="C18" s="800"/>
      <c r="D18" s="800"/>
      <c r="E18" s="800"/>
      <c r="F18" s="800"/>
      <c r="G18" s="800"/>
      <c r="H18" s="800"/>
      <c r="I18" s="800"/>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800" t="s">
        <v>1282</v>
      </c>
      <c r="B32" s="800"/>
      <c r="C32" s="800"/>
      <c r="D32" s="800"/>
      <c r="E32" s="800"/>
      <c r="F32" s="800"/>
      <c r="G32" s="800"/>
      <c r="H32" s="800"/>
      <c r="I32" s="800"/>
      <c r="J32" s="800"/>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800" t="s">
        <v>500</v>
      </c>
      <c r="B44" s="800"/>
      <c r="C44" s="800"/>
      <c r="D44" s="800"/>
      <c r="E44" s="800"/>
      <c r="F44" s="800"/>
      <c r="G44" s="800"/>
      <c r="H44" s="800"/>
      <c r="I44" s="800"/>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800" t="s">
        <v>1359</v>
      </c>
      <c r="B53" s="800"/>
      <c r="C53" s="800"/>
      <c r="D53" s="800"/>
      <c r="E53" s="800"/>
      <c r="F53" s="800"/>
      <c r="G53" s="800"/>
      <c r="H53" s="800"/>
      <c r="I53" s="800"/>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800" t="s">
        <v>507</v>
      </c>
      <c r="B75" s="800"/>
      <c r="C75" s="800"/>
      <c r="D75" s="800"/>
      <c r="E75" s="800"/>
      <c r="F75" s="800"/>
      <c r="G75" s="800"/>
      <c r="H75" s="800"/>
      <c r="I75" s="800"/>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75"/>
  <cols>
    <col min="1" max="1" width="24.1406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384" width="9" style="68"/>
  </cols>
  <sheetData>
    <row r="1" spans="1:256" s="158" customFormat="1" ht="12.75" customHeight="1">
      <c r="A1" s="800" t="s">
        <v>1262</v>
      </c>
      <c r="B1" s="800"/>
      <c r="C1" s="800"/>
      <c r="D1" s="800"/>
      <c r="E1" s="800"/>
      <c r="F1" s="800"/>
      <c r="G1" s="800"/>
      <c r="H1" s="800"/>
      <c r="I1" s="800"/>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800" t="s">
        <v>1268</v>
      </c>
      <c r="B14" s="800"/>
      <c r="C14" s="800"/>
      <c r="D14" s="800"/>
      <c r="E14" s="800"/>
      <c r="F14" s="800"/>
      <c r="G14" s="800"/>
      <c r="H14" s="800"/>
      <c r="I14" s="800"/>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800" t="s">
        <v>1269</v>
      </c>
      <c r="B18" s="800"/>
      <c r="C18" s="800"/>
      <c r="D18" s="800"/>
      <c r="E18" s="800"/>
      <c r="F18" s="800"/>
      <c r="G18" s="800"/>
      <c r="H18" s="800"/>
      <c r="I18" s="800"/>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800" t="s">
        <v>1282</v>
      </c>
      <c r="B32" s="800"/>
      <c r="C32" s="800"/>
      <c r="D32" s="800"/>
      <c r="E32" s="800"/>
      <c r="F32" s="800"/>
      <c r="G32" s="800"/>
      <c r="H32" s="800"/>
      <c r="I32" s="800"/>
      <c r="J32" s="800"/>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800" t="s">
        <v>500</v>
      </c>
      <c r="B44" s="800"/>
      <c r="C44" s="800"/>
      <c r="D44" s="800"/>
      <c r="E44" s="800"/>
      <c r="F44" s="800"/>
      <c r="G44" s="800"/>
      <c r="H44" s="800"/>
      <c r="I44" s="800"/>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800" t="s">
        <v>1359</v>
      </c>
      <c r="B53" s="800"/>
      <c r="C53" s="800"/>
      <c r="D53" s="800"/>
      <c r="E53" s="800"/>
      <c r="F53" s="800"/>
      <c r="G53" s="800"/>
      <c r="H53" s="800"/>
      <c r="I53" s="800"/>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800" t="s">
        <v>507</v>
      </c>
      <c r="B75" s="800"/>
      <c r="C75" s="800"/>
      <c r="D75" s="800"/>
      <c r="E75" s="800"/>
      <c r="F75" s="800"/>
      <c r="G75" s="800"/>
      <c r="H75" s="800"/>
      <c r="I75" s="800"/>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31" zoomScale="65" workbookViewId="0">
      <selection activeCell="D55" sqref="D55"/>
    </sheetView>
  </sheetViews>
  <sheetFormatPr defaultColWidth="8.85546875" defaultRowHeight="12.75"/>
  <cols>
    <col min="1" max="1" width="52.7109375" style="314" customWidth="1"/>
    <col min="2" max="11" width="8.42578125" style="314" customWidth="1"/>
    <col min="12" max="17" width="6.28515625" style="314" customWidth="1"/>
    <col min="18" max="37" width="10" style="314" customWidth="1"/>
    <col min="38" max="38" width="11.7109375" style="314" customWidth="1"/>
    <col min="39" max="42" width="10" style="314" customWidth="1"/>
    <col min="43" max="16384" width="8.85546875" style="314"/>
  </cols>
  <sheetData>
    <row r="1" spans="1:42">
      <c r="A1" s="551" t="s">
        <v>441</v>
      </c>
      <c r="B1" s="801" t="s">
        <v>638</v>
      </c>
      <c r="C1" s="801"/>
      <c r="D1" s="801"/>
      <c r="E1" s="485" t="s">
        <v>639</v>
      </c>
      <c r="F1" s="485"/>
      <c r="G1" s="485"/>
      <c r="H1" s="551"/>
      <c r="I1" s="485"/>
      <c r="J1" s="551"/>
      <c r="K1" s="576"/>
    </row>
    <row r="2" spans="1:42">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5.5">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90"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c r="A68" s="343" t="str">
        <f>"\I:"&amp;A44</f>
        <v>\I:Commercial - Space Heating</v>
      </c>
      <c r="B68" s="343"/>
      <c r="C68" s="353"/>
      <c r="D68" s="353"/>
      <c r="E68" s="339"/>
      <c r="F68" s="566"/>
      <c r="G68" s="339"/>
      <c r="H68" s="339"/>
      <c r="I68" s="349"/>
      <c r="J68" s="349"/>
      <c r="K68" s="357"/>
      <c r="L68" s="358"/>
      <c r="M68" s="358"/>
      <c r="AK68" s="314">
        <f t="shared" si="28"/>
        <v>8</v>
      </c>
    </row>
    <row r="69" spans="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c r="A75" s="343" t="str">
        <f>"\I:"&amp;A45</f>
        <v>\I:Commercial - Cooking</v>
      </c>
      <c r="B75" s="343"/>
      <c r="C75" s="353"/>
      <c r="D75" s="353"/>
      <c r="E75" s="339"/>
      <c r="F75" s="566"/>
      <c r="G75" s="339"/>
      <c r="H75" s="339"/>
      <c r="I75" s="349"/>
      <c r="J75" s="349"/>
      <c r="K75" s="357"/>
      <c r="L75" s="358"/>
      <c r="M75" s="358"/>
      <c r="AK75" s="314">
        <f t="shared" si="28"/>
        <v>15</v>
      </c>
    </row>
    <row r="76" spans="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c r="A80" s="343" t="str">
        <f>"\I:"&amp;A46</f>
        <v>\I:Commercial - Lighting</v>
      </c>
      <c r="B80" s="343"/>
      <c r="C80" s="353"/>
      <c r="D80" s="353"/>
      <c r="E80" s="339"/>
      <c r="F80" s="566"/>
      <c r="G80" s="339"/>
      <c r="H80" s="339"/>
      <c r="I80" s="349"/>
      <c r="J80" s="349"/>
      <c r="K80" s="357"/>
      <c r="L80" s="358"/>
      <c r="M80" s="358"/>
      <c r="AK80" s="314">
        <f t="shared" si="28"/>
        <v>20</v>
      </c>
    </row>
    <row r="81" spans="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c r="A88" s="343" t="str">
        <f>"\I:"&amp;A47</f>
        <v>\I:Commercial - Refrigeration</v>
      </c>
      <c r="B88" s="343"/>
      <c r="C88" s="353"/>
      <c r="D88" s="353"/>
      <c r="E88" s="339"/>
      <c r="F88" s="566"/>
      <c r="G88" s="339"/>
      <c r="H88" s="349"/>
      <c r="I88" s="349"/>
      <c r="J88" s="349"/>
      <c r="K88" s="357"/>
      <c r="L88" s="358"/>
      <c r="M88" s="358"/>
      <c r="AK88" s="314">
        <f t="shared" si="28"/>
        <v>28</v>
      </c>
    </row>
    <row r="89" spans="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c r="A92" s="343" t="str">
        <f>"\I:"&amp;A48</f>
        <v>\I:Commercial - Water Heating</v>
      </c>
      <c r="B92" s="343"/>
      <c r="C92" s="353"/>
      <c r="D92" s="353"/>
      <c r="E92" s="339"/>
      <c r="F92" s="566"/>
      <c r="G92" s="339"/>
      <c r="H92" s="349"/>
      <c r="I92" s="349"/>
      <c r="J92" s="349"/>
      <c r="K92" s="357"/>
      <c r="L92" s="358"/>
      <c r="M92" s="358"/>
      <c r="AK92" s="314">
        <f t="shared" si="28"/>
        <v>32</v>
      </c>
    </row>
    <row r="93" spans="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c r="A101" s="343" t="str">
        <f>"\I:"&amp;A49</f>
        <v>\I:Commercial - Public Lights</v>
      </c>
      <c r="F101" s="566"/>
      <c r="H101" s="349"/>
      <c r="I101" s="349"/>
      <c r="J101" s="349"/>
      <c r="L101" s="563"/>
      <c r="M101" s="356"/>
      <c r="N101" s="356"/>
      <c r="AK101" s="314">
        <f t="shared" si="28"/>
        <v>41</v>
      </c>
    </row>
    <row r="102" spans="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c r="A109" s="343" t="str">
        <f>"\I:"&amp;A50</f>
        <v>\I:Commercial - Public Water</v>
      </c>
      <c r="B109" s="343"/>
      <c r="D109" s="571"/>
      <c r="F109" s="566"/>
      <c r="H109" s="349"/>
      <c r="I109" s="349"/>
      <c r="J109" s="349"/>
      <c r="L109" s="563"/>
      <c r="M109" s="356"/>
      <c r="N109" s="356"/>
      <c r="AK109" s="314">
        <f t="shared" si="28"/>
        <v>49</v>
      </c>
    </row>
    <row r="110" spans="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c r="A111" s="352" t="s">
        <v>704</v>
      </c>
      <c r="F111" s="566"/>
      <c r="H111" s="349"/>
      <c r="I111" s="349"/>
      <c r="J111" s="349"/>
      <c r="L111" s="563"/>
      <c r="M111" s="356"/>
      <c r="N111" s="356"/>
      <c r="AK111" s="314">
        <f t="shared" si="28"/>
        <v>51</v>
      </c>
      <c r="AL111" s="314" t="str">
        <f>LEFT(B110,3)</f>
        <v>CET</v>
      </c>
    </row>
    <row r="112" spans="1:38">
      <c r="A112" s="343" t="str">
        <f>"\I:"&amp;A51</f>
        <v>\I:Commercial - Other</v>
      </c>
      <c r="B112" s="343"/>
      <c r="C112" s="353"/>
      <c r="D112" s="353"/>
      <c r="E112" s="339"/>
      <c r="F112" s="566"/>
      <c r="G112" s="339"/>
      <c r="H112" s="349"/>
      <c r="I112" s="349"/>
      <c r="J112" s="349"/>
      <c r="K112" s="357"/>
      <c r="L112" s="358"/>
      <c r="M112" s="358"/>
      <c r="AK112" s="314">
        <f t="shared" si="28"/>
        <v>52</v>
      </c>
    </row>
    <row r="113" spans="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5546875" defaultRowHeight="12.75"/>
  <cols>
    <col min="1" max="1" width="52.7109375" style="314" customWidth="1"/>
    <col min="2" max="2" width="19.7109375" style="314" customWidth="1"/>
    <col min="3" max="7" width="11.28515625" style="314" customWidth="1"/>
    <col min="8" max="8" width="10" style="314" customWidth="1"/>
    <col min="9" max="9" width="12" style="314" customWidth="1"/>
    <col min="10" max="35" width="10" style="314" customWidth="1"/>
    <col min="36" max="36" width="11.7109375" style="314" customWidth="1"/>
    <col min="37" max="40" width="10" style="314" customWidth="1"/>
    <col min="41" max="16384" width="8.85546875" style="314"/>
  </cols>
  <sheetData>
    <row r="1" spans="1:40">
      <c r="A1" s="551" t="s">
        <v>441</v>
      </c>
      <c r="B1" s="801" t="s">
        <v>638</v>
      </c>
      <c r="C1" s="801"/>
      <c r="D1" s="801"/>
      <c r="E1" s="485" t="s">
        <v>639</v>
      </c>
      <c r="F1" s="485"/>
      <c r="G1" s="485"/>
      <c r="H1" s="551"/>
      <c r="I1" s="485"/>
      <c r="J1" s="551"/>
      <c r="K1" s="576"/>
    </row>
    <row r="2" spans="1:40">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51.7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c r="A79" s="352" t="s">
        <v>704</v>
      </c>
      <c r="F79" s="566"/>
      <c r="I79" s="349"/>
      <c r="J79" s="349"/>
      <c r="L79" s="563">
        <f>SUM(L76)</f>
        <v>1</v>
      </c>
      <c r="M79" s="356">
        <f>SUM(M76:M78)</f>
        <v>9.9379469205889865</v>
      </c>
      <c r="N79" s="356">
        <f>SUM(N76:N78)</f>
        <v>9.894499756529763</v>
      </c>
      <c r="AI79" s="314">
        <f t="shared" si="32"/>
        <v>19</v>
      </c>
      <c r="AL79" s="390">
        <f t="shared" si="30"/>
        <v>0</v>
      </c>
    </row>
    <row r="80" spans="1:39">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c r="A101" s="343" t="str">
        <f>"\I:"&amp;A49</f>
        <v>\I:Commercial - Public Lights</v>
      </c>
      <c r="F101" s="566"/>
      <c r="H101" s="349"/>
      <c r="I101" s="349"/>
      <c r="J101" s="349"/>
      <c r="L101" s="563"/>
      <c r="M101" s="356"/>
      <c r="N101" s="356"/>
      <c r="AI101" s="314">
        <f t="shared" si="32"/>
        <v>41</v>
      </c>
      <c r="AL101" s="390">
        <f t="shared" si="30"/>
        <v>0</v>
      </c>
      <c r="AM101" s="390"/>
    </row>
    <row r="102" spans="1:39">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c r="A111" s="352" t="s">
        <v>704</v>
      </c>
      <c r="F111" s="566"/>
      <c r="H111" s="349"/>
      <c r="I111" s="349"/>
      <c r="J111" s="349"/>
      <c r="L111" s="563"/>
      <c r="M111" s="356"/>
      <c r="N111" s="356"/>
      <c r="AI111" s="314">
        <f t="shared" si="32"/>
        <v>51</v>
      </c>
      <c r="AL111" s="390">
        <f t="shared" si="30"/>
        <v>0</v>
      </c>
      <c r="AM111" s="390"/>
    </row>
    <row r="112" spans="1:39">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5546875" defaultRowHeight="12.75"/>
  <cols>
    <col min="1" max="1" width="52.7109375" customWidth="1"/>
    <col min="2" max="2" width="40.28515625" customWidth="1"/>
    <col min="3" max="3" width="20.7109375" customWidth="1"/>
    <col min="4" max="4" width="15.85546875" customWidth="1"/>
    <col min="5" max="6" width="10" customWidth="1"/>
    <col min="7" max="7" width="13.42578125" customWidth="1"/>
    <col min="8" max="8" width="10" customWidth="1"/>
    <col min="9" max="9" width="12" customWidth="1"/>
    <col min="10" max="37" width="10" customWidth="1"/>
    <col min="38" max="38" width="11.7109375" customWidth="1"/>
    <col min="39" max="42" width="10" customWidth="1"/>
  </cols>
  <sheetData>
    <row r="1" spans="1:42" s="307" customFormat="1" ht="15.75">
      <c r="A1" s="490" t="s">
        <v>441</v>
      </c>
      <c r="B1" s="795" t="s">
        <v>638</v>
      </c>
      <c r="C1" s="795"/>
      <c r="D1" s="795"/>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52.5"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5">
      <c r="A79" s="352" t="s">
        <v>704</v>
      </c>
      <c r="F79" s="382"/>
      <c r="I79" s="349"/>
      <c r="J79" s="349"/>
      <c r="L79" s="359"/>
      <c r="M79" s="356"/>
      <c r="N79" s="356"/>
      <c r="P79" s="479"/>
      <c r="AK79" s="314">
        <f t="shared" si="26"/>
        <v>19</v>
      </c>
      <c r="AN79" s="389">
        <f t="shared" si="31"/>
        <v>0</v>
      </c>
    </row>
    <row r="80" spans="1:41" ht="1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5">
      <c r="A101" s="343" t="str">
        <f>"\I:"&amp;A49</f>
        <v>\I:Commercial - Public Lights</v>
      </c>
      <c r="F101" s="382"/>
      <c r="H101" s="349"/>
      <c r="I101" s="349"/>
      <c r="J101" s="349"/>
      <c r="L101" s="359"/>
      <c r="M101" s="356"/>
      <c r="N101" s="356"/>
      <c r="P101" s="479"/>
      <c r="AK101" s="314">
        <f t="shared" si="26"/>
        <v>41</v>
      </c>
      <c r="AN101" s="389"/>
      <c r="AO101" s="389"/>
    </row>
    <row r="102" spans="1:41" ht="1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5">
      <c r="A109" s="343" t="str">
        <f>"\I:"&amp;A50</f>
        <v>\I:Commercial - Public Water</v>
      </c>
      <c r="B109" s="343"/>
      <c r="D109" s="430"/>
      <c r="F109" s="382"/>
      <c r="H109" s="349"/>
      <c r="I109" s="349"/>
      <c r="J109" s="349"/>
      <c r="L109" s="359"/>
      <c r="M109" s="356"/>
      <c r="N109" s="356"/>
      <c r="P109" s="479"/>
      <c r="AK109" s="314">
        <f t="shared" si="26"/>
        <v>49</v>
      </c>
      <c r="AN109" s="389"/>
      <c r="AO109" s="389"/>
    </row>
    <row r="110" spans="1:41"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5">
      <c r="A111" s="352" t="s">
        <v>704</v>
      </c>
      <c r="F111" s="382"/>
      <c r="H111" s="349"/>
      <c r="I111" s="349"/>
      <c r="J111" s="349"/>
      <c r="L111" s="359"/>
      <c r="M111" s="356"/>
      <c r="N111" s="356"/>
      <c r="P111" s="479"/>
      <c r="AK111" s="314">
        <f t="shared" si="26"/>
        <v>51</v>
      </c>
      <c r="AN111" s="389"/>
      <c r="AO111" s="389"/>
    </row>
    <row r="112" spans="1:41" ht="1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2578125" defaultRowHeight="11.25"/>
  <cols>
    <col min="1" max="1" width="12.42578125" style="304" customWidth="1"/>
    <col min="2" max="2" width="11.42578125" style="304" customWidth="1"/>
    <col min="3" max="3" width="14.7109375" style="304" customWidth="1"/>
    <col min="4" max="4" width="44.28515625" style="304" customWidth="1"/>
    <col min="5" max="5" width="10.140625" style="304" customWidth="1"/>
    <col min="6" max="6" width="28.7109375" style="304" customWidth="1"/>
    <col min="7" max="16384" width="11.425781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3" r:id="rId3" name="cmdCheckItemsSheet">
          <controlPr defaultSize="0" autoLine="0" r:id="rId4">
            <anchor moveWithCells="1">
              <from>
                <xdr:col>0</xdr:col>
                <xdr:colOff>9525</xdr:colOff>
                <xdr:row>85</xdr:row>
                <xdr:rowOff>0</xdr:rowOff>
              </from>
              <to>
                <xdr:col>1</xdr:col>
                <xdr:colOff>0</xdr:colOff>
                <xdr:row>86</xdr:row>
                <xdr:rowOff>95250</xdr:rowOff>
              </to>
            </anchor>
          </controlPr>
        </control>
      </mc:Choice>
      <mc:Fallback>
        <control shapeId="1221633" r:id="rId3" name="cmdCheckItemsSheet"/>
      </mc:Fallback>
    </mc:AlternateContent>
    <mc:AlternateContent xmlns:mc="http://schemas.openxmlformats.org/markup-compatibility/2006">
      <mc:Choice Requires="x14">
        <control shapeId="1221634" r:id="rId5" name="cmdSpecifyComponent">
          <controlPr defaultSize="0" autoLine="0" r:id="rId6">
            <anchor moveWithCells="1">
              <from>
                <xdr:col>1</xdr:col>
                <xdr:colOff>9525</xdr:colOff>
                <xdr:row>85</xdr:row>
                <xdr:rowOff>0</xdr:rowOff>
              </from>
              <to>
                <xdr:col>2</xdr:col>
                <xdr:colOff>0</xdr:colOff>
                <xdr:row>86</xdr:row>
                <xdr:rowOff>95250</xdr:rowOff>
              </to>
            </anchor>
          </controlPr>
        </control>
      </mc:Choice>
      <mc:Fallback>
        <control shapeId="1221634" r:id="rId5" name="cmdSpecifyComponent"/>
      </mc:Fallback>
    </mc:AlternateContent>
    <mc:AlternateContent xmlns:mc="http://schemas.openxmlformats.org/markup-compatibility/2006">
      <mc:Choice Requires="x14">
        <control shapeId="1221635" r:id="rId7" name="cmdSpecifyUnits">
          <controlPr defaultSize="0" autoLine="0" r:id="rId8">
            <anchor moveWithCells="1">
              <from>
                <xdr:col>4</xdr:col>
                <xdr:colOff>9525</xdr:colOff>
                <xdr:row>85</xdr:row>
                <xdr:rowOff>0</xdr:rowOff>
              </from>
              <to>
                <xdr:col>5</xdr:col>
                <xdr:colOff>0</xdr:colOff>
                <xdr:row>86</xdr:row>
                <xdr:rowOff>95250</xdr:rowOff>
              </to>
            </anchor>
          </controlPr>
        </control>
      </mc:Choice>
      <mc:Fallback>
        <control shapeId="1221635" r:id="rId7" name="cmdSpecifyUnits"/>
      </mc:Fallback>
    </mc:AlternateContent>
    <mc:AlternateContent xmlns:mc="http://schemas.openxmlformats.org/markup-compatibility/2006">
      <mc:Choice Requires="x14">
        <control shapeId="1221636" r:id="rId9" name="cmdSpecifySets">
          <controlPr defaultSize="0" autoLine="0" r:id="rId10">
            <anchor moveWithCells="1">
              <from>
                <xdr:col>5</xdr:col>
                <xdr:colOff>9525</xdr:colOff>
                <xdr:row>85</xdr:row>
                <xdr:rowOff>0</xdr:rowOff>
              </from>
              <to>
                <xdr:col>6</xdr:col>
                <xdr:colOff>0</xdr:colOff>
                <xdr:row>86</xdr:row>
                <xdr:rowOff>95250</xdr:rowOff>
              </to>
            </anchor>
          </controlPr>
        </control>
      </mc:Choice>
      <mc:Fallback>
        <control shapeId="1221636" r:id="rId9" name="cmdSpecifySets"/>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2578125" defaultRowHeight="11.25"/>
  <cols>
    <col min="1" max="1" width="12.42578125" style="304" customWidth="1"/>
    <col min="2" max="2" width="11.42578125" style="304" customWidth="1"/>
    <col min="3" max="3" width="11" style="304" customWidth="1"/>
    <col min="4" max="4" width="44.28515625" style="304" customWidth="1"/>
    <col min="5" max="5" width="10.140625" style="304" customWidth="1"/>
    <col min="6" max="6" width="28.7109375" style="304" customWidth="1"/>
    <col min="7" max="16384" width="11.425781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69" r:id="rId3" name="cmdCheckItemsSheet">
          <controlPr defaultSize="0" autoLine="0" r:id="rId4">
            <anchor moveWithCells="1">
              <from>
                <xdr:col>0</xdr:col>
                <xdr:colOff>9525</xdr:colOff>
                <xdr:row>25</xdr:row>
                <xdr:rowOff>0</xdr:rowOff>
              </from>
              <to>
                <xdr:col>1</xdr:col>
                <xdr:colOff>0</xdr:colOff>
                <xdr:row>26</xdr:row>
                <xdr:rowOff>95250</xdr:rowOff>
              </to>
            </anchor>
          </controlPr>
        </control>
      </mc:Choice>
      <mc:Fallback>
        <control shapeId="7169" r:id="rId3" name="cmdCheckItemsSheet"/>
      </mc:Fallback>
    </mc:AlternateContent>
    <mc:AlternateContent xmlns:mc="http://schemas.openxmlformats.org/markup-compatibility/2006">
      <mc:Choice Requires="x14">
        <control shapeId="7170" r:id="rId5" name="cmdSpecifyComponent">
          <controlPr defaultSize="0" autoLine="0" r:id="rId6">
            <anchor moveWithCells="1">
              <from>
                <xdr:col>1</xdr:col>
                <xdr:colOff>9525</xdr:colOff>
                <xdr:row>25</xdr:row>
                <xdr:rowOff>0</xdr:rowOff>
              </from>
              <to>
                <xdr:col>2</xdr:col>
                <xdr:colOff>0</xdr:colOff>
                <xdr:row>26</xdr:row>
                <xdr:rowOff>95250</xdr:rowOff>
              </to>
            </anchor>
          </controlPr>
        </control>
      </mc:Choice>
      <mc:Fallback>
        <control shapeId="7170" r:id="rId5" name="cmdSpecifyComponent"/>
      </mc:Fallback>
    </mc:AlternateContent>
    <mc:AlternateContent xmlns:mc="http://schemas.openxmlformats.org/markup-compatibility/2006">
      <mc:Choice Requires="x14">
        <control shapeId="7171" r:id="rId7" name="cmdSpecifyUnits">
          <controlPr defaultSize="0" autoLine="0" r:id="rId8">
            <anchor moveWithCells="1">
              <from>
                <xdr:col>4</xdr:col>
                <xdr:colOff>9525</xdr:colOff>
                <xdr:row>25</xdr:row>
                <xdr:rowOff>0</xdr:rowOff>
              </from>
              <to>
                <xdr:col>5</xdr:col>
                <xdr:colOff>0</xdr:colOff>
                <xdr:row>26</xdr:row>
                <xdr:rowOff>95250</xdr:rowOff>
              </to>
            </anchor>
          </controlPr>
        </control>
      </mc:Choice>
      <mc:Fallback>
        <control shapeId="7171" r:id="rId7" name="cmdSpecifyUnits"/>
      </mc:Fallback>
    </mc:AlternateContent>
    <mc:AlternateContent xmlns:mc="http://schemas.openxmlformats.org/markup-compatibility/2006">
      <mc:Choice Requires="x14">
        <control shapeId="7172" r:id="rId9" name="cmdSpecifySets">
          <controlPr defaultSize="0" autoLine="0" r:id="rId10">
            <anchor moveWithCells="1">
              <from>
                <xdr:col>5</xdr:col>
                <xdr:colOff>9525</xdr:colOff>
                <xdr:row>25</xdr:row>
                <xdr:rowOff>0</xdr:rowOff>
              </from>
              <to>
                <xdr:col>6</xdr:col>
                <xdr:colOff>0</xdr:colOff>
                <xdr:row>26</xdr:row>
                <xdr:rowOff>95250</xdr:rowOff>
              </to>
            </anchor>
          </controlPr>
        </control>
      </mc:Choice>
      <mc:Fallback>
        <control shapeId="7172" r:id="rId9" name="cmdSpecifySets"/>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75"/>
  <cols>
    <col min="2" max="2" width="12.5703125" bestFit="1" customWidth="1"/>
    <col min="3" max="3" width="52.85546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2578125" defaultRowHeight="11.25"/>
  <cols>
    <col min="1" max="1" width="12.140625" style="304" customWidth="1"/>
    <col min="2" max="2" width="12" style="304" customWidth="1"/>
    <col min="3" max="3" width="14.5703125" style="304" customWidth="1"/>
    <col min="4" max="8" width="11.42578125" style="304" customWidth="1"/>
    <col min="9" max="10" width="7.42578125" style="304" customWidth="1"/>
    <col min="11" max="14" width="5.42578125" style="304" customWidth="1"/>
    <col min="15" max="15" width="5.42578125" style="657" customWidth="1"/>
    <col min="16"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193"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8193" r:id="rId3" name="cmdCheckTSandTIDDataSheet"/>
      </mc:Fallback>
    </mc:AlternateContent>
    <mc:AlternateContent xmlns:mc="http://schemas.openxmlformats.org/markup-compatibility/2006">
      <mc:Choice Requires="x14">
        <control shapeId="8194"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8194" r:id="rId5" name="cmdSpecifyParameter"/>
      </mc:Fallback>
    </mc:AlternateContent>
    <mc:AlternateContent xmlns:mc="http://schemas.openxmlformats.org/markup-compatibility/2006">
      <mc:Choice Requires="x14">
        <control shapeId="8195"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8195" r:id="rId7" name="cmdSpecifyArg1"/>
      </mc:Fallback>
    </mc:AlternateContent>
    <mc:AlternateContent xmlns:mc="http://schemas.openxmlformats.org/markup-compatibility/2006">
      <mc:Choice Requires="x14">
        <control shapeId="8196"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8196" r:id="rId9" name="cmdSpecifyArg2"/>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8197" r:id="rId11" name="cmdSpecifyArg3"/>
      </mc:Fallback>
    </mc:AlternateContent>
    <mc:AlternateContent xmlns:mc="http://schemas.openxmlformats.org/markup-compatibility/2006">
      <mc:Choice Requires="x14">
        <control shapeId="8198"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8198" r:id="rId13" name="cmdSpecifyArg4"/>
      </mc:Fallback>
    </mc:AlternateContent>
    <mc:AlternateContent xmlns:mc="http://schemas.openxmlformats.org/markup-compatibility/2006">
      <mc:Choice Requires="x14">
        <control shapeId="8199"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8199" r:id="rId15" name="cmdSpecifyArg5"/>
      </mc:Fallback>
    </mc:AlternateContent>
    <mc:AlternateContent xmlns:mc="http://schemas.openxmlformats.org/markup-compatibility/2006">
      <mc:Choice Requires="x14">
        <control shapeId="8200"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8200" r:id="rId17" name="cmdSpecifyArg6"/>
      </mc:Fallback>
    </mc:AlternateContent>
    <mc:AlternateContent xmlns:mc="http://schemas.openxmlformats.org/markup-compatibility/2006">
      <mc:Choice Requires="x14">
        <control shapeId="8201"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8201" r:id="rId19" name="cmdSpecifyIEOptcode"/>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2578125" defaultRowHeight="11.25"/>
  <cols>
    <col min="1" max="1" width="12.140625" style="304" customWidth="1"/>
    <col min="2" max="2" width="12" style="304" customWidth="1"/>
    <col min="3" max="3" width="15.7109375" style="304" customWidth="1"/>
    <col min="4" max="8" width="11.42578125" style="304" customWidth="1"/>
    <col min="9" max="10" width="7.42578125" style="304" customWidth="1"/>
    <col min="11"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5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2657" r:id="rId3" name="cmdCheckTSandTIDDataSheet"/>
      </mc:Fallback>
    </mc:AlternateContent>
    <mc:AlternateContent xmlns:mc="http://schemas.openxmlformats.org/markup-compatibility/2006">
      <mc:Choice Requires="x14">
        <control shapeId="122265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2658" r:id="rId5" name="cmdSpecifyParameter"/>
      </mc:Fallback>
    </mc:AlternateContent>
    <mc:AlternateContent xmlns:mc="http://schemas.openxmlformats.org/markup-compatibility/2006">
      <mc:Choice Requires="x14">
        <control shapeId="122265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2659" r:id="rId7" name="cmdSpecifyArg1"/>
      </mc:Fallback>
    </mc:AlternateContent>
    <mc:AlternateContent xmlns:mc="http://schemas.openxmlformats.org/markup-compatibility/2006">
      <mc:Choice Requires="x14">
        <control shapeId="122266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2660" r:id="rId9" name="cmdSpecifyArg2"/>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2661" r:id="rId11" name="cmdSpecifyArg3"/>
      </mc:Fallback>
    </mc:AlternateContent>
    <mc:AlternateContent xmlns:mc="http://schemas.openxmlformats.org/markup-compatibility/2006">
      <mc:Choice Requires="x14">
        <control shapeId="122266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2662" r:id="rId13" name="cmdSpecifyArg4"/>
      </mc:Fallback>
    </mc:AlternateContent>
    <mc:AlternateContent xmlns:mc="http://schemas.openxmlformats.org/markup-compatibility/2006">
      <mc:Choice Requires="x14">
        <control shapeId="122266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2663" r:id="rId15" name="cmdSpecifyArg5"/>
      </mc:Fallback>
    </mc:AlternateContent>
    <mc:AlternateContent xmlns:mc="http://schemas.openxmlformats.org/markup-compatibility/2006">
      <mc:Choice Requires="x14">
        <control shapeId="122266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2664" r:id="rId17" name="cmdSpecifyArg6"/>
      </mc:Fallback>
    </mc:AlternateContent>
    <mc:AlternateContent xmlns:mc="http://schemas.openxmlformats.org/markup-compatibility/2006">
      <mc:Choice Requires="x14">
        <control shapeId="122266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2665" r:id="rId19" name="cmdSpecifyIEOptcode"/>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2578125" defaultRowHeight="11.25"/>
  <cols>
    <col min="1" max="1" width="12.140625" style="304" customWidth="1"/>
    <col min="2" max="2" width="12" style="304" customWidth="1"/>
    <col min="3" max="3" width="14.42578125" style="304" customWidth="1"/>
    <col min="4" max="8" width="11.42578125" style="304" customWidth="1"/>
    <col min="9" max="9" width="7.42578125" style="304" customWidth="1"/>
    <col min="10" max="10" width="8.85546875" style="304" customWidth="1"/>
    <col min="11" max="49" width="5.42578125" style="304" customWidth="1"/>
    <col min="50" max="16384" width="11.425781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74529" r:id="rId3" name="cmdCheckTSandTIDDataSheet"/>
      </mc:Fallback>
    </mc:AlternateContent>
    <mc:AlternateContent xmlns:mc="http://schemas.openxmlformats.org/markup-compatibility/2006">
      <mc:Choice Requires="x14">
        <control shapeId="11745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74530" r:id="rId5" name="cmdSpecifyParameter"/>
      </mc:Fallback>
    </mc:AlternateContent>
    <mc:AlternateContent xmlns:mc="http://schemas.openxmlformats.org/markup-compatibility/2006">
      <mc:Choice Requires="x14">
        <control shapeId="11745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74531" r:id="rId7" name="cmdSpecifyArg1"/>
      </mc:Fallback>
    </mc:AlternateContent>
    <mc:AlternateContent xmlns:mc="http://schemas.openxmlformats.org/markup-compatibility/2006">
      <mc:Choice Requires="x14">
        <control shapeId="11745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74532" r:id="rId9" name="cmdSpecifyArg2"/>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74533" r:id="rId11" name="cmdSpecifyArg3"/>
      </mc:Fallback>
    </mc:AlternateContent>
    <mc:AlternateContent xmlns:mc="http://schemas.openxmlformats.org/markup-compatibility/2006">
      <mc:Choice Requires="x14">
        <control shapeId="11745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74534" r:id="rId13" name="cmdSpecifyArg4"/>
      </mc:Fallback>
    </mc:AlternateContent>
    <mc:AlternateContent xmlns:mc="http://schemas.openxmlformats.org/markup-compatibility/2006">
      <mc:Choice Requires="x14">
        <control shapeId="11745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74535" r:id="rId15" name="cmdSpecifyArg5"/>
      </mc:Fallback>
    </mc:AlternateContent>
    <mc:AlternateContent xmlns:mc="http://schemas.openxmlformats.org/markup-compatibility/2006">
      <mc:Choice Requires="x14">
        <control shapeId="11745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74536" r:id="rId17" name="cmdSpecifyArg6"/>
      </mc:Fallback>
    </mc:AlternateContent>
    <mc:AlternateContent xmlns:mc="http://schemas.openxmlformats.org/markup-compatibility/2006">
      <mc:Choice Requires="x14">
        <control shapeId="11745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74537" r:id="rId19" name="cmdSpecifyIEOptcode"/>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48" width="5.42578125" style="304" customWidth="1"/>
    <col min="49" max="16384" width="11.425781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1"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3681" r:id="rId3" name="cmdCheckTSandTIDDataSheet"/>
      </mc:Fallback>
    </mc:AlternateContent>
    <mc:AlternateContent xmlns:mc="http://schemas.openxmlformats.org/markup-compatibility/2006">
      <mc:Choice Requires="x14">
        <control shapeId="122368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3682" r:id="rId5" name="cmdSpecifyParameter"/>
      </mc:Fallback>
    </mc:AlternateContent>
    <mc:AlternateContent xmlns:mc="http://schemas.openxmlformats.org/markup-compatibility/2006">
      <mc:Choice Requires="x14">
        <control shapeId="122368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3683" r:id="rId7" name="cmdSpecifyArg1"/>
      </mc:Fallback>
    </mc:AlternateContent>
    <mc:AlternateContent xmlns:mc="http://schemas.openxmlformats.org/markup-compatibility/2006">
      <mc:Choice Requires="x14">
        <control shapeId="1223684"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3684" r:id="rId9" name="cmdSpecifyArg2"/>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3685" r:id="rId11" name="cmdSpecifyArg3"/>
      </mc:Fallback>
    </mc:AlternateContent>
    <mc:AlternateContent xmlns:mc="http://schemas.openxmlformats.org/markup-compatibility/2006">
      <mc:Choice Requires="x14">
        <control shapeId="1223686"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3686" r:id="rId13" name="cmdSpecifyArg4"/>
      </mc:Fallback>
    </mc:AlternateContent>
    <mc:AlternateContent xmlns:mc="http://schemas.openxmlformats.org/markup-compatibility/2006">
      <mc:Choice Requires="x14">
        <control shapeId="1223687"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3687" r:id="rId15" name="cmdSpecifyArg5"/>
      </mc:Fallback>
    </mc:AlternateContent>
    <mc:AlternateContent xmlns:mc="http://schemas.openxmlformats.org/markup-compatibility/2006">
      <mc:Choice Requires="x14">
        <control shapeId="1223688"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3688" r:id="rId17" name="cmdSpecifyArg6"/>
      </mc:Fallback>
    </mc:AlternateContent>
    <mc:AlternateContent xmlns:mc="http://schemas.openxmlformats.org/markup-compatibility/2006">
      <mc:Choice Requires="x14">
        <control shapeId="1223689"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3689" r:id="rId19" name="cmdSpecifyIEOptcode"/>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17"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9217" r:id="rId3" name="cmdCheckTIDDataSheet"/>
      </mc:Fallback>
    </mc:AlternateContent>
    <mc:AlternateContent xmlns:mc="http://schemas.openxmlformats.org/markup-compatibility/2006">
      <mc:Choice Requires="x14">
        <control shapeId="9218"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9218" r:id="rId5" name="cmdSpecifyParameter"/>
      </mc:Fallback>
    </mc:AlternateContent>
    <mc:AlternateContent xmlns:mc="http://schemas.openxmlformats.org/markup-compatibility/2006">
      <mc:Choice Requires="x14">
        <control shapeId="9219"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9219" r:id="rId7" name="cmdSpecifyArg1"/>
      </mc:Fallback>
    </mc:AlternateContent>
    <mc:AlternateContent xmlns:mc="http://schemas.openxmlformats.org/markup-compatibility/2006">
      <mc:Choice Requires="x14">
        <control shapeId="9220"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9220" r:id="rId9" name="cmdSpecifyArg2"/>
      </mc:Fallback>
    </mc:AlternateContent>
    <mc:AlternateContent xmlns:mc="http://schemas.openxmlformats.org/markup-compatibility/2006">
      <mc:Choice Requires="x14">
        <control shapeId="9221"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9221" r:id="rId11" name="cmdSpecifyArg3"/>
      </mc:Fallback>
    </mc:AlternateContent>
    <mc:AlternateContent xmlns:mc="http://schemas.openxmlformats.org/markup-compatibility/2006">
      <mc:Choice Requires="x14">
        <control shapeId="9222"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9222" r:id="rId13" name="cmdSpecifyArg4"/>
      </mc:Fallback>
    </mc:AlternateContent>
    <mc:AlternateContent xmlns:mc="http://schemas.openxmlformats.org/markup-compatibility/2006">
      <mc:Choice Requires="x14">
        <control shapeId="9223"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9223" r:id="rId15" name="cmdSpecifyArg5"/>
      </mc:Fallback>
    </mc:AlternateContent>
    <mc:AlternateContent xmlns:mc="http://schemas.openxmlformats.org/markup-compatibility/2006">
      <mc:Choice Requires="x14">
        <control shapeId="9224"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9224" r:id="rId17" name="cmdSpecifyArg6"/>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05"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1224705" r:id="rId3" name="cmdCheckTIDDataSheet"/>
      </mc:Fallback>
    </mc:AlternateContent>
    <mc:AlternateContent xmlns:mc="http://schemas.openxmlformats.org/markup-compatibility/2006">
      <mc:Choice Requires="x14">
        <control shapeId="1224706"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1224706" r:id="rId5" name="cmdSpecifyParameter"/>
      </mc:Fallback>
    </mc:AlternateContent>
    <mc:AlternateContent xmlns:mc="http://schemas.openxmlformats.org/markup-compatibility/2006">
      <mc:Choice Requires="x14">
        <control shapeId="1224707"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1224707" r:id="rId7" name="cmdSpecifyArg1"/>
      </mc:Fallback>
    </mc:AlternateContent>
    <mc:AlternateContent xmlns:mc="http://schemas.openxmlformats.org/markup-compatibility/2006">
      <mc:Choice Requires="x14">
        <control shapeId="1224708"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1224708" r:id="rId9" name="cmdSpecifyArg2"/>
      </mc:Fallback>
    </mc:AlternateContent>
    <mc:AlternateContent xmlns:mc="http://schemas.openxmlformats.org/markup-compatibility/2006">
      <mc:Choice Requires="x14">
        <control shapeId="1224709"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1224709" r:id="rId11" name="cmdSpecifyArg3"/>
      </mc:Fallback>
    </mc:AlternateContent>
    <mc:AlternateContent xmlns:mc="http://schemas.openxmlformats.org/markup-compatibility/2006">
      <mc:Choice Requires="x14">
        <control shapeId="1224710"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1224710" r:id="rId13" name="cmdSpecifyArg4"/>
      </mc:Fallback>
    </mc:AlternateContent>
    <mc:AlternateContent xmlns:mc="http://schemas.openxmlformats.org/markup-compatibility/2006">
      <mc:Choice Requires="x14">
        <control shapeId="1224711"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1224711" r:id="rId15" name="cmdSpecifyArg5"/>
      </mc:Fallback>
    </mc:AlternateContent>
    <mc:AlternateContent xmlns:mc="http://schemas.openxmlformats.org/markup-compatibility/2006">
      <mc:Choice Requires="x14">
        <control shapeId="1224712"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1224712" r:id="rId17" name="cmdSpecifyArg6"/>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2578125" defaultRowHeight="11.25"/>
  <cols>
    <col min="1" max="1" width="12.42578125" style="304" customWidth="1"/>
    <col min="2" max="2" width="11.42578125" style="304" customWidth="1"/>
    <col min="3" max="3" width="11" style="304" customWidth="1"/>
    <col min="4" max="4" width="27.42578125" style="304" customWidth="1"/>
    <col min="5" max="5" width="10.140625" style="304" customWidth="1"/>
    <col min="6" max="6" width="28.7109375" style="304" customWidth="1"/>
    <col min="7" max="16384" width="11.425781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1" r:id="rId3" name="cmdCheckItemsSheet">
          <controlPr defaultSize="0" autoLine="0" r:id="rId4">
            <anchor moveWithCells="1">
              <from>
                <xdr:col>0</xdr:col>
                <xdr:colOff>9525</xdr:colOff>
                <xdr:row>2</xdr:row>
                <xdr:rowOff>0</xdr:rowOff>
              </from>
              <to>
                <xdr:col>1</xdr:col>
                <xdr:colOff>0</xdr:colOff>
                <xdr:row>3</xdr:row>
                <xdr:rowOff>0</xdr:rowOff>
              </to>
            </anchor>
          </controlPr>
        </control>
      </mc:Choice>
      <mc:Fallback>
        <control shapeId="10241" r:id="rId3" name="cmdCheckItemsSheet"/>
      </mc:Fallback>
    </mc:AlternateContent>
    <mc:AlternateContent xmlns:mc="http://schemas.openxmlformats.org/markup-compatibility/2006">
      <mc:Choice Requires="x14">
        <control shapeId="10242" r:id="rId5" name="cmdSpecifyComponent">
          <controlPr defaultSize="0" autoLine="0" r:id="rId6">
            <anchor moveWithCells="1">
              <from>
                <xdr:col>1</xdr:col>
                <xdr:colOff>9525</xdr:colOff>
                <xdr:row>3</xdr:row>
                <xdr:rowOff>0</xdr:rowOff>
              </from>
              <to>
                <xdr:col>2</xdr:col>
                <xdr:colOff>0</xdr:colOff>
                <xdr:row>4</xdr:row>
                <xdr:rowOff>95250</xdr:rowOff>
              </to>
            </anchor>
          </controlPr>
        </control>
      </mc:Choice>
      <mc:Fallback>
        <control shapeId="10242" r:id="rId5" name="cmdSpecifyComponent"/>
      </mc:Fallback>
    </mc:AlternateContent>
    <mc:AlternateContent xmlns:mc="http://schemas.openxmlformats.org/markup-compatibility/2006">
      <mc:Choice Requires="x14">
        <control shapeId="10243" r:id="rId7" name="cmdSpecifyUnits">
          <controlPr defaultSize="0" autoLine="0" r:id="rId8">
            <anchor moveWithCells="1">
              <from>
                <xdr:col>4</xdr:col>
                <xdr:colOff>9525</xdr:colOff>
                <xdr:row>3</xdr:row>
                <xdr:rowOff>0</xdr:rowOff>
              </from>
              <to>
                <xdr:col>5</xdr:col>
                <xdr:colOff>0</xdr:colOff>
                <xdr:row>4</xdr:row>
                <xdr:rowOff>95250</xdr:rowOff>
              </to>
            </anchor>
          </controlPr>
        </control>
      </mc:Choice>
      <mc:Fallback>
        <control shapeId="10243" r:id="rId7" name="cmdSpecifyUnits"/>
      </mc:Fallback>
    </mc:AlternateContent>
    <mc:AlternateContent xmlns:mc="http://schemas.openxmlformats.org/markup-compatibility/2006">
      <mc:Choice Requires="x14">
        <control shapeId="10244" r:id="rId9" name="cmdSpecifySets">
          <controlPr defaultSize="0" autoLine="0" r:id="rId10">
            <anchor moveWithCells="1">
              <from>
                <xdr:col>5</xdr:col>
                <xdr:colOff>9525</xdr:colOff>
                <xdr:row>3</xdr:row>
                <xdr:rowOff>0</xdr:rowOff>
              </from>
              <to>
                <xdr:col>6</xdr:col>
                <xdr:colOff>0</xdr:colOff>
                <xdr:row>4</xdr:row>
                <xdr:rowOff>95250</xdr:rowOff>
              </to>
            </anchor>
          </controlPr>
        </control>
      </mc:Choice>
      <mc:Fallback>
        <control shapeId="10244" r:id="rId9" name="cmdSpecifySets"/>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404929" r:id="rId3" name="cmdCheckTSandTIDDataSheet"/>
      </mc:Fallback>
    </mc:AlternateContent>
    <mc:AlternateContent xmlns:mc="http://schemas.openxmlformats.org/markup-compatibility/2006">
      <mc:Choice Requires="x14">
        <control shapeId="14049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404930" r:id="rId5" name="cmdSpecifyParameter"/>
      </mc:Fallback>
    </mc:AlternateContent>
    <mc:AlternateContent xmlns:mc="http://schemas.openxmlformats.org/markup-compatibility/2006">
      <mc:Choice Requires="x14">
        <control shapeId="14049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404931" r:id="rId7" name="cmdSpecifyArg1"/>
      </mc:Fallback>
    </mc:AlternateContent>
    <mc:AlternateContent xmlns:mc="http://schemas.openxmlformats.org/markup-compatibility/2006">
      <mc:Choice Requires="x14">
        <control shapeId="14049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404932" r:id="rId9" name="cmdSpecifyArg2"/>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404933" r:id="rId11" name="cmdSpecifyArg3"/>
      </mc:Fallback>
    </mc:AlternateContent>
    <mc:AlternateContent xmlns:mc="http://schemas.openxmlformats.org/markup-compatibility/2006">
      <mc:Choice Requires="x14">
        <control shapeId="14049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404934" r:id="rId13" name="cmdSpecifyArg4"/>
      </mc:Fallback>
    </mc:AlternateContent>
    <mc:AlternateContent xmlns:mc="http://schemas.openxmlformats.org/markup-compatibility/2006">
      <mc:Choice Requires="x14">
        <control shapeId="14049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404935" r:id="rId15" name="cmdSpecifyArg5"/>
      </mc:Fallback>
    </mc:AlternateContent>
    <mc:AlternateContent xmlns:mc="http://schemas.openxmlformats.org/markup-compatibility/2006">
      <mc:Choice Requires="x14">
        <control shapeId="14049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404936" r:id="rId17" name="cmdSpecifyArg6"/>
      </mc:Fallback>
    </mc:AlternateContent>
    <mc:AlternateContent xmlns:mc="http://schemas.openxmlformats.org/markup-compatibility/2006">
      <mc:Choice Requires="x14">
        <control shapeId="14049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404937" r:id="rId19" name="cmdSpecifyIEOptcode"/>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65"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265" r:id="rId3" name="cmdCheckTSandTIDDataSheet"/>
      </mc:Fallback>
    </mc:AlternateContent>
    <mc:AlternateContent xmlns:mc="http://schemas.openxmlformats.org/markup-compatibility/2006">
      <mc:Choice Requires="x14">
        <control shapeId="11266"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266" r:id="rId5" name="cmdSpecifyParameter"/>
      </mc:Fallback>
    </mc:AlternateContent>
    <mc:AlternateContent xmlns:mc="http://schemas.openxmlformats.org/markup-compatibility/2006">
      <mc:Choice Requires="x14">
        <control shapeId="11267"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267" r:id="rId7" name="cmdSpecifyArg1"/>
      </mc:Fallback>
    </mc:AlternateContent>
    <mc:AlternateContent xmlns:mc="http://schemas.openxmlformats.org/markup-compatibility/2006">
      <mc:Choice Requires="x14">
        <control shapeId="11268"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268" r:id="rId9" name="cmdSpecifyArg2"/>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269" r:id="rId11" name="cmdSpecifyArg3"/>
      </mc:Fallback>
    </mc:AlternateContent>
    <mc:AlternateContent xmlns:mc="http://schemas.openxmlformats.org/markup-compatibility/2006">
      <mc:Choice Requires="x14">
        <control shapeId="11270"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270" r:id="rId13" name="cmdSpecifyArg4"/>
      </mc:Fallback>
    </mc:AlternateContent>
    <mc:AlternateContent xmlns:mc="http://schemas.openxmlformats.org/markup-compatibility/2006">
      <mc:Choice Requires="x14">
        <control shapeId="11271"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271" r:id="rId15" name="cmdSpecifyArg5"/>
      </mc:Fallback>
    </mc:AlternateContent>
    <mc:AlternateContent xmlns:mc="http://schemas.openxmlformats.org/markup-compatibility/2006">
      <mc:Choice Requires="x14">
        <control shapeId="11272"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272" r:id="rId17" name="cmdSpecifyArg6"/>
      </mc:Fallback>
    </mc:AlternateContent>
    <mc:AlternateContent xmlns:mc="http://schemas.openxmlformats.org/markup-compatibility/2006">
      <mc:Choice Requires="x14">
        <control shapeId="11273"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273" r:id="rId19" name="cmdSpecifyIEOptcode"/>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3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39937" r:id="rId3" name="cmdCheckTSandTIDDataSheet"/>
      </mc:Fallback>
    </mc:AlternateContent>
    <mc:AlternateContent xmlns:mc="http://schemas.openxmlformats.org/markup-compatibility/2006">
      <mc:Choice Requires="x14">
        <control shapeId="3993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39938" r:id="rId5" name="cmdSpecifyParameter"/>
      </mc:Fallback>
    </mc:AlternateContent>
    <mc:AlternateContent xmlns:mc="http://schemas.openxmlformats.org/markup-compatibility/2006">
      <mc:Choice Requires="x14">
        <control shapeId="3993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39939" r:id="rId7" name="cmdSpecifyArg1"/>
      </mc:Fallback>
    </mc:AlternateContent>
    <mc:AlternateContent xmlns:mc="http://schemas.openxmlformats.org/markup-compatibility/2006">
      <mc:Choice Requires="x14">
        <control shapeId="3994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39940" r:id="rId9" name="cmdSpecifyArg2"/>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39941" r:id="rId11" name="cmdSpecifyArg3"/>
      </mc:Fallback>
    </mc:AlternateContent>
    <mc:AlternateContent xmlns:mc="http://schemas.openxmlformats.org/markup-compatibility/2006">
      <mc:Choice Requires="x14">
        <control shapeId="3994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39942" r:id="rId13" name="cmdSpecifyArg4"/>
      </mc:Fallback>
    </mc:AlternateContent>
    <mc:AlternateContent xmlns:mc="http://schemas.openxmlformats.org/markup-compatibility/2006">
      <mc:Choice Requires="x14">
        <control shapeId="3994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39943" r:id="rId15" name="cmdSpecifyArg5"/>
      </mc:Fallback>
    </mc:AlternateContent>
    <mc:AlternateContent xmlns:mc="http://schemas.openxmlformats.org/markup-compatibility/2006">
      <mc:Choice Requires="x14">
        <control shapeId="3994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39944" r:id="rId17" name="cmdSpecifyArg6"/>
      </mc:Fallback>
    </mc:AlternateContent>
    <mc:AlternateContent xmlns:mc="http://schemas.openxmlformats.org/markup-compatibility/2006">
      <mc:Choice Requires="x14">
        <control shapeId="3994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39945" r:id="rId19" name="cmdSpecifyIEOptcode"/>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7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7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7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7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7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7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7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7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9"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290249" r:id="rId3" name="cmdSpecifyIEOptcode"/>
      </mc:Fallback>
    </mc:AlternateContent>
    <mc:AlternateContent xmlns:mc="http://schemas.openxmlformats.org/markup-compatibility/2006">
      <mc:Choice Requires="x14">
        <control shapeId="1290248"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290248" r:id="rId5" name="cmdSpecifyArg6"/>
      </mc:Fallback>
    </mc:AlternateContent>
    <mc:AlternateContent xmlns:mc="http://schemas.openxmlformats.org/markup-compatibility/2006">
      <mc:Choice Requires="x14">
        <control shapeId="1290247"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290247" r:id="rId7" name="cmdSpecifyArg5"/>
      </mc:Fallback>
    </mc:AlternateContent>
    <mc:AlternateContent xmlns:mc="http://schemas.openxmlformats.org/markup-compatibility/2006">
      <mc:Choice Requires="x14">
        <control shapeId="1290246"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290246" r:id="rId9" name="cmdSpecifyArg4"/>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90245" r:id="rId11" name="cmdSpecifyArg3"/>
      </mc:Fallback>
    </mc:AlternateContent>
    <mc:AlternateContent xmlns:mc="http://schemas.openxmlformats.org/markup-compatibility/2006">
      <mc:Choice Requires="x14">
        <control shapeId="1290244"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290244" r:id="rId13" name="cmdSpecifyArg2"/>
      </mc:Fallback>
    </mc:AlternateContent>
    <mc:AlternateContent xmlns:mc="http://schemas.openxmlformats.org/markup-compatibility/2006">
      <mc:Choice Requires="x14">
        <control shapeId="129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290243" r:id="rId15" name="cmdSpecifyArg1"/>
      </mc:Fallback>
    </mc:AlternateContent>
    <mc:AlternateContent xmlns:mc="http://schemas.openxmlformats.org/markup-compatibility/2006">
      <mc:Choice Requires="x14">
        <control shapeId="129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290242" r:id="rId17" name="cmdSpecifyParameter"/>
      </mc:Fallback>
    </mc:AlternateContent>
    <mc:AlternateContent xmlns:mc="http://schemas.openxmlformats.org/markup-compatibility/2006">
      <mc:Choice Requires="x14">
        <control shapeId="1290241"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290241" r:id="rId19" name="cmdCheckTSandTIDDataSheet"/>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40625" defaultRowHeight="15"/>
  <cols>
    <col min="1" max="1" width="6.28515625" style="500" bestFit="1" customWidth="1"/>
    <col min="2" max="2" width="8.85546875" style="500" bestFit="1" customWidth="1"/>
    <col min="3" max="3" width="22.85546875" style="500" bestFit="1" customWidth="1"/>
    <col min="4" max="4" width="96.140625" style="500" bestFit="1" customWidth="1"/>
    <col min="5" max="5" width="6.5703125" style="500" bestFit="1" customWidth="1"/>
    <col min="6" max="6" width="25.85546875" style="500" bestFit="1" customWidth="1"/>
    <col min="7" max="16384" width="9.14062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40625" defaultRowHeight="15"/>
  <cols>
    <col min="1" max="1" width="8.28515625" style="500" bestFit="1" customWidth="1"/>
    <col min="2" max="2" width="12.140625" style="500" bestFit="1" customWidth="1"/>
    <col min="3" max="3" width="20.7109375" style="500" bestFit="1" customWidth="1"/>
    <col min="4" max="4" width="4.85546875" style="500" bestFit="1" customWidth="1"/>
    <col min="5" max="5" width="22.42578125" style="500" bestFit="1" customWidth="1"/>
    <col min="6" max="6" width="1.7109375" style="500" bestFit="1" customWidth="1"/>
    <col min="7" max="7" width="8.5703125" style="500" bestFit="1" customWidth="1"/>
    <col min="8" max="8" width="3.42578125" style="500" bestFit="1" customWidth="1"/>
    <col min="9" max="9" width="3.5703125" style="500" customWidth="1"/>
    <col min="10" max="10" width="12" style="500" bestFit="1" customWidth="1"/>
    <col min="11" max="11" width="5" style="500" bestFit="1" customWidth="1"/>
    <col min="12" max="13" width="4.42578125" style="500" bestFit="1" customWidth="1"/>
    <col min="14" max="48" width="7" style="500" bestFit="1" customWidth="1"/>
    <col min="49" max="16384" width="9.14062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40625" defaultRowHeight="15"/>
  <cols>
    <col min="1" max="1" width="9.140625" style="500"/>
    <col min="2" max="2" width="12.5703125" style="500" bestFit="1" customWidth="1"/>
    <col min="3" max="3" width="20.7109375" style="500" bestFit="1" customWidth="1"/>
    <col min="4" max="4" width="20.140625" style="500" bestFit="1" customWidth="1"/>
    <col min="5" max="5" width="22.85546875" style="500" bestFit="1" customWidth="1"/>
    <col min="6" max="7" width="1.7109375" style="500" bestFit="1" customWidth="1"/>
    <col min="8" max="8" width="4" style="500" customWidth="1"/>
    <col min="9" max="9" width="9.7109375" style="500" customWidth="1"/>
    <col min="10" max="16384" width="9.14062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5546875" defaultRowHeight="12.75"/>
  <cols>
    <col min="4" max="4" width="12.42578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2578125" defaultRowHeight="12.75"/>
  <cols>
    <col min="1" max="1" width="24" style="1" customWidth="1"/>
    <col min="2" max="8" width="11.42578125" style="1"/>
    <col min="9" max="9" width="12.28515625" style="1" customWidth="1"/>
    <col min="10" max="16384" width="11.42578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75"/>
  <cols>
    <col min="3" max="3" width="12.710937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75"/>
  <cols>
    <col min="2" max="2" width="25.285156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75"/>
  <cols>
    <col min="1" max="1" width="4.42578125" customWidth="1"/>
  </cols>
  <sheetData>
    <row r="1" spans="1:9">
      <c r="A1" s="596" t="s">
        <v>1204</v>
      </c>
      <c r="B1" s="596"/>
      <c r="C1" s="597"/>
      <c r="D1" s="597"/>
      <c r="E1" s="597"/>
      <c r="F1" s="597"/>
      <c r="G1" s="597"/>
      <c r="H1" s="597"/>
    </row>
    <row r="2" spans="1:9">
      <c r="A2" s="596"/>
      <c r="B2" s="596"/>
      <c r="C2" s="597"/>
      <c r="D2" s="597"/>
      <c r="E2" s="597"/>
      <c r="F2" s="597"/>
      <c r="G2" s="597"/>
      <c r="H2" s="597"/>
    </row>
    <row r="3" spans="1:9">
      <c r="A3" s="596">
        <v>1</v>
      </c>
      <c r="B3" s="596" t="s">
        <v>1256</v>
      </c>
      <c r="C3" s="597"/>
      <c r="D3" s="597"/>
      <c r="E3" s="597"/>
      <c r="F3" s="597"/>
      <c r="G3" s="597"/>
      <c r="H3" s="597"/>
      <c r="I3" s="664" t="s">
        <v>1480</v>
      </c>
    </row>
    <row r="4" spans="1:9">
      <c r="A4" s="596">
        <v>2</v>
      </c>
      <c r="B4" s="596" t="s">
        <v>1255</v>
      </c>
      <c r="C4" s="597"/>
      <c r="D4" s="597"/>
      <c r="E4" s="597"/>
      <c r="F4" s="597"/>
      <c r="G4" s="597"/>
      <c r="H4" s="597"/>
      <c r="I4" s="664" t="s">
        <v>1480</v>
      </c>
    </row>
    <row r="5" spans="1:9">
      <c r="A5" s="596">
        <v>3</v>
      </c>
      <c r="B5" s="596" t="s">
        <v>1252</v>
      </c>
      <c r="C5" s="597"/>
      <c r="D5" s="597"/>
      <c r="E5" s="597"/>
      <c r="F5" s="597"/>
      <c r="G5" s="597"/>
      <c r="H5" s="597"/>
      <c r="I5" s="664" t="s">
        <v>1480</v>
      </c>
    </row>
    <row r="6" spans="1:9">
      <c r="A6" s="596">
        <v>4</v>
      </c>
      <c r="B6" s="596" t="s">
        <v>1254</v>
      </c>
      <c r="C6" s="597"/>
      <c r="D6" s="597"/>
      <c r="E6" s="597"/>
      <c r="F6" s="597"/>
      <c r="G6" s="597"/>
      <c r="H6" s="597"/>
      <c r="I6" s="664" t="s">
        <v>1480</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40625" defaultRowHeight="12.75"/>
  <cols>
    <col min="1" max="1" width="5" style="314" bestFit="1" customWidth="1"/>
    <col min="2" max="2" width="11.7109375" style="314" bestFit="1" customWidth="1"/>
    <col min="3" max="4" width="14.7109375" style="314" customWidth="1"/>
    <col min="5" max="16384" width="9.14062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40625" defaultRowHeight="12.75"/>
  <cols>
    <col min="1" max="1" width="5" style="544" bestFit="1" customWidth="1"/>
    <col min="2" max="41" width="10.42578125" style="314" customWidth="1"/>
    <col min="42" max="16384" width="9.140625" style="314"/>
  </cols>
  <sheetData>
    <row r="1" spans="1:41">
      <c r="B1" s="802" t="s">
        <v>441</v>
      </c>
      <c r="C1" s="802"/>
      <c r="D1" s="802"/>
      <c r="E1" s="802"/>
      <c r="F1" s="802" t="s">
        <v>1182</v>
      </c>
      <c r="G1" s="802"/>
      <c r="H1" s="802"/>
      <c r="I1" s="802"/>
      <c r="J1" s="802" t="s">
        <v>1183</v>
      </c>
      <c r="K1" s="802"/>
      <c r="L1" s="802"/>
      <c r="M1" s="802"/>
      <c r="N1" s="802" t="s">
        <v>1184</v>
      </c>
      <c r="O1" s="802"/>
      <c r="P1" s="802"/>
      <c r="Q1" s="802"/>
      <c r="R1" s="802" t="s">
        <v>1185</v>
      </c>
      <c r="S1" s="802"/>
      <c r="T1" s="802"/>
      <c r="U1" s="802"/>
      <c r="V1" s="802" t="s">
        <v>1186</v>
      </c>
      <c r="W1" s="802"/>
      <c r="X1" s="802"/>
      <c r="Y1" s="802"/>
      <c r="Z1" s="802" t="s">
        <v>1187</v>
      </c>
      <c r="AA1" s="802"/>
      <c r="AB1" s="802"/>
      <c r="AC1" s="802"/>
      <c r="AD1" s="802" t="s">
        <v>1188</v>
      </c>
      <c r="AE1" s="802"/>
      <c r="AF1" s="802"/>
      <c r="AG1" s="802"/>
      <c r="AH1" s="802" t="s">
        <v>1189</v>
      </c>
      <c r="AI1" s="802"/>
      <c r="AJ1" s="802"/>
      <c r="AK1" s="802"/>
      <c r="AL1" s="802" t="s">
        <v>1190</v>
      </c>
      <c r="AM1" s="802"/>
      <c r="AN1" s="802"/>
      <c r="AO1" s="802"/>
    </row>
    <row r="2" spans="1:41" s="546" customFormat="1" ht="38.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40625" defaultRowHeight="12"/>
  <cols>
    <col min="1" max="1" width="9.140625" style="584"/>
    <col min="2" max="2" width="9.42578125" style="584" bestFit="1" customWidth="1"/>
    <col min="3" max="4" width="9.28515625" style="584" bestFit="1" customWidth="1"/>
    <col min="5" max="6" width="9.28515625" style="584" customWidth="1"/>
    <col min="7" max="7" width="9.140625" style="584"/>
    <col min="8" max="9" width="9.28515625" style="584" bestFit="1" customWidth="1"/>
    <col min="10" max="11" width="9.140625" style="584"/>
    <col min="12" max="12" width="18.28515625" style="584" customWidth="1"/>
    <col min="13" max="16384" width="9.14062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2578125" defaultRowHeight="12.75"/>
  <cols>
    <col min="1" max="1" width="7.7109375" style="17" customWidth="1"/>
    <col min="2" max="2" width="16.42578125" style="17" customWidth="1"/>
    <col min="3" max="3" width="16.42578125" style="41" customWidth="1"/>
    <col min="4" max="4" width="3.42578125" style="41" customWidth="1"/>
    <col min="5" max="5" width="8.140625" style="41" customWidth="1"/>
    <col min="6" max="7" width="10.42578125" style="41" customWidth="1"/>
    <col min="8" max="8" width="16.42578125" style="41" customWidth="1"/>
    <col min="9"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5">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codeName="Sheet56">
    <tabColor theme="2" tint="-0.249977111117893"/>
  </sheetPr>
  <dimension ref="A1:CE42"/>
  <sheetViews>
    <sheetView topLeftCell="A3" zoomScale="72" zoomScaleNormal="100" workbookViewId="0">
      <selection activeCell="Q24" sqref="Q24"/>
    </sheetView>
  </sheetViews>
  <sheetFormatPr defaultColWidth="8.85546875" defaultRowHeight="12.75"/>
  <cols>
    <col min="3" max="3" width="9.42578125" bestFit="1" customWidth="1"/>
    <col min="21" max="23" width="17" customWidth="1"/>
  </cols>
  <sheetData>
    <row r="1" spans="1:83">
      <c r="A1" t="s">
        <v>1478</v>
      </c>
    </row>
    <row r="8" spans="1:83">
      <c r="B8" t="s">
        <v>1441</v>
      </c>
      <c r="D8" s="645">
        <v>1000</v>
      </c>
    </row>
    <row r="9" spans="1:83" ht="1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8515625" defaultRowHeight="12.75"/>
  <cols>
    <col min="1" max="1" width="19.7109375" style="1" customWidth="1"/>
    <col min="2" max="2" width="16.42578125" style="1" customWidth="1"/>
    <col min="3" max="6" width="8.42578125" style="599" bestFit="1" customWidth="1"/>
    <col min="7" max="14" width="8.85546875" style="599" bestFit="1" customWidth="1"/>
    <col min="15" max="15" width="9.85546875" style="599" bestFit="1" customWidth="1"/>
    <col min="16" max="18" width="8.85546875" style="599" bestFit="1" customWidth="1"/>
    <col min="19" max="19" width="9.85546875" style="599" bestFit="1" customWidth="1"/>
    <col min="20" max="22" width="8.85546875" style="599" bestFit="1" customWidth="1"/>
    <col min="23" max="23" width="9.85546875" style="599" bestFit="1" customWidth="1"/>
    <col min="24" max="28" width="8.85546875" style="599" bestFit="1" customWidth="1"/>
    <col min="29" max="29" width="9.85546875" style="599" bestFit="1" customWidth="1"/>
    <col min="30" max="43" width="8.85546875" style="599" bestFit="1" customWidth="1"/>
    <col min="44" max="16384" width="8.285156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40625" defaultRowHeight="12"/>
  <cols>
    <col min="1" max="1" width="25.140625" style="617" bestFit="1" customWidth="1"/>
    <col min="2" max="16384" width="9.14062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40625" defaultRowHeight="12.75"/>
  <cols>
    <col min="1" max="1" width="9.140625" style="513"/>
    <col min="2" max="2" width="12.7109375" style="513" customWidth="1"/>
    <col min="3" max="3" width="26.5703125" style="513" bestFit="1" customWidth="1"/>
    <col min="4" max="4" width="4.140625" style="513" customWidth="1"/>
    <col min="5" max="5" width="13.85546875" style="513" customWidth="1"/>
    <col min="6" max="6" width="49.85546875" style="513" bestFit="1" customWidth="1"/>
    <col min="7" max="16384" width="9.14062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2578125" defaultRowHeight="12.75"/>
  <cols>
    <col min="1" max="1" width="43.140625" style="1" customWidth="1"/>
    <col min="2" max="2" width="12.140625" style="41" customWidth="1"/>
    <col min="3" max="3" width="15.140625" style="41" customWidth="1"/>
    <col min="4" max="4" width="11.28515625" style="41" customWidth="1"/>
    <col min="5" max="5" width="16.42578125" style="41" customWidth="1"/>
    <col min="6" max="6" width="13.140625" style="41" customWidth="1"/>
    <col min="7" max="16" width="10.7109375" style="41" customWidth="1"/>
    <col min="17" max="17" width="12.42578125" style="41" customWidth="1"/>
    <col min="18" max="18" width="10" style="41" customWidth="1"/>
    <col min="19" max="19" width="18.7109375" style="41" customWidth="1"/>
    <col min="20" max="20" width="32.42578125" style="41" customWidth="1"/>
    <col min="21" max="21" width="13.85546875" style="41" customWidth="1"/>
    <col min="22" max="16384" width="11.425781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8.2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5.2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2"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5">
      <c r="A27" s="58" t="s">
        <v>203</v>
      </c>
      <c r="B27" s="792"/>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5">
      <c r="A28" s="58" t="s">
        <v>204</v>
      </c>
      <c r="B28" s="792"/>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8.25">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8.25">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8.25">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904875</xdr:colOff>
                <xdr:row>15</xdr:row>
                <xdr:rowOff>152400</xdr:rowOff>
              </from>
              <to>
                <xdr:col>21</xdr:col>
                <xdr:colOff>66675</xdr:colOff>
                <xdr:row>17</xdr:row>
                <xdr:rowOff>9525</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109375" defaultRowHeight="12.75"/>
  <cols>
    <col min="1" max="2" width="12.7109375" style="107"/>
    <col min="3" max="3" width="12.28515625" style="107" customWidth="1"/>
    <col min="4" max="18" width="12.7109375" style="107"/>
    <col min="19" max="19" width="18.140625" style="108" customWidth="1"/>
    <col min="20" max="16384" width="12.7109375" style="107"/>
  </cols>
  <sheetData>
    <row r="1" spans="1:256" ht="15">
      <c r="A1" s="106" t="s">
        <v>220</v>
      </c>
    </row>
    <row r="2" spans="1:256" ht="15">
      <c r="A2" s="106" t="s">
        <v>221</v>
      </c>
    </row>
    <row r="3" spans="1:256" ht="13.5" thickBot="1">
      <c r="A3" s="107" t="s">
        <v>222</v>
      </c>
      <c r="Q3" s="1"/>
      <c r="R3" s="1"/>
      <c r="S3" s="41"/>
      <c r="T3" s="1"/>
    </row>
    <row r="4" spans="1:256" ht="15.7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31.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2578125" defaultRowHeight="12.75"/>
  <cols>
    <col min="1" max="1" width="22.42578125" style="17" customWidth="1"/>
    <col min="2" max="2" width="16.42578125" style="17" customWidth="1"/>
    <col min="3" max="3" width="16.42578125" style="41" customWidth="1"/>
    <col min="4"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3.7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542925</xdr:colOff>
                <xdr:row>13</xdr:row>
                <xdr:rowOff>133350</xdr:rowOff>
              </from>
              <to>
                <xdr:col>9</xdr:col>
                <xdr:colOff>609600</xdr:colOff>
                <xdr:row>15</xdr:row>
                <xdr:rowOff>9525</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2578125" defaultRowHeight="12.75"/>
  <cols>
    <col min="1" max="1" width="40.28515625" style="1" customWidth="1"/>
    <col min="2" max="2" width="10.140625" style="41" customWidth="1"/>
    <col min="3" max="3" width="58.7109375" style="1" customWidth="1"/>
    <col min="4" max="4" width="34.42578125" style="1" customWidth="1"/>
    <col min="5" max="5" width="14.140625" style="1" customWidth="1"/>
    <col min="6" max="6" width="17" style="1" customWidth="1"/>
    <col min="7"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803" t="s">
        <v>450</v>
      </c>
    </row>
    <row r="12" spans="1:23">
      <c r="A12" s="150" t="s">
        <v>138</v>
      </c>
      <c r="B12" s="152">
        <v>12</v>
      </c>
      <c r="C12" s="12" t="s">
        <v>451</v>
      </c>
      <c r="D12" s="803"/>
    </row>
    <row r="13" spans="1:23">
      <c r="A13" s="150" t="s">
        <v>452</v>
      </c>
      <c r="B13" s="151">
        <v>322</v>
      </c>
      <c r="C13" s="12"/>
      <c r="D13" s="803"/>
    </row>
    <row r="14" spans="1:23">
      <c r="A14" s="150" t="s">
        <v>453</v>
      </c>
      <c r="B14" s="151">
        <v>74788</v>
      </c>
      <c r="C14" s="12" t="s">
        <v>454</v>
      </c>
      <c r="D14" s="803"/>
    </row>
    <row r="15" spans="1:23">
      <c r="A15" s="150" t="s">
        <v>142</v>
      </c>
      <c r="B15" s="151">
        <v>17766.61</v>
      </c>
      <c r="C15" s="12" t="s">
        <v>455</v>
      </c>
      <c r="D15" s="803"/>
    </row>
    <row r="16" spans="1:23">
      <c r="A16" s="150" t="s">
        <v>456</v>
      </c>
      <c r="B16" s="151">
        <v>864.23</v>
      </c>
      <c r="C16" s="12" t="s">
        <v>457</v>
      </c>
      <c r="D16" s="803"/>
    </row>
    <row r="17" spans="1:4">
      <c r="A17" s="150" t="s">
        <v>458</v>
      </c>
      <c r="B17" s="151">
        <v>237.1</v>
      </c>
      <c r="C17" s="12" t="s">
        <v>459</v>
      </c>
      <c r="D17" s="803"/>
    </row>
    <row r="18" spans="1:4">
      <c r="A18" s="150" t="s">
        <v>460</v>
      </c>
      <c r="B18" s="151">
        <v>1742.02</v>
      </c>
      <c r="C18" s="12" t="s">
        <v>461</v>
      </c>
      <c r="D18" s="803"/>
    </row>
    <row r="19" spans="1:4">
      <c r="A19" s="150" t="s">
        <v>462</v>
      </c>
      <c r="B19" s="151" t="s">
        <v>463</v>
      </c>
      <c r="C19" s="12"/>
      <c r="D19" s="803"/>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75"/>
  <cols>
    <col min="1" max="1" width="24.140625" style="68" customWidth="1"/>
    <col min="2" max="3" width="7.7109375" style="68" customWidth="1"/>
    <col min="4" max="6" width="9" style="68"/>
    <col min="7" max="7" width="12.85546875" style="68" customWidth="1"/>
    <col min="8" max="11" width="9" style="68"/>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800" t="s">
        <v>466</v>
      </c>
      <c r="B16" s="800"/>
      <c r="C16" s="800"/>
      <c r="D16" s="800"/>
      <c r="E16" s="800"/>
      <c r="F16" s="800"/>
      <c r="G16" s="800"/>
      <c r="H16" s="800"/>
      <c r="I16" s="800"/>
      <c r="J16" s="800"/>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38.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5.5">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800" t="s">
        <v>475</v>
      </c>
      <c r="B27" s="800"/>
      <c r="C27" s="800"/>
      <c r="D27" s="800"/>
      <c r="E27" s="800"/>
      <c r="F27" s="800"/>
      <c r="G27" s="800"/>
      <c r="H27" s="800"/>
      <c r="I27" s="800"/>
      <c r="J27" s="800"/>
      <c r="K27" s="156"/>
      <c r="L27" s="156"/>
      <c r="M27" s="156"/>
      <c r="N27" s="156"/>
      <c r="O27" s="156"/>
      <c r="P27" s="156"/>
      <c r="Q27" s="156"/>
      <c r="R27" s="156"/>
      <c r="S27" s="157"/>
    </row>
    <row r="29" spans="1:256" ht="38.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800" t="s">
        <v>478</v>
      </c>
      <c r="B40" s="800"/>
      <c r="C40" s="800"/>
      <c r="D40" s="800"/>
      <c r="E40" s="800"/>
      <c r="F40" s="800"/>
      <c r="G40" s="800"/>
      <c r="H40" s="800"/>
      <c r="I40" s="800"/>
      <c r="J40" s="800"/>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38.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38.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38.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38.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38.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38.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75"/>
  <cols>
    <col min="1" max="1" width="24.140625" style="68" customWidth="1"/>
    <col min="2" max="3" width="7.7109375" style="68" customWidth="1"/>
    <col min="4" max="6" width="9" style="68"/>
    <col min="7" max="7" width="12.85546875" style="68" customWidth="1"/>
    <col min="8" max="10" width="9" style="68"/>
    <col min="11" max="11" width="9" style="172"/>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800" t="s">
        <v>482</v>
      </c>
      <c r="B7" s="800"/>
      <c r="C7" s="800"/>
      <c r="D7" s="800"/>
      <c r="E7" s="800"/>
      <c r="F7" s="800"/>
      <c r="G7" s="800"/>
      <c r="H7" s="800"/>
      <c r="I7" s="800"/>
      <c r="J7" s="800"/>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800" t="s">
        <v>483</v>
      </c>
      <c r="B17" s="800"/>
      <c r="C17" s="800"/>
      <c r="D17" s="800"/>
      <c r="E17" s="800"/>
      <c r="F17" s="800"/>
      <c r="G17" s="800"/>
      <c r="H17" s="800"/>
      <c r="I17" s="800"/>
      <c r="J17" s="800"/>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800" t="s">
        <v>486</v>
      </c>
      <c r="B21" s="800"/>
      <c r="C21" s="800"/>
      <c r="D21" s="800"/>
      <c r="E21" s="800"/>
      <c r="F21" s="800"/>
      <c r="G21" s="800"/>
      <c r="H21" s="800"/>
      <c r="I21" s="800"/>
      <c r="J21" s="800"/>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38.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800" t="s">
        <v>488</v>
      </c>
      <c r="B32" s="800"/>
      <c r="C32" s="800"/>
      <c r="D32" s="800"/>
      <c r="E32" s="800"/>
      <c r="F32" s="800"/>
      <c r="G32" s="800"/>
      <c r="H32" s="800"/>
      <c r="I32" s="800"/>
      <c r="J32" s="800"/>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38.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5546875" defaultRowHeight="12.75"/>
  <cols>
    <col min="1" max="1" width="50" customWidth="1"/>
    <col min="2" max="2" width="17" customWidth="1"/>
    <col min="4" max="4" width="15.7109375" customWidth="1"/>
    <col min="6" max="6" width="15" customWidth="1"/>
    <col min="7" max="7" width="20.28515625" customWidth="1"/>
    <col min="8" max="8" width="14.285156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5" thickBot="1">
      <c r="B4" s="480" t="s">
        <v>923</v>
      </c>
      <c r="C4" s="481">
        <f>Deflator!P25</f>
        <v>6.3593283333333304</v>
      </c>
      <c r="D4" t="s">
        <v>920</v>
      </c>
      <c r="E4" s="458"/>
    </row>
    <row r="5" spans="1:13" ht="13.5" thickBot="1">
      <c r="D5" s="796" t="s">
        <v>781</v>
      </c>
      <c r="E5" s="797"/>
      <c r="F5" s="798"/>
      <c r="G5" s="796" t="s">
        <v>780</v>
      </c>
      <c r="H5" s="797"/>
      <c r="I5" s="798"/>
      <c r="J5" s="314"/>
    </row>
    <row r="6" spans="1:13">
      <c r="C6" s="314" t="s">
        <v>777</v>
      </c>
      <c r="D6" s="314" t="s">
        <v>778</v>
      </c>
      <c r="E6" s="314" t="s">
        <v>442</v>
      </c>
      <c r="F6" s="314" t="s">
        <v>919</v>
      </c>
      <c r="G6" s="392" t="s">
        <v>782</v>
      </c>
      <c r="H6" s="393" t="s">
        <v>783</v>
      </c>
      <c r="I6" s="394" t="s">
        <v>786</v>
      </c>
    </row>
    <row r="7" spans="1:13" ht="1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7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Bruno Merven</cp:lastModifiedBy>
  <dcterms:created xsi:type="dcterms:W3CDTF">2011-08-29T19:48:28Z</dcterms:created>
  <dcterms:modified xsi:type="dcterms:W3CDTF">2023-09-27T11:35:55Z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