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BF6B2AD8-FF79-48ED-BD19-13BBB5610ACC}" xr6:coauthVersionLast="47" xr6:coauthVersionMax="47" xr10:uidLastSave="{00000000-0000-0000-0000-000000000000}"/>
  <bookViews>
    <workbookView xWindow="-120" yWindow="-120" windowWidth="29040" windowHeight="15840" activeTab="2" xr2:uid="{D244279C-3AE9-4D06-974A-1742C2D08212}"/>
  </bookViews>
  <sheets>
    <sheet name="ITEMS" sheetId="1" r:id="rId1"/>
    <sheet name="UPS" sheetId="10" r:id="rId2"/>
    <sheet name="RefineriesData" sheetId="9" r:id="rId3"/>
    <sheet name="Crude refineries" sheetId="2" r:id="rId4"/>
    <sheet name="Cleaner Fuels Phase-2" sheetId="3" r:id="rId5"/>
    <sheet name="GTL and CTL" sheetId="4" r:id="rId6"/>
    <sheet name="SasolRES2012" sheetId="5" r:id="rId7"/>
    <sheet name="SasolRES-2017" sheetId="6" r:id="rId8"/>
    <sheet name="SASOL CC 2019 report" sheetId="7" r:id="rId9"/>
    <sheet name="Secunda Emissions 2019" sheetId="8" r:id="rId10"/>
  </sheets>
  <externalReferences>
    <externalReference r:id="rId11"/>
    <externalReference r:id="rId12"/>
    <externalReference r:id="rId13"/>
    <externalReference r:id="rId14"/>
    <externalReference r:id="rId15"/>
    <externalReference r:id="rId16"/>
    <externalReference r:id="rId17"/>
    <externalReference r:id="rId18"/>
  </externalReferences>
  <definedNames>
    <definedName name="__FDS_HYPERLINK_TOGGLE_STATE__" hidden="1">"ON"</definedName>
    <definedName name="_AMO_RefreshMultipleList" hidden="1">"'296899469 426988102 362274166 589584065 285770244'"</definedName>
    <definedName name="_AMO_SingleObject_296899469__A1" localSheetId="9" hidden="1">#REF!</definedName>
    <definedName name="_AMO_SingleObject_296899469__A1" hidden="1">#REF!</definedName>
    <definedName name="_AMO_UniqueIdentifier" hidden="1">"'ee2dcedb-2b19-4872-8d76-977f9596c89e'"</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GR">[1]Index!$C$7</definedName>
    <definedName name="COM">[1]Index!$C$8</definedName>
    <definedName name="CV_Coal">'[2]Calorific values'!$B$18</definedName>
    <definedName name="CV_GasSASOL">'[2]Calorific values'!$B$8</definedName>
    <definedName name="Demand.Sectors" localSheetId="8">[3]Index!$D$2:$J$2</definedName>
    <definedName name="Demand.Sectors" localSheetId="9">[3]Index!$D$2:$J$2</definedName>
    <definedName name="Demand.Sectors">[4]Index!$D$2:$J$2</definedName>
    <definedName name="diesel.cv">[5]units!$B$2</definedName>
    <definedName name="drate">'[6]TechWATv5 (supwat5)'!$E$3</definedName>
    <definedName name="emissions_start" localSheetId="8">[3]NameConv!$AY$4</definedName>
    <definedName name="emissions_start" localSheetId="9">[3]NameConv!$AY$4</definedName>
    <definedName name="emissions_start">[4]NameConv!$AY$4</definedName>
    <definedName name="emissions_types" localSheetId="8">[3]NameConv!$AX$3</definedName>
    <definedName name="emissions_types" localSheetId="9">[3]NameConv!$AX$3</definedName>
    <definedName name="emissions_types">[4]NameConv!$AX$3</definedName>
    <definedName name="FuelNames" localSheetId="8">[3]NameConv!$B$5:$C$44</definedName>
    <definedName name="FuelNames" localSheetId="9">[3]NameConv!$B$5:$C$44</definedName>
    <definedName name="FuelNames">[4]NameConv!$B$5:$C$44</definedName>
    <definedName name="gwpch4">'[2]SASOL CC 2019 report'!$E$98</definedName>
    <definedName name="gwpn2o">'[2]SASOL CC 2019 report'!$E$97</definedName>
    <definedName name="H2.LHV.MJ_kg">'[4]Hydrogen-ELT'!$D$39</definedName>
    <definedName name="inchtocentimetre" localSheetId="8">[3]Distribution!$A$17</definedName>
    <definedName name="inchtocentimetre" localSheetId="9">[3]Distribution!$A$17</definedName>
    <definedName name="inchtocentimetre">[4]Distribution!$A$17</definedName>
    <definedName name="IND">[1]Index!$C$9</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 localSheetId="8">[3]Index!$A$2</definedName>
    <definedName name="Model_RUN_code" localSheetId="9">[3]Index!$A$2</definedName>
    <definedName name="Model_RUN_code">[4]Index!$A$2</definedName>
    <definedName name="New_basic_data_start">'[7]New Capacity basic data'!$B$9</definedName>
    <definedName name="Pal_Workbook_GUID" hidden="1">"E2D7SR7Q3BDXUD24G1M1SK63"</definedName>
    <definedName name="petrol.cv">[5]units!$B$3</definedName>
    <definedName name="_xlnm.Print_Area" localSheetId="6">SasolRES2012!$B$2:$M$69</definedName>
    <definedName name="_xlnm.Print_Area" localSheetId="7">'SasolRES-2017'!$B$2:$M$69</definedName>
    <definedName name="REF.crude.CAP_rel.2020">'Crude refineries'!$F$56</definedName>
    <definedName name="REF.crude.CAP_rel.2021">'Crude refineries'!$G$56</definedName>
    <definedName name="REF.crude.CAP_rel.2022">'Crude refineries'!$H$56</definedName>
    <definedName name="REF.crude.CAP_rel.2025">'Crude refineries'!$J$56</definedName>
    <definedName name="REF.crude.CAP_rel.2030">'Crude refineries'!$K$56</definedName>
    <definedName name="REF.crude.CAP_rel.2040">'Crude refineries'!$M$56</definedName>
    <definedName name="RES">[1]Index!$C$10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ector.Agriculture" localSheetId="8">[3]Index!$D$2</definedName>
    <definedName name="Sector.Agriculture" localSheetId="9">[3]Index!$D$2</definedName>
    <definedName name="Sector.Agriculture">[4]Index!$D$2</definedName>
    <definedName name="Sector.Commercial" localSheetId="8">[3]Index!$E$2</definedName>
    <definedName name="Sector.Commercial" localSheetId="9">[3]Index!$E$2</definedName>
    <definedName name="Sector.Commercial">[4]Index!$E$2</definedName>
    <definedName name="Sector.Industry" localSheetId="8">[3]Index!$F$2</definedName>
    <definedName name="Sector.Industry" localSheetId="9">[3]Index!$F$2</definedName>
    <definedName name="Sector.Industry">[4]Index!$F$2</definedName>
    <definedName name="Sector.Power" localSheetId="8">[3]Index!$I$2</definedName>
    <definedName name="Sector.Power" localSheetId="9">[3]Index!$I$2</definedName>
    <definedName name="Sector.Power">[4]Index!$I$2</definedName>
    <definedName name="Sector.Residential" localSheetId="8">[3]Index!$H$2</definedName>
    <definedName name="Sector.Residential" localSheetId="9">[3]Index!$H$2</definedName>
    <definedName name="Sector.Residential">[4]Index!$H$2</definedName>
    <definedName name="Sector.Supply" localSheetId="8">[3]Index!$J$2</definedName>
    <definedName name="Sector.Supply" localSheetId="9">[3]Index!$J$2</definedName>
    <definedName name="Sector.Supply">[4]Index!$J$2</definedName>
    <definedName name="Sector.Transport" localSheetId="8">[3]Index!$G$2</definedName>
    <definedName name="Sector.Transport" localSheetId="9">[3]Index!$G$2</definedName>
    <definedName name="Sector.Transport">[4]Index!$G$2</definedName>
    <definedName name="sector_prefix" localSheetId="8">[3]UPS!$B$6</definedName>
    <definedName name="sector_prefix" localSheetId="9">[3]UPS!$B$6</definedName>
    <definedName name="sector_prefix">UPS!#REF!</definedName>
    <definedName name="solver_adj" localSheetId="6" hidden="1">SasolRES2012!$F$48</definedName>
    <definedName name="solver_adj" localSheetId="7" hidden="1">'SasolRES-2017'!$F$48</definedName>
    <definedName name="solver_cvg" localSheetId="6" hidden="1">0.0001</definedName>
    <definedName name="solver_cvg" localSheetId="7" hidden="1">0.0001</definedName>
    <definedName name="solver_drv" localSheetId="6" hidden="1">1</definedName>
    <definedName name="solver_drv" localSheetId="7" hidden="1">1</definedName>
    <definedName name="solver_est" localSheetId="6" hidden="1">1</definedName>
    <definedName name="solver_est" localSheetId="7" hidden="1">1</definedName>
    <definedName name="solver_itr" localSheetId="6" hidden="1">100</definedName>
    <definedName name="solver_itr" localSheetId="7" hidden="1">100</definedName>
    <definedName name="solver_lin" localSheetId="6" hidden="1">2</definedName>
    <definedName name="solver_lin" localSheetId="7" hidden="1">2</definedName>
    <definedName name="solver_neg" localSheetId="6" hidden="1">2</definedName>
    <definedName name="solver_neg" localSheetId="7" hidden="1">2</definedName>
    <definedName name="solver_num" localSheetId="6" hidden="1">0</definedName>
    <definedName name="solver_num" localSheetId="7" hidden="1">0</definedName>
    <definedName name="solver_nwt" localSheetId="6" hidden="1">1</definedName>
    <definedName name="solver_nwt" localSheetId="7" hidden="1">1</definedName>
    <definedName name="solver_opt" localSheetId="6" hidden="1">SasolRES2012!$P$9</definedName>
    <definedName name="solver_opt" localSheetId="7" hidden="1">'SasolRES-2017'!$P$9</definedName>
    <definedName name="solver_pre" localSheetId="6" hidden="1">0.000001</definedName>
    <definedName name="solver_pre" localSheetId="7" hidden="1">0.000001</definedName>
    <definedName name="solver_scl" localSheetId="6" hidden="1">2</definedName>
    <definedName name="solver_scl" localSheetId="7" hidden="1">2</definedName>
    <definedName name="solver_sho" localSheetId="6" hidden="1">2</definedName>
    <definedName name="solver_sho" localSheetId="7" hidden="1">2</definedName>
    <definedName name="solver_tim" localSheetId="6" hidden="1">100</definedName>
    <definedName name="solver_tim" localSheetId="7" hidden="1">100</definedName>
    <definedName name="solver_tol" localSheetId="6" hidden="1">0.05</definedName>
    <definedName name="solver_tol" localSheetId="7" hidden="1">0.05</definedName>
    <definedName name="solver_typ" localSheetId="6" hidden="1">3</definedName>
    <definedName name="solver_typ" localSheetId="7" hidden="1">3</definedName>
    <definedName name="solver_val" localSheetId="6" hidden="1">0</definedName>
    <definedName name="solver_val" localSheetId="7" hidden="1">0</definedName>
    <definedName name="TRA">[1]Index!$C$11</definedName>
    <definedName name="XLSIMSIM" localSheetId="8" hidden="1">{"Sim",3,"Output 1","'Reworked data'!$AI$84","Output 2","'Reworked data'!$AJ$84","Output 3","'Reworked data'!$AK$84","1","2","100","0"}</definedName>
    <definedName name="XLSIMSIM" localSheetId="9" hidden="1">{"Sim",3,"Output 1","'Reworked data'!$AI$84","Output 2","'Reworked data'!$AJ$84","Output 3","'Reworked data'!$AK$84","1","2","100","0"}</definedName>
    <definedName name="XLSIMSIM" hidden="1">{"Sim",3,"Output 1","'Reworked data'!$AI$84","Output 2","'Reworked data'!$AJ$84","Output 3","'Reworked data'!$AK$84","1","2","100","0"}</definedName>
    <definedName name="zar.2006">[8]Deflator!$L$4</definedName>
    <definedName name="zar.2009">[8]Deflator!$O$4</definedName>
    <definedName name="zar.2010">[8]Deflator!$P$4</definedName>
    <definedName name="zar.2012">[8]Deflator!$R$4</definedName>
    <definedName name="zar.2013">[8]Deflator!$S$4</definedName>
    <definedName name="zar.2014">[8]Deflator!$T$4</definedName>
    <definedName name="zar.2015">[8]Deflator!$U$4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8" i="9" l="1"/>
  <c r="D257" i="9"/>
  <c r="N252" i="9"/>
  <c r="AC18" i="2"/>
  <c r="W7" i="10"/>
  <c r="X7" i="10" s="1"/>
  <c r="Y7" i="10" s="1"/>
  <c r="Z7" i="10" s="1"/>
  <c r="AA7" i="10" s="1"/>
  <c r="AB7" i="10" s="1"/>
  <c r="AC7" i="10" s="1"/>
  <c r="AE29" i="2"/>
  <c r="AE28" i="2"/>
  <c r="AD29" i="2"/>
  <c r="AD28" i="2"/>
  <c r="AC29" i="2"/>
  <c r="AC28" i="2"/>
  <c r="AC4" i="10"/>
  <c r="N84" i="9"/>
  <c r="N229" i="9" l="1"/>
  <c r="D242" i="9"/>
  <c r="N148" i="9"/>
  <c r="D133" i="9"/>
  <c r="N124" i="9"/>
  <c r="D203" i="9"/>
  <c r="N230" i="9"/>
  <c r="N175" i="9"/>
  <c r="N174" i="9"/>
  <c r="N59" i="9"/>
  <c r="N58" i="9"/>
  <c r="D119" i="9"/>
  <c r="D109" i="9"/>
  <c r="D117" i="9" l="1"/>
  <c r="D108" i="9"/>
  <c r="N57" i="9" l="1"/>
  <c r="D118" i="9"/>
  <c r="D114" i="9" l="1"/>
  <c r="D101" i="9"/>
  <c r="D99" i="9"/>
  <c r="D110" i="9" l="1"/>
  <c r="D102" i="9"/>
  <c r="D100" i="9"/>
  <c r="D97" i="9"/>
  <c r="D95" i="9"/>
  <c r="D182" i="9" l="1"/>
  <c r="D169" i="9"/>
  <c r="D168" i="9"/>
  <c r="D167" i="9"/>
  <c r="D166" i="9"/>
  <c r="D165" i="9"/>
  <c r="N158" i="9"/>
  <c r="N157" i="9"/>
  <c r="D171" i="9"/>
  <c r="N43" i="9"/>
  <c r="N42" i="9" l="1"/>
  <c r="N40" i="9"/>
  <c r="N37" i="9"/>
  <c r="M33" i="9"/>
  <c r="M27" i="9"/>
  <c r="T23" i="4"/>
  <c r="T24" i="4"/>
  <c r="T25" i="4"/>
  <c r="T26" i="4"/>
  <c r="T27" i="4"/>
  <c r="T28" i="4"/>
  <c r="T29" i="4"/>
  <c r="T31" i="4" s="1"/>
  <c r="T30" i="4"/>
  <c r="S30" i="4"/>
  <c r="R29" i="4"/>
  <c r="R30" i="4"/>
  <c r="Q29" i="4"/>
  <c r="Q30" i="4"/>
  <c r="L24" i="4"/>
  <c r="S25" i="2"/>
  <c r="L30" i="4"/>
  <c r="L29" i="4"/>
  <c r="Q25" i="2"/>
  <c r="J30" i="4"/>
  <c r="J29" i="4"/>
  <c r="S19" i="2"/>
  <c r="AC12" i="2" l="1"/>
  <c r="AB12" i="2"/>
  <c r="G25" i="2"/>
  <c r="J25" i="2"/>
  <c r="D195" i="9" l="1"/>
  <c r="D172" i="9"/>
  <c r="S24" i="2"/>
  <c r="Q24" i="2"/>
  <c r="AC4" i="2"/>
  <c r="AC5" i="2" s="1"/>
  <c r="AB4" i="2"/>
  <c r="AC11" i="2"/>
  <c r="AC13" i="2"/>
  <c r="AC14" i="2"/>
  <c r="AC15" i="2"/>
  <c r="AC17" i="2"/>
  <c r="AC19" i="2"/>
  <c r="AC20" i="2"/>
  <c r="AC21" i="2"/>
  <c r="AC22" i="2"/>
  <c r="AC23" i="2"/>
  <c r="AB13" i="2"/>
  <c r="AB14" i="2"/>
  <c r="AB15" i="2"/>
  <c r="AB17" i="2"/>
  <c r="AB18" i="2"/>
  <c r="AB19" i="2"/>
  <c r="AB20" i="2"/>
  <c r="AB21" i="2"/>
  <c r="AB22" i="2"/>
  <c r="AB23" i="2"/>
  <c r="AB11" i="2"/>
  <c r="W19" i="2"/>
  <c r="W20" i="2"/>
  <c r="Z20" i="2" s="1"/>
  <c r="W25" i="2"/>
  <c r="Z25" i="2" s="1"/>
  <c r="W11" i="2"/>
  <c r="D96" i="9"/>
  <c r="N179" i="9"/>
  <c r="J197" i="9" l="1"/>
  <c r="J185" i="9"/>
  <c r="J196" i="9"/>
  <c r="J184" i="9"/>
  <c r="J195" i="9"/>
  <c r="J183" i="9"/>
  <c r="J194" i="9"/>
  <c r="J193" i="9"/>
  <c r="W18" i="10" l="1"/>
  <c r="W29" i="10" s="1"/>
  <c r="Z29" i="10" s="1"/>
  <c r="X18" i="10"/>
  <c r="AB4" i="10"/>
  <c r="AA4" i="10"/>
  <c r="W4" i="10"/>
  <c r="X4" i="10"/>
  <c r="Y4" i="10"/>
  <c r="Z4" i="10"/>
  <c r="V4" i="10"/>
  <c r="Z40" i="10"/>
  <c r="T94" i="10"/>
  <c r="T60" i="10"/>
  <c r="T50" i="10"/>
  <c r="E142" i="9"/>
  <c r="F142" i="9"/>
  <c r="G142" i="9"/>
  <c r="D142" i="9"/>
  <c r="F141" i="9"/>
  <c r="G141" i="9"/>
  <c r="E141" i="9"/>
  <c r="E143" i="9"/>
  <c r="F143" i="9" s="1"/>
  <c r="D143" i="9"/>
  <c r="X29" i="10" l="1"/>
  <c r="AA29" i="10" s="1"/>
  <c r="AB29" i="10" s="1"/>
  <c r="AC29" i="10" s="1"/>
  <c r="AB18" i="10"/>
  <c r="AC18" i="10" s="1"/>
  <c r="E56" i="9"/>
  <c r="Q21" i="9"/>
  <c r="D153" i="9" l="1"/>
  <c r="AC232" i="9" l="1"/>
  <c r="D229" i="9" s="1"/>
  <c r="G280" i="9" l="1"/>
  <c r="D180" i="9" s="1"/>
  <c r="F280" i="9"/>
  <c r="D157" i="9" s="1"/>
  <c r="I52" i="2"/>
  <c r="J52" i="2" s="1"/>
  <c r="F53" i="2"/>
  <c r="I51" i="2"/>
  <c r="J51" i="2" s="1"/>
  <c r="I53" i="2"/>
  <c r="G278" i="9"/>
  <c r="AC218" i="9"/>
  <c r="D228" i="9" s="1"/>
  <c r="D224" i="9"/>
  <c r="J198" i="9"/>
  <c r="L192" i="9"/>
  <c r="J192" i="9"/>
  <c r="L191" i="9"/>
  <c r="J191" i="9"/>
  <c r="L190" i="9"/>
  <c r="J190" i="9"/>
  <c r="L189" i="9"/>
  <c r="J189" i="9"/>
  <c r="L188" i="9"/>
  <c r="J188" i="9"/>
  <c r="L187" i="9"/>
  <c r="J187" i="9"/>
  <c r="L186" i="9"/>
  <c r="J186" i="9"/>
  <c r="L185" i="9"/>
  <c r="L184" i="9"/>
  <c r="J182" i="9"/>
  <c r="J181" i="9"/>
  <c r="J180" i="9"/>
  <c r="D150" i="9" l="1"/>
  <c r="N156" i="9" l="1"/>
  <c r="AE4" i="10"/>
  <c r="AF4" i="10"/>
  <c r="AG4" i="10"/>
  <c r="AH4" i="10"/>
  <c r="AI4" i="10"/>
  <c r="AJ4" i="10"/>
  <c r="AK4" i="10"/>
  <c r="AL4" i="10"/>
  <c r="AM4" i="10"/>
  <c r="AN4" i="10"/>
  <c r="AO4" i="10"/>
  <c r="AP4" i="10"/>
  <c r="AQ4" i="10"/>
  <c r="BE4" i="10"/>
  <c r="BF4" i="10"/>
  <c r="AR6" i="10"/>
  <c r="S50" i="10"/>
  <c r="N50" i="10"/>
  <c r="S60" i="10"/>
  <c r="N60" i="10"/>
  <c r="U82" i="10"/>
  <c r="U94" i="10"/>
  <c r="S94" i="10"/>
  <c r="K107" i="10"/>
  <c r="L107" i="10"/>
  <c r="D12" i="9"/>
  <c r="D14" i="9" s="1"/>
  <c r="E22" i="9" s="1"/>
  <c r="AB12" i="9"/>
  <c r="AC12" i="9"/>
  <c r="AD12" i="9" s="1"/>
  <c r="R13" i="9"/>
  <c r="S13" i="9"/>
  <c r="AD13" i="9"/>
  <c r="S14" i="9"/>
  <c r="AB14" i="9"/>
  <c r="AC14" i="9"/>
  <c r="AB15" i="9"/>
  <c r="AC15" i="9"/>
  <c r="N16" i="9"/>
  <c r="O16" i="9" s="1"/>
  <c r="T16" i="9"/>
  <c r="AB16" i="9"/>
  <c r="AC16" i="9"/>
  <c r="AB17" i="9"/>
  <c r="AC17" i="9"/>
  <c r="AB18" i="9"/>
  <c r="AC18" i="9"/>
  <c r="D21" i="9"/>
  <c r="M13" i="9" s="1"/>
  <c r="N14" i="9" s="1"/>
  <c r="D22" i="9"/>
  <c r="M22" i="9"/>
  <c r="T22" i="9" s="1"/>
  <c r="D23" i="9"/>
  <c r="U26" i="9"/>
  <c r="O27" i="9"/>
  <c r="P27" i="9"/>
  <c r="I29" i="9"/>
  <c r="J29" i="9"/>
  <c r="U29" i="9"/>
  <c r="I30" i="9"/>
  <c r="J30" i="9"/>
  <c r="E31" i="9"/>
  <c r="D31" i="9" s="1"/>
  <c r="H31" i="9"/>
  <c r="D32" i="9" s="1"/>
  <c r="J31" i="9"/>
  <c r="M31" i="9"/>
  <c r="O31" i="9" s="1"/>
  <c r="J32" i="9"/>
  <c r="Y33" i="9"/>
  <c r="Z33" i="9" s="1"/>
  <c r="AA33" i="9" s="1"/>
  <c r="N33" i="9" s="1"/>
  <c r="J34" i="9"/>
  <c r="R34" i="9"/>
  <c r="R39" i="9"/>
  <c r="L40" i="9"/>
  <c r="L41" i="9"/>
  <c r="L45" i="9"/>
  <c r="L46" i="9"/>
  <c r="L47" i="9"/>
  <c r="L48" i="9"/>
  <c r="L49" i="9"/>
  <c r="L50" i="9"/>
  <c r="L51" i="9"/>
  <c r="N55" i="9"/>
  <c r="D56" i="9"/>
  <c r="D66" i="9"/>
  <c r="D71" i="9"/>
  <c r="L78" i="9"/>
  <c r="L79" i="9"/>
  <c r="D80" i="9"/>
  <c r="L80" i="9"/>
  <c r="L81" i="9"/>
  <c r="D82" i="9"/>
  <c r="L82" i="9"/>
  <c r="L83" i="9"/>
  <c r="R84" i="9"/>
  <c r="N85" i="9"/>
  <c r="P85" i="9"/>
  <c r="C88" i="9"/>
  <c r="E88" i="9"/>
  <c r="F88" i="9"/>
  <c r="E89" i="9"/>
  <c r="R62" i="9" s="1"/>
  <c r="R155" i="9" s="1"/>
  <c r="F89" i="9"/>
  <c r="C90" i="9"/>
  <c r="D90" i="9"/>
  <c r="E90" i="9"/>
  <c r="R18" i="9" s="1"/>
  <c r="F90" i="9"/>
  <c r="O21" i="9" s="1"/>
  <c r="C91" i="9"/>
  <c r="N103" i="9" s="1"/>
  <c r="D91" i="9"/>
  <c r="N104" i="9" s="1"/>
  <c r="E91" i="9"/>
  <c r="F91" i="9"/>
  <c r="N243" i="9"/>
  <c r="N96" i="9"/>
  <c r="N97" i="9"/>
  <c r="G98" i="9"/>
  <c r="D116" i="9"/>
  <c r="G102" i="9"/>
  <c r="D106" i="9"/>
  <c r="B112" i="9"/>
  <c r="G123" i="9"/>
  <c r="B125" i="9"/>
  <c r="L132" i="9" s="1"/>
  <c r="B126" i="9"/>
  <c r="L133" i="9" s="1"/>
  <c r="E126" i="9"/>
  <c r="E129" i="9" s="1"/>
  <c r="E130" i="9" s="1"/>
  <c r="B127" i="9"/>
  <c r="L134" i="9" s="1"/>
  <c r="L127" i="9"/>
  <c r="B128" i="9"/>
  <c r="L135" i="9" s="1"/>
  <c r="B129" i="9"/>
  <c r="L136" i="9" s="1"/>
  <c r="L129" i="9"/>
  <c r="B130" i="9"/>
  <c r="L137" i="9" s="1"/>
  <c r="D130" i="9"/>
  <c r="N137" i="9" s="1"/>
  <c r="L130" i="9"/>
  <c r="B131" i="9"/>
  <c r="L138" i="9" s="1"/>
  <c r="N132" i="9"/>
  <c r="N133" i="9"/>
  <c r="N134" i="9"/>
  <c r="N135" i="9"/>
  <c r="N136" i="9"/>
  <c r="N138" i="9"/>
  <c r="L161" i="9"/>
  <c r="L207" i="9" s="1"/>
  <c r="L162" i="9"/>
  <c r="L163" i="9"/>
  <c r="L164" i="9"/>
  <c r="L165" i="9"/>
  <c r="L166" i="9"/>
  <c r="L167" i="9"/>
  <c r="L168" i="9"/>
  <c r="L169" i="9"/>
  <c r="R170" i="9"/>
  <c r="E172" i="9"/>
  <c r="D208" i="9"/>
  <c r="N210" i="9" s="1"/>
  <c r="L208" i="9"/>
  <c r="L209" i="9"/>
  <c r="N209" i="9"/>
  <c r="L210" i="9"/>
  <c r="L211" i="9"/>
  <c r="N211" i="9"/>
  <c r="D212" i="9"/>
  <c r="N214" i="9" s="1"/>
  <c r="L212" i="9"/>
  <c r="N212" i="9"/>
  <c r="L213" i="9"/>
  <c r="N213" i="9"/>
  <c r="L214" i="9"/>
  <c r="L215" i="9"/>
  <c r="N215" i="9"/>
  <c r="N216" i="9"/>
  <c r="N226" i="9"/>
  <c r="T204" i="9"/>
  <c r="G229" i="9"/>
  <c r="G241" i="9" s="1"/>
  <c r="S207" i="9"/>
  <c r="T207" i="9"/>
  <c r="S228" i="9" s="1"/>
  <c r="L232" i="9"/>
  <c r="L233" i="9"/>
  <c r="L234" i="9"/>
  <c r="AC210" i="9"/>
  <c r="L235" i="9"/>
  <c r="L236" i="9"/>
  <c r="L237" i="9"/>
  <c r="L238" i="9"/>
  <c r="S214" i="9"/>
  <c r="W214" i="9"/>
  <c r="L239" i="9"/>
  <c r="L240" i="9"/>
  <c r="U216" i="9"/>
  <c r="Y216" i="9"/>
  <c r="F241" i="9"/>
  <c r="Y217" i="9"/>
  <c r="U218" i="9"/>
  <c r="E229" i="9" s="1"/>
  <c r="Y218" i="9"/>
  <c r="AG218" i="9"/>
  <c r="D243" i="9"/>
  <c r="M40" i="10" s="1"/>
  <c r="S219" i="9"/>
  <c r="U219" i="9" s="1"/>
  <c r="E230" i="9" s="1"/>
  <c r="Y219" i="9"/>
  <c r="AC219" i="9"/>
  <c r="AG219" i="9"/>
  <c r="S220" i="9"/>
  <c r="U220" i="9" s="1"/>
  <c r="W220" i="9"/>
  <c r="Y220" i="9"/>
  <c r="AA220" i="9"/>
  <c r="AC220" i="9"/>
  <c r="AE220" i="9"/>
  <c r="AG220" i="9"/>
  <c r="C246" i="9"/>
  <c r="N234" i="9" s="1"/>
  <c r="C247" i="9"/>
  <c r="N235" i="9" s="1"/>
  <c r="U223" i="9"/>
  <c r="Y223" i="9"/>
  <c r="AC223" i="9"/>
  <c r="D231" i="9" s="1"/>
  <c r="D232" i="9" s="1"/>
  <c r="AG223" i="9"/>
  <c r="C248" i="9"/>
  <c r="Y224" i="9"/>
  <c r="AC224" i="9"/>
  <c r="AG224" i="9"/>
  <c r="C249" i="9"/>
  <c r="N237" i="9" s="1"/>
  <c r="W225" i="9"/>
  <c r="W227" i="9" s="1"/>
  <c r="AA225" i="9"/>
  <c r="AA227" i="9" s="1"/>
  <c r="AE225" i="9"/>
  <c r="AE227" i="9" s="1"/>
  <c r="C250" i="9"/>
  <c r="C251" i="9"/>
  <c r="N239" i="9" s="1"/>
  <c r="S227" i="9"/>
  <c r="C252" i="9"/>
  <c r="N240" i="9" s="1"/>
  <c r="L252" i="9"/>
  <c r="L253" i="9"/>
  <c r="L254" i="9"/>
  <c r="L255" i="9"/>
  <c r="L256" i="9"/>
  <c r="E257" i="9"/>
  <c r="E258" i="9" s="1"/>
  <c r="L257" i="9"/>
  <c r="L258" i="9"/>
  <c r="E259" i="9"/>
  <c r="L259" i="9"/>
  <c r="L260" i="9"/>
  <c r="X236" i="9"/>
  <c r="Y236" i="9" s="1"/>
  <c r="V35" i="4" s="1"/>
  <c r="X237" i="9"/>
  <c r="Y237" i="9" s="1"/>
  <c r="V36" i="4" s="1"/>
  <c r="X238" i="9"/>
  <c r="Y238" i="9" s="1"/>
  <c r="V37" i="4" s="1"/>
  <c r="X239" i="9"/>
  <c r="Y239" i="9" s="1"/>
  <c r="V38" i="4" s="1"/>
  <c r="N264" i="9"/>
  <c r="X240" i="9"/>
  <c r="Y240" i="9" s="1"/>
  <c r="V39" i="4" s="1"/>
  <c r="N265" i="9"/>
  <c r="X241" i="9"/>
  <c r="Y241" i="9" s="1"/>
  <c r="V40" i="4" s="1"/>
  <c r="X242" i="9"/>
  <c r="Y242" i="9" s="1"/>
  <c r="V41" i="4" s="1"/>
  <c r="E273" i="9"/>
  <c r="H278" i="9"/>
  <c r="I278" i="9"/>
  <c r="J279" i="9"/>
  <c r="J280" i="9"/>
  <c r="S48" i="8"/>
  <c r="T48" i="8"/>
  <c r="E49" i="8"/>
  <c r="S49" i="8"/>
  <c r="T49" i="8" s="1"/>
  <c r="D45" i="9" s="1"/>
  <c r="S50" i="8"/>
  <c r="R55" i="8"/>
  <c r="R56" i="8" s="1"/>
  <c r="R57" i="8"/>
  <c r="R58" i="8"/>
  <c r="R59" i="8"/>
  <c r="F60" i="8"/>
  <c r="H60" i="8"/>
  <c r="F61" i="8"/>
  <c r="H61" i="8" s="1"/>
  <c r="F62" i="8"/>
  <c r="H62" i="8"/>
  <c r="F63" i="8"/>
  <c r="H63" i="8"/>
  <c r="F69" i="8"/>
  <c r="H69" i="8"/>
  <c r="C95" i="8"/>
  <c r="J4" i="7"/>
  <c r="K4" i="7"/>
  <c r="L4" i="7"/>
  <c r="J14" i="7"/>
  <c r="K14" i="7"/>
  <c r="L14" i="7"/>
  <c r="M14" i="7"/>
  <c r="J15" i="7"/>
  <c r="K15" i="7"/>
  <c r="L15" i="7"/>
  <c r="M15" i="7"/>
  <c r="J16" i="7"/>
  <c r="K16" i="7"/>
  <c r="L16" i="7"/>
  <c r="M16" i="7"/>
  <c r="J17" i="7"/>
  <c r="K17" i="7"/>
  <c r="L17" i="7"/>
  <c r="M17" i="7"/>
  <c r="J18" i="7"/>
  <c r="K18" i="7"/>
  <c r="L18" i="7"/>
  <c r="M18" i="7"/>
  <c r="J19" i="7"/>
  <c r="K19" i="7"/>
  <c r="L19" i="7"/>
  <c r="M19" i="7"/>
  <c r="J20" i="7"/>
  <c r="K20" i="7"/>
  <c r="L20" i="7"/>
  <c r="M20" i="7"/>
  <c r="J21" i="7"/>
  <c r="K21" i="7"/>
  <c r="L21" i="7"/>
  <c r="M21" i="7"/>
  <c r="J22" i="7"/>
  <c r="K22" i="7"/>
  <c r="L22" i="7"/>
  <c r="M22" i="7"/>
  <c r="J23" i="7"/>
  <c r="K23" i="7"/>
  <c r="K86" i="7" s="1"/>
  <c r="L23" i="7"/>
  <c r="M23" i="7"/>
  <c r="J24" i="7"/>
  <c r="K24" i="7"/>
  <c r="L24" i="7"/>
  <c r="M24" i="7"/>
  <c r="J25" i="7"/>
  <c r="K25" i="7"/>
  <c r="L25" i="7"/>
  <c r="M25" i="7"/>
  <c r="J26" i="7"/>
  <c r="J89" i="7" s="1"/>
  <c r="K26" i="7"/>
  <c r="K44" i="7" s="1"/>
  <c r="L26" i="7"/>
  <c r="M26" i="7"/>
  <c r="J27" i="7"/>
  <c r="K27" i="7"/>
  <c r="L27" i="7"/>
  <c r="M27" i="7"/>
  <c r="J28" i="7"/>
  <c r="K28" i="7"/>
  <c r="K91" i="7" s="1"/>
  <c r="L28" i="7"/>
  <c r="M28" i="7"/>
  <c r="J29" i="7"/>
  <c r="K29" i="7"/>
  <c r="K92" i="7" s="1"/>
  <c r="L29" i="7"/>
  <c r="M29" i="7"/>
  <c r="J30" i="7"/>
  <c r="K30" i="7"/>
  <c r="L30" i="7"/>
  <c r="M30" i="7"/>
  <c r="J31" i="7"/>
  <c r="K31" i="7"/>
  <c r="L31" i="7"/>
  <c r="M31" i="7"/>
  <c r="J32" i="7"/>
  <c r="K32" i="7"/>
  <c r="L32" i="7"/>
  <c r="M32" i="7"/>
  <c r="J33" i="7"/>
  <c r="K33" i="7"/>
  <c r="L33" i="7"/>
  <c r="M33" i="7"/>
  <c r="J34" i="7"/>
  <c r="J88" i="7" s="1"/>
  <c r="K34" i="7"/>
  <c r="L34" i="7"/>
  <c r="M34" i="7"/>
  <c r="J35" i="7"/>
  <c r="K35" i="7"/>
  <c r="L35" i="7"/>
  <c r="L44" i="7" s="1"/>
  <c r="M35" i="7"/>
  <c r="J36" i="7"/>
  <c r="K36" i="7"/>
  <c r="L36" i="7"/>
  <c r="M36" i="7"/>
  <c r="J37" i="7"/>
  <c r="K37" i="7"/>
  <c r="L37" i="7"/>
  <c r="M37" i="7"/>
  <c r="J38" i="7"/>
  <c r="K38" i="7"/>
  <c r="L38" i="7"/>
  <c r="M38" i="7"/>
  <c r="J39" i="7"/>
  <c r="K39" i="7"/>
  <c r="L39" i="7"/>
  <c r="M39" i="7"/>
  <c r="J40" i="7"/>
  <c r="K40" i="7"/>
  <c r="L40" i="7"/>
  <c r="M40" i="7"/>
  <c r="D83" i="7"/>
  <c r="E83" i="7"/>
  <c r="F83" i="7"/>
  <c r="G83" i="7"/>
  <c r="D86" i="7"/>
  <c r="E86" i="7"/>
  <c r="F86" i="7"/>
  <c r="G86" i="7"/>
  <c r="D87" i="7"/>
  <c r="D88" i="7"/>
  <c r="D89" i="7"/>
  <c r="D90" i="7"/>
  <c r="D91" i="7"/>
  <c r="M91" i="7"/>
  <c r="D92" i="7"/>
  <c r="D93" i="7"/>
  <c r="D94" i="7"/>
  <c r="D8" i="6"/>
  <c r="D10" i="6" s="1"/>
  <c r="O57" i="6" s="1"/>
  <c r="O56" i="6" s="1"/>
  <c r="O8" i="6"/>
  <c r="K11" i="6"/>
  <c r="L22" i="6" s="1"/>
  <c r="K12" i="6"/>
  <c r="R12" i="6"/>
  <c r="S12" i="6" s="1"/>
  <c r="D13" i="6"/>
  <c r="D14" i="6"/>
  <c r="F14" i="6"/>
  <c r="K14" i="6"/>
  <c r="R15" i="6"/>
  <c r="K16" i="6"/>
  <c r="K17" i="6"/>
  <c r="H21" i="6"/>
  <c r="K21" i="6"/>
  <c r="F47" i="6" s="1"/>
  <c r="H22" i="6"/>
  <c r="L23" i="6"/>
  <c r="M23" i="6"/>
  <c r="F24" i="6"/>
  <c r="H27" i="6" s="1"/>
  <c r="L24" i="6"/>
  <c r="H25" i="6"/>
  <c r="L25" i="6"/>
  <c r="K32" i="6"/>
  <c r="K33" i="6"/>
  <c r="H36" i="6"/>
  <c r="Q38" i="6"/>
  <c r="H39" i="6"/>
  <c r="Q39" i="6"/>
  <c r="Q40" i="6" s="1"/>
  <c r="H40" i="6"/>
  <c r="H41" i="6"/>
  <c r="K44" i="6"/>
  <c r="Q44" i="6"/>
  <c r="F45" i="6"/>
  <c r="H45" i="6"/>
  <c r="Q47" i="6"/>
  <c r="F48" i="6"/>
  <c r="R16" i="6" s="1"/>
  <c r="S15" i="6" s="1"/>
  <c r="Q48" i="6"/>
  <c r="Q49" i="6"/>
  <c r="M52" i="6"/>
  <c r="M53" i="6" s="1"/>
  <c r="K57" i="6"/>
  <c r="N59" i="6"/>
  <c r="N60" i="6"/>
  <c r="N61" i="6"/>
  <c r="N62" i="6"/>
  <c r="M64" i="6"/>
  <c r="K68" i="6"/>
  <c r="D8" i="5"/>
  <c r="D10" i="5" s="1"/>
  <c r="O8" i="5"/>
  <c r="K21" i="5" s="1"/>
  <c r="D9" i="5"/>
  <c r="K11" i="5"/>
  <c r="K17" i="5" s="1"/>
  <c r="R12" i="5"/>
  <c r="S12" i="5"/>
  <c r="D13" i="5"/>
  <c r="D14" i="5" s="1"/>
  <c r="F14" i="5"/>
  <c r="R15" i="5"/>
  <c r="K16" i="5"/>
  <c r="H21" i="5"/>
  <c r="H22" i="5" s="1"/>
  <c r="L22" i="5"/>
  <c r="L23" i="5"/>
  <c r="M23" i="5"/>
  <c r="L24" i="5"/>
  <c r="H25" i="5"/>
  <c r="F24" i="5" s="1"/>
  <c r="L25" i="5"/>
  <c r="K32" i="5"/>
  <c r="K33" i="5" s="1"/>
  <c r="H35" i="5"/>
  <c r="H36" i="5" s="1"/>
  <c r="D38" i="5"/>
  <c r="Q38" i="5"/>
  <c r="Q39" i="5" s="1"/>
  <c r="Q40" i="5" s="1"/>
  <c r="H39" i="5"/>
  <c r="H40" i="5"/>
  <c r="H41" i="5"/>
  <c r="K44" i="5"/>
  <c r="Q44" i="5"/>
  <c r="Q49" i="5" s="1"/>
  <c r="F45" i="5"/>
  <c r="H45" i="5"/>
  <c r="F47" i="5"/>
  <c r="Q47" i="5"/>
  <c r="F48" i="5"/>
  <c r="H49" i="5" s="1"/>
  <c r="Q48" i="5"/>
  <c r="M52" i="5"/>
  <c r="M53" i="5"/>
  <c r="N59" i="5"/>
  <c r="N60" i="5"/>
  <c r="N61" i="5"/>
  <c r="N62" i="5"/>
  <c r="M64" i="5"/>
  <c r="M65" i="5" s="1"/>
  <c r="K68" i="5"/>
  <c r="H6" i="4"/>
  <c r="O6" i="4"/>
  <c r="O7" i="4"/>
  <c r="Q7" i="4"/>
  <c r="S7" i="4"/>
  <c r="G15" i="4"/>
  <c r="J15" i="4"/>
  <c r="L15" i="4"/>
  <c r="O15" i="4"/>
  <c r="P15" i="4"/>
  <c r="R15" i="4" s="1"/>
  <c r="Q15" i="4"/>
  <c r="S15" i="4" s="1"/>
  <c r="G16" i="4"/>
  <c r="P16" i="4" s="1"/>
  <c r="R16" i="4" s="1"/>
  <c r="T16" i="4" s="1"/>
  <c r="J16" i="4"/>
  <c r="O16" i="4"/>
  <c r="Q16" i="4" s="1"/>
  <c r="S16" i="4" s="1"/>
  <c r="G17" i="4"/>
  <c r="P17" i="4" s="1"/>
  <c r="R17" i="4" s="1"/>
  <c r="T17" i="4" s="1"/>
  <c r="J17" i="4"/>
  <c r="O17" i="4"/>
  <c r="O31" i="4" s="1"/>
  <c r="G18" i="4"/>
  <c r="J18" i="4"/>
  <c r="R18" i="4" s="1"/>
  <c r="T18" i="4" s="1"/>
  <c r="L18" i="4"/>
  <c r="O18" i="4"/>
  <c r="P18" i="4"/>
  <c r="G19" i="4"/>
  <c r="P19" i="4" s="1"/>
  <c r="O19" i="4"/>
  <c r="Q19" i="4"/>
  <c r="S19" i="4" s="1"/>
  <c r="R19" i="4"/>
  <c r="T19" i="4"/>
  <c r="G20" i="4"/>
  <c r="J20" i="4"/>
  <c r="O20" i="4"/>
  <c r="Q20" i="4" s="1"/>
  <c r="S20" i="4" s="1"/>
  <c r="E248" i="9" s="1"/>
  <c r="E236" i="9" s="1"/>
  <c r="P20" i="4"/>
  <c r="R20" i="4"/>
  <c r="T20" i="4" s="1"/>
  <c r="G21" i="4"/>
  <c r="J21" i="4"/>
  <c r="O21" i="4"/>
  <c r="P21" i="4"/>
  <c r="R21" i="4" s="1"/>
  <c r="T21" i="4" s="1"/>
  <c r="G22" i="4"/>
  <c r="J22" i="4"/>
  <c r="L22" i="4"/>
  <c r="O22" i="4"/>
  <c r="P22" i="4"/>
  <c r="R22" i="4" s="1"/>
  <c r="T22" i="4" s="1"/>
  <c r="Q22" i="4"/>
  <c r="S22" i="4"/>
  <c r="E249" i="9" s="1"/>
  <c r="G23" i="4"/>
  <c r="P23" i="4" s="1"/>
  <c r="J23" i="4"/>
  <c r="Q23" i="4" s="1"/>
  <c r="S23" i="4" s="1"/>
  <c r="E250" i="9" s="1"/>
  <c r="O23" i="4"/>
  <c r="G24" i="4"/>
  <c r="P24" i="4" s="1"/>
  <c r="R24" i="4" s="1"/>
  <c r="J24" i="4"/>
  <c r="O24" i="4"/>
  <c r="Q24" i="4" s="1"/>
  <c r="S24" i="4" s="1"/>
  <c r="G25" i="4"/>
  <c r="P25" i="4" s="1"/>
  <c r="R25" i="4" s="1"/>
  <c r="U28" i="4" s="1"/>
  <c r="M30" i="9" s="1"/>
  <c r="O25" i="4"/>
  <c r="Q25" i="4"/>
  <c r="S25" i="4" s="1"/>
  <c r="G26" i="4"/>
  <c r="P26" i="4" s="1"/>
  <c r="R26" i="4" s="1"/>
  <c r="O26" i="4"/>
  <c r="Q26" i="4" s="1"/>
  <c r="S26" i="4" s="1"/>
  <c r="G27" i="4"/>
  <c r="P27" i="4" s="1"/>
  <c r="R27" i="4" s="1"/>
  <c r="O27" i="4"/>
  <c r="Q27" i="4" s="1"/>
  <c r="S27" i="4" s="1"/>
  <c r="E251" i="9" s="1"/>
  <c r="G28" i="4"/>
  <c r="P28" i="4" s="1"/>
  <c r="R28" i="4" s="1"/>
  <c r="O28" i="4"/>
  <c r="Q28" i="4"/>
  <c r="S28" i="4"/>
  <c r="G29" i="4"/>
  <c r="P29" i="4" s="1"/>
  <c r="O29" i="4"/>
  <c r="S29" i="4"/>
  <c r="G30" i="4"/>
  <c r="O30" i="4"/>
  <c r="P30" i="4"/>
  <c r="D31" i="4"/>
  <c r="R35" i="4"/>
  <c r="S35" i="4" s="1"/>
  <c r="R36" i="4"/>
  <c r="S36" i="4" s="1"/>
  <c r="R37" i="4"/>
  <c r="S37" i="4"/>
  <c r="R38" i="4"/>
  <c r="S38" i="4"/>
  <c r="R39" i="4"/>
  <c r="S39" i="4"/>
  <c r="R40" i="4"/>
  <c r="S40" i="4"/>
  <c r="R41" i="4"/>
  <c r="S41" i="4"/>
  <c r="S42" i="4"/>
  <c r="B16" i="3"/>
  <c r="C16" i="3"/>
  <c r="B17" i="3"/>
  <c r="C17" i="3" s="1"/>
  <c r="H24" i="3"/>
  <c r="P24" i="3"/>
  <c r="Q24" i="3"/>
  <c r="R24" i="3"/>
  <c r="S24" i="3"/>
  <c r="P25" i="3"/>
  <c r="Q25" i="3"/>
  <c r="R25" i="3"/>
  <c r="S25" i="3"/>
  <c r="H29" i="3"/>
  <c r="S31" i="3"/>
  <c r="C58" i="3"/>
  <c r="C59" i="3"/>
  <c r="C60" i="3"/>
  <c r="D5" i="2"/>
  <c r="D13" i="2" s="1"/>
  <c r="W13" i="2" s="1"/>
  <c r="G5" i="2"/>
  <c r="G4" i="2" s="1"/>
  <c r="J5" i="2"/>
  <c r="J18" i="2" s="1"/>
  <c r="M6" i="2"/>
  <c r="D81" i="9" s="1"/>
  <c r="D83" i="9" s="1"/>
  <c r="AB8" i="2"/>
  <c r="G11" i="2"/>
  <c r="Q11" i="2"/>
  <c r="Z11" i="2" s="1"/>
  <c r="X11" i="2"/>
  <c r="G12" i="2"/>
  <c r="M12" i="2"/>
  <c r="Q12" i="2"/>
  <c r="Q32" i="2" s="1"/>
  <c r="S32" i="2" s="1"/>
  <c r="Q13" i="2"/>
  <c r="X13" i="2"/>
  <c r="J14" i="2"/>
  <c r="M14" i="2"/>
  <c r="X14" i="2" s="1"/>
  <c r="Q14" i="2"/>
  <c r="S14" i="2"/>
  <c r="M15" i="2"/>
  <c r="X15" i="2" s="1"/>
  <c r="AA15" i="2" s="1"/>
  <c r="Q15" i="2"/>
  <c r="Q35" i="2" s="1"/>
  <c r="S35" i="2" s="1"/>
  <c r="Q16" i="2"/>
  <c r="Q36" i="2" s="1"/>
  <c r="S36" i="2" s="1"/>
  <c r="X16" i="2"/>
  <c r="AA16" i="2" s="1"/>
  <c r="M17" i="2"/>
  <c r="Q17" i="2"/>
  <c r="Q37" i="2" s="1"/>
  <c r="S37" i="2" s="1"/>
  <c r="M18" i="2"/>
  <c r="X18" i="2" s="1"/>
  <c r="Q18" i="2"/>
  <c r="Q38" i="2" s="1"/>
  <c r="S38" i="2" s="1"/>
  <c r="Q19" i="2"/>
  <c r="X19" i="2"/>
  <c r="X20" i="2"/>
  <c r="M21" i="2"/>
  <c r="X21" i="2" s="1"/>
  <c r="M22" i="2"/>
  <c r="X22" i="2" s="1"/>
  <c r="M23" i="2"/>
  <c r="X24" i="2"/>
  <c r="M25" i="2"/>
  <c r="X25" i="2" s="1"/>
  <c r="C26" i="2"/>
  <c r="F26" i="2"/>
  <c r="L26" i="2"/>
  <c r="J29" i="2"/>
  <c r="K29" i="2" s="1"/>
  <c r="Q31" i="2"/>
  <c r="S31" i="2" s="1"/>
  <c r="Q40" i="2"/>
  <c r="S40" i="2" s="1"/>
  <c r="Q41" i="2"/>
  <c r="S41" i="2" s="1"/>
  <c r="Q42" i="2"/>
  <c r="S42" i="2" s="1"/>
  <c r="Q43" i="2"/>
  <c r="S43" i="2" s="1"/>
  <c r="S44" i="2"/>
  <c r="S45" i="2"/>
  <c r="D51" i="2"/>
  <c r="D58" i="3" s="1"/>
  <c r="K51" i="2"/>
  <c r="L51" i="2" s="1"/>
  <c r="D52" i="2"/>
  <c r="D60" i="3" s="1"/>
  <c r="F52" i="2"/>
  <c r="F55" i="2" s="1"/>
  <c r="F56" i="2" s="1"/>
  <c r="K52" i="2"/>
  <c r="L52" i="2" s="1"/>
  <c r="M52" i="2" s="1"/>
  <c r="S52" i="2"/>
  <c r="V52" i="2" s="1"/>
  <c r="D53" i="2"/>
  <c r="D59" i="3" s="1"/>
  <c r="K53" i="2"/>
  <c r="D54" i="2"/>
  <c r="D57" i="3" s="1"/>
  <c r="G54" i="2"/>
  <c r="H54" i="2"/>
  <c r="H55" i="2" s="1"/>
  <c r="H56" i="2" s="1"/>
  <c r="E55" i="2"/>
  <c r="C53" i="2" s="1"/>
  <c r="F70" i="2"/>
  <c r="H73" i="2"/>
  <c r="H75" i="2" s="1"/>
  <c r="L91" i="7" l="1"/>
  <c r="N196" i="9"/>
  <c r="L94" i="7"/>
  <c r="L88" i="7"/>
  <c r="L43" i="7"/>
  <c r="L89" i="7"/>
  <c r="M94" i="7"/>
  <c r="J94" i="7"/>
  <c r="J91" i="7"/>
  <c r="L87" i="7"/>
  <c r="L92" i="7"/>
  <c r="L86" i="7"/>
  <c r="M43" i="7"/>
  <c r="J90" i="7"/>
  <c r="M88" i="7"/>
  <c r="J42" i="7"/>
  <c r="J45" i="7"/>
  <c r="J93" i="7"/>
  <c r="K94" i="7"/>
  <c r="K43" i="7"/>
  <c r="J87" i="7"/>
  <c r="J92" i="7"/>
  <c r="J86" i="7"/>
  <c r="K88" i="7"/>
  <c r="AA19" i="2"/>
  <c r="AA25" i="2"/>
  <c r="AD25" i="2" s="1"/>
  <c r="AA24" i="2"/>
  <c r="AD24" i="2" s="1"/>
  <c r="AA22" i="2"/>
  <c r="AD22" i="2" s="1"/>
  <c r="G16" i="2"/>
  <c r="V16" i="2" s="1"/>
  <c r="Y16" i="2" s="1"/>
  <c r="AA11" i="2"/>
  <c r="G22" i="2"/>
  <c r="AA21" i="2"/>
  <c r="AD21" i="2" s="1"/>
  <c r="AA20" i="2"/>
  <c r="AD20" i="2" s="1"/>
  <c r="Q39" i="2"/>
  <c r="S39" i="2" s="1"/>
  <c r="Z19" i="2"/>
  <c r="AA14" i="2"/>
  <c r="AA18" i="2"/>
  <c r="AD18" i="2" s="1"/>
  <c r="N69" i="9" s="1"/>
  <c r="AA13" i="2"/>
  <c r="AD13" i="2" s="1"/>
  <c r="Z13" i="2"/>
  <c r="G23" i="2"/>
  <c r="G17" i="2"/>
  <c r="G13" i="2"/>
  <c r="V13" i="2" s="1"/>
  <c r="Y13" i="2" s="1"/>
  <c r="G21" i="2"/>
  <c r="G20" i="2"/>
  <c r="G19" i="2"/>
  <c r="G24" i="2"/>
  <c r="V24" i="2" s="1"/>
  <c r="Y24" i="2" s="1"/>
  <c r="AB24" i="2" s="1"/>
  <c r="G15" i="2"/>
  <c r="G18" i="2"/>
  <c r="V18" i="2" s="1"/>
  <c r="Y18" i="2" s="1"/>
  <c r="G14" i="2"/>
  <c r="V14" i="2" s="1"/>
  <c r="Y14" i="2" s="1"/>
  <c r="M26" i="2"/>
  <c r="N11" i="2" s="1"/>
  <c r="E56" i="2"/>
  <c r="Q34" i="2"/>
  <c r="S34" i="2" s="1"/>
  <c r="AD11" i="2"/>
  <c r="AD14" i="2"/>
  <c r="N66" i="9" s="1"/>
  <c r="AD19" i="2"/>
  <c r="X12" i="2"/>
  <c r="D23" i="2"/>
  <c r="W23" i="2" s="1"/>
  <c r="Z23" i="2" s="1"/>
  <c r="N170" i="9"/>
  <c r="D194" i="9"/>
  <c r="N193" i="9" s="1"/>
  <c r="N17" i="2"/>
  <c r="AD16" i="2"/>
  <c r="N25" i="2"/>
  <c r="AD15" i="2"/>
  <c r="N67" i="9" s="1"/>
  <c r="AD4" i="2"/>
  <c r="AD5" i="2" s="1"/>
  <c r="J54" i="2"/>
  <c r="I54" i="2"/>
  <c r="I55" i="2" s="1"/>
  <c r="I56" i="2" s="1"/>
  <c r="J4" i="2"/>
  <c r="J21" i="2"/>
  <c r="D15" i="2"/>
  <c r="W15" i="2" s="1"/>
  <c r="Z15" i="2" s="1"/>
  <c r="J12" i="2"/>
  <c r="V12" i="2" s="1"/>
  <c r="Y12" i="2" s="1"/>
  <c r="M89" i="7"/>
  <c r="K89" i="7"/>
  <c r="J44" i="7"/>
  <c r="L42" i="7"/>
  <c r="L90" i="7"/>
  <c r="K93" i="7"/>
  <c r="M86" i="7"/>
  <c r="D241" i="9"/>
  <c r="AG232" i="9" s="1"/>
  <c r="Y232" i="9"/>
  <c r="G228" i="9" s="1"/>
  <c r="AD14" i="9"/>
  <c r="G230" i="9"/>
  <c r="D230" i="9"/>
  <c r="D259" i="9"/>
  <c r="N263" i="9" s="1"/>
  <c r="D113" i="9"/>
  <c r="N87" i="9" s="1"/>
  <c r="N101" i="9"/>
  <c r="AC216" i="9"/>
  <c r="AD17" i="9"/>
  <c r="F105" i="10"/>
  <c r="U30" i="9"/>
  <c r="AD18" i="9"/>
  <c r="AG216" i="9"/>
  <c r="J35" i="9"/>
  <c r="J234" i="9"/>
  <c r="D35" i="9"/>
  <c r="D44" i="9" s="1"/>
  <c r="D46" i="9" s="1"/>
  <c r="M18" i="9" s="1"/>
  <c r="K38" i="6"/>
  <c r="K39" i="6" s="1"/>
  <c r="F50" i="6"/>
  <c r="H49" i="6"/>
  <c r="AA228" i="9"/>
  <c r="R16" i="5"/>
  <c r="S15" i="5" s="1"/>
  <c r="K38" i="5"/>
  <c r="K39" i="5" s="1"/>
  <c r="S217" i="9"/>
  <c r="U217" i="9" s="1"/>
  <c r="U227" i="9" s="1"/>
  <c r="T227" i="9" s="1"/>
  <c r="T228" i="9" s="1"/>
  <c r="U228" i="9" s="1"/>
  <c r="AD16" i="9"/>
  <c r="AD15" i="9"/>
  <c r="F278" i="9"/>
  <c r="J243" i="9"/>
  <c r="J233" i="9"/>
  <c r="J231" i="9"/>
  <c r="J244" i="9"/>
  <c r="J240" i="9"/>
  <c r="J229" i="9"/>
  <c r="N9" i="9"/>
  <c r="J51" i="9" s="1"/>
  <c r="D278" i="9"/>
  <c r="J157" i="9"/>
  <c r="J168" i="9"/>
  <c r="J170" i="9"/>
  <c r="J166" i="9"/>
  <c r="J173" i="9"/>
  <c r="J237" i="9"/>
  <c r="U32" i="9"/>
  <c r="O30" i="9"/>
  <c r="M51" i="2"/>
  <c r="E246" i="9"/>
  <c r="V42" i="4"/>
  <c r="E238" i="9"/>
  <c r="E239" i="9"/>
  <c r="M29" i="9"/>
  <c r="L20" i="3"/>
  <c r="L21" i="3" s="1"/>
  <c r="L25" i="3"/>
  <c r="L26" i="3" s="1"/>
  <c r="N21" i="2"/>
  <c r="U33" i="9"/>
  <c r="D12" i="2"/>
  <c r="W12" i="2" s="1"/>
  <c r="Z12" i="2" s="1"/>
  <c r="J11" i="2"/>
  <c r="V11" i="2" s="1"/>
  <c r="Y11" i="2" s="1"/>
  <c r="Q17" i="4"/>
  <c r="S17" i="4" s="1"/>
  <c r="S31" i="4" s="1"/>
  <c r="M93" i="7"/>
  <c r="M90" i="7"/>
  <c r="M87" i="7"/>
  <c r="D33" i="9"/>
  <c r="K105" i="10" s="1"/>
  <c r="P20" i="9"/>
  <c r="G31" i="4"/>
  <c r="H74" i="2"/>
  <c r="X23" i="2"/>
  <c r="D22" i="2"/>
  <c r="W22" i="2" s="1"/>
  <c r="Z22" i="2" s="1"/>
  <c r="D18" i="2"/>
  <c r="W18" i="2" s="1"/>
  <c r="Z18" i="2" s="1"/>
  <c r="J17" i="2"/>
  <c r="V17" i="2" s="1"/>
  <c r="Y17" i="2" s="1"/>
  <c r="O4" i="2"/>
  <c r="M45" i="7"/>
  <c r="L93" i="7"/>
  <c r="C51" i="2"/>
  <c r="N13" i="2"/>
  <c r="J6" i="2"/>
  <c r="R23" i="4"/>
  <c r="M32" i="9" s="1"/>
  <c r="Q21" i="4"/>
  <c r="S21" i="4" s="1"/>
  <c r="M65" i="6"/>
  <c r="U25" i="4"/>
  <c r="K42" i="7"/>
  <c r="J20" i="2"/>
  <c r="V20" i="2" s="1"/>
  <c r="Y20" i="2" s="1"/>
  <c r="N19" i="2"/>
  <c r="D6" i="2"/>
  <c r="D4" i="2"/>
  <c r="AB5" i="2" s="1"/>
  <c r="E237" i="9"/>
  <c r="F30" i="6"/>
  <c r="R13" i="6" s="1"/>
  <c r="S13" i="6" s="1"/>
  <c r="M92" i="7"/>
  <c r="M44" i="7"/>
  <c r="T50" i="8"/>
  <c r="O33" i="9"/>
  <c r="O13" i="9"/>
  <c r="K90" i="7"/>
  <c r="K45" i="7"/>
  <c r="C54" i="2"/>
  <c r="G52" i="2"/>
  <c r="G55" i="2" s="1"/>
  <c r="G56" i="2" s="1"/>
  <c r="Q33" i="2"/>
  <c r="S33" i="2" s="1"/>
  <c r="D17" i="2"/>
  <c r="W17" i="2" s="1"/>
  <c r="Z17" i="2" s="1"/>
  <c r="O57" i="5"/>
  <c r="N16" i="2"/>
  <c r="J23" i="2"/>
  <c r="V23" i="2" s="1"/>
  <c r="Y23" i="2" s="1"/>
  <c r="N22" i="2"/>
  <c r="D21" i="2"/>
  <c r="W21" i="2" s="1"/>
  <c r="Z21" i="2" s="1"/>
  <c r="J19" i="2"/>
  <c r="V19" i="2" s="1"/>
  <c r="Y19" i="2" s="1"/>
  <c r="N18" i="2"/>
  <c r="D14" i="2"/>
  <c r="W14" i="2" s="1"/>
  <c r="Z14" i="2" s="1"/>
  <c r="H27" i="5"/>
  <c r="F30" i="5"/>
  <c r="M42" i="7"/>
  <c r="N62" i="9"/>
  <c r="D152" i="9" s="1"/>
  <c r="D24" i="2"/>
  <c r="W24" i="2" s="1"/>
  <c r="Z24" i="2" s="1"/>
  <c r="AC24" i="2" s="1"/>
  <c r="X17" i="2"/>
  <c r="D16" i="2"/>
  <c r="W16" i="2" s="1"/>
  <c r="Z16" i="2" s="1"/>
  <c r="J15" i="2"/>
  <c r="O5" i="2"/>
  <c r="V40" i="10"/>
  <c r="W40" i="10" s="1"/>
  <c r="X40" i="10" s="1"/>
  <c r="N241" i="9"/>
  <c r="N261" i="9" s="1"/>
  <c r="D29" i="9"/>
  <c r="D30" i="9" s="1"/>
  <c r="H32" i="9" s="1"/>
  <c r="C52" i="2"/>
  <c r="Q18" i="4"/>
  <c r="S18" i="4" s="1"/>
  <c r="E247" i="9" s="1"/>
  <c r="P31" i="4"/>
  <c r="K13" i="5"/>
  <c r="K18" i="5"/>
  <c r="K14" i="5"/>
  <c r="K15" i="5"/>
  <c r="K12" i="5"/>
  <c r="S54" i="2"/>
  <c r="S55" i="2" s="1"/>
  <c r="J22" i="2"/>
  <c r="V22" i="2" s="1"/>
  <c r="Y22" i="2" s="1"/>
  <c r="Q31" i="4"/>
  <c r="T15" i="4"/>
  <c r="M27" i="2"/>
  <c r="N24" i="2"/>
  <c r="N20" i="2"/>
  <c r="K87" i="7"/>
  <c r="M50" i="10"/>
  <c r="M60" i="10"/>
  <c r="K18" i="6"/>
  <c r="K13" i="6"/>
  <c r="J43" i="7"/>
  <c r="J241" i="9"/>
  <c r="N238" i="9"/>
  <c r="J235" i="9"/>
  <c r="D216" i="9"/>
  <c r="N219" i="9" s="1"/>
  <c r="J163" i="9"/>
  <c r="J159" i="9"/>
  <c r="D51" i="9"/>
  <c r="L45" i="7"/>
  <c r="AE228" i="9"/>
  <c r="J245" i="9"/>
  <c r="N236" i="9"/>
  <c r="J172" i="9"/>
  <c r="J165" i="9"/>
  <c r="F50" i="5"/>
  <c r="J238" i="9"/>
  <c r="D173" i="9"/>
  <c r="N173" i="9" s="1"/>
  <c r="J162" i="9"/>
  <c r="N121" i="9"/>
  <c r="W228" i="9"/>
  <c r="J175" i="9"/>
  <c r="J167" i="9"/>
  <c r="J158" i="9"/>
  <c r="J242" i="9"/>
  <c r="J236" i="9"/>
  <c r="J232" i="9"/>
  <c r="J230" i="9"/>
  <c r="K15" i="6"/>
  <c r="J239" i="9"/>
  <c r="J228" i="9"/>
  <c r="J169" i="9"/>
  <c r="J174" i="9"/>
  <c r="J171" i="9"/>
  <c r="J164" i="9"/>
  <c r="J161" i="9"/>
  <c r="J160" i="9"/>
  <c r="O24" i="9"/>
  <c r="AB19" i="9"/>
  <c r="AR4" i="10"/>
  <c r="AS6" i="10"/>
  <c r="L105" i="10" l="1"/>
  <c r="F106" i="10"/>
  <c r="L106" i="10" s="1"/>
  <c r="AC26" i="2"/>
  <c r="AA23" i="2"/>
  <c r="AD23" i="2" s="1"/>
  <c r="N70" i="9" s="1"/>
  <c r="AA17" i="2"/>
  <c r="AD17" i="2" s="1"/>
  <c r="N68" i="9" s="1"/>
  <c r="V25" i="2"/>
  <c r="Y25" i="2" s="1"/>
  <c r="AB25" i="2" s="1"/>
  <c r="S47" i="2"/>
  <c r="V21" i="2"/>
  <c r="Y21" i="2" s="1"/>
  <c r="AA12" i="2"/>
  <c r="AA26" i="2" s="1"/>
  <c r="N15" i="2"/>
  <c r="G26" i="2"/>
  <c r="H21" i="2" s="1"/>
  <c r="N12" i="2"/>
  <c r="N23" i="2"/>
  <c r="N14" i="2"/>
  <c r="V15" i="2"/>
  <c r="X34" i="2"/>
  <c r="G225" i="9"/>
  <c r="K54" i="2"/>
  <c r="J55" i="2"/>
  <c r="J56" i="2" s="1"/>
  <c r="D144" i="9"/>
  <c r="U232" i="9"/>
  <c r="AD19" i="9"/>
  <c r="K106" i="10"/>
  <c r="E252" i="9"/>
  <c r="E253" i="9" s="1"/>
  <c r="D247" i="9" s="1"/>
  <c r="N255" i="9" s="1"/>
  <c r="D37" i="9"/>
  <c r="D47" i="9"/>
  <c r="J53" i="9"/>
  <c r="J42" i="9"/>
  <c r="J41" i="9"/>
  <c r="J52" i="9"/>
  <c r="J60" i="9"/>
  <c r="J44" i="9"/>
  <c r="J47" i="9"/>
  <c r="J40" i="9"/>
  <c r="J58" i="9"/>
  <c r="J38" i="9"/>
  <c r="J46" i="9"/>
  <c r="J59" i="9"/>
  <c r="J54" i="9"/>
  <c r="J48" i="9"/>
  <c r="J43" i="9"/>
  <c r="J49" i="9"/>
  <c r="J57" i="9"/>
  <c r="J37" i="9"/>
  <c r="J45" i="9"/>
  <c r="J50" i="9"/>
  <c r="J56" i="9"/>
  <c r="J55" i="9"/>
  <c r="N247" i="9"/>
  <c r="K278" i="9"/>
  <c r="H30" i="5"/>
  <c r="K47" i="5" s="1"/>
  <c r="H32" i="5"/>
  <c r="D60" i="5" s="1"/>
  <c r="D61" i="5" s="1"/>
  <c r="R25" i="5" s="1"/>
  <c r="X32" i="2"/>
  <c r="T18" i="9"/>
  <c r="O18" i="9"/>
  <c r="K18" i="9"/>
  <c r="AS4" i="10"/>
  <c r="AT6" i="10"/>
  <c r="E235" i="9"/>
  <c r="R13" i="5"/>
  <c r="S13" i="5" s="1"/>
  <c r="R31" i="4"/>
  <c r="D60" i="9"/>
  <c r="H65" i="9"/>
  <c r="D61" i="9"/>
  <c r="N95" i="9" s="1"/>
  <c r="D62" i="9"/>
  <c r="D59" i="9"/>
  <c r="D63" i="9"/>
  <c r="E234" i="9"/>
  <c r="D234" i="9" s="1"/>
  <c r="J26" i="2"/>
  <c r="K23" i="2" s="1"/>
  <c r="O56" i="5"/>
  <c r="K57" i="5"/>
  <c r="H30" i="6"/>
  <c r="K47" i="6" s="1"/>
  <c r="H32" i="6"/>
  <c r="D26" i="2"/>
  <c r="U18" i="4"/>
  <c r="D9" i="2"/>
  <c r="D10" i="2" s="1"/>
  <c r="G9" i="2"/>
  <c r="G10" i="2" s="1"/>
  <c r="O10" i="2" s="1"/>
  <c r="J9" i="2"/>
  <c r="J10" i="2" s="1"/>
  <c r="J278" i="9"/>
  <c r="N200" i="9"/>
  <c r="J132" i="9"/>
  <c r="J143" i="9"/>
  <c r="J148" i="9"/>
  <c r="J127" i="9"/>
  <c r="J135" i="9"/>
  <c r="J138" i="9"/>
  <c r="J124" i="9"/>
  <c r="J144" i="9"/>
  <c r="J149" i="9"/>
  <c r="J125" i="9"/>
  <c r="J133" i="9"/>
  <c r="J136" i="9"/>
  <c r="J139" i="9"/>
  <c r="J145" i="9"/>
  <c r="J150" i="9"/>
  <c r="J128" i="9"/>
  <c r="J130" i="9"/>
  <c r="J140" i="9"/>
  <c r="J122" i="9"/>
  <c r="J126" i="9"/>
  <c r="J141" i="9"/>
  <c r="J146" i="9"/>
  <c r="J134" i="9"/>
  <c r="J137" i="9"/>
  <c r="J123" i="9"/>
  <c r="J129" i="9"/>
  <c r="J131" i="9"/>
  <c r="J142" i="9"/>
  <c r="J147" i="9"/>
  <c r="M19" i="9"/>
  <c r="D41" i="9"/>
  <c r="D68" i="9"/>
  <c r="D69" i="9" s="1"/>
  <c r="O29" i="9"/>
  <c r="U28" i="9"/>
  <c r="Q32" i="4"/>
  <c r="T34" i="4"/>
  <c r="E278" i="9"/>
  <c r="N61" i="9"/>
  <c r="D48" i="9"/>
  <c r="M17" i="9" s="1"/>
  <c r="M28" i="9"/>
  <c r="U31" i="9"/>
  <c r="O32" i="9"/>
  <c r="AF24" i="2" l="1"/>
  <c r="D193" i="9"/>
  <c r="N181" i="9" s="1"/>
  <c r="N204" i="9" s="1"/>
  <c r="AF12" i="2"/>
  <c r="AF19" i="2"/>
  <c r="AF13" i="2"/>
  <c r="AF18" i="2"/>
  <c r="D190" i="9" s="1"/>
  <c r="AF25" i="2"/>
  <c r="AF23" i="2"/>
  <c r="AF14" i="2"/>
  <c r="D187" i="9" s="1"/>
  <c r="AF21" i="2"/>
  <c r="AF16" i="2"/>
  <c r="AC6" i="2"/>
  <c r="D184" i="9" s="1"/>
  <c r="AF15" i="2"/>
  <c r="D188" i="9" s="1"/>
  <c r="AF22" i="2"/>
  <c r="AF20" i="2"/>
  <c r="AF17" i="2"/>
  <c r="D189" i="9" s="1"/>
  <c r="AF11" i="2"/>
  <c r="D186" i="9" s="1"/>
  <c r="E228" i="9"/>
  <c r="H23" i="2"/>
  <c r="H19" i="2"/>
  <c r="AD12" i="2"/>
  <c r="H18" i="2"/>
  <c r="H24" i="2"/>
  <c r="H20" i="2"/>
  <c r="H14" i="2"/>
  <c r="H11" i="2"/>
  <c r="H17" i="2"/>
  <c r="G27" i="2"/>
  <c r="Y15" i="2"/>
  <c r="Y26" i="2" s="1"/>
  <c r="H25" i="2"/>
  <c r="H12" i="2"/>
  <c r="H16" i="2"/>
  <c r="H13" i="2"/>
  <c r="H15" i="2"/>
  <c r="H22" i="2"/>
  <c r="K22" i="2"/>
  <c r="E18" i="2"/>
  <c r="W26" i="2"/>
  <c r="K25" i="2"/>
  <c r="V26" i="2"/>
  <c r="O11" i="2"/>
  <c r="E240" i="9"/>
  <c r="K19" i="2"/>
  <c r="E144" i="9"/>
  <c r="D145" i="9"/>
  <c r="V18" i="10" s="1"/>
  <c r="K17" i="2"/>
  <c r="L54" i="2"/>
  <c r="K55" i="2"/>
  <c r="K56" i="2" s="1"/>
  <c r="J85" i="9"/>
  <c r="J80" i="9"/>
  <c r="J88" i="9"/>
  <c r="J73" i="9"/>
  <c r="J78" i="9"/>
  <c r="J83" i="9"/>
  <c r="J86" i="9"/>
  <c r="J81" i="9"/>
  <c r="J79" i="9"/>
  <c r="J84" i="9"/>
  <c r="J87" i="9"/>
  <c r="J89" i="9"/>
  <c r="J76" i="9"/>
  <c r="J82" i="9"/>
  <c r="D42" i="9"/>
  <c r="N93" i="9" s="1"/>
  <c r="N99" i="9" s="1"/>
  <c r="N94" i="9"/>
  <c r="N100" i="9" s="1"/>
  <c r="E12" i="2"/>
  <c r="E22" i="2"/>
  <c r="O19" i="9"/>
  <c r="R17" i="9" s="1"/>
  <c r="T19" i="9"/>
  <c r="K19" i="9"/>
  <c r="K11" i="2"/>
  <c r="R22" i="5"/>
  <c r="K15" i="2"/>
  <c r="E17" i="2"/>
  <c r="D60" i="6"/>
  <c r="D61" i="6" s="1"/>
  <c r="R25" i="6" s="1"/>
  <c r="S24" i="6" s="1"/>
  <c r="R22" i="6"/>
  <c r="K13" i="2"/>
  <c r="K16" i="2"/>
  <c r="K24" i="2"/>
  <c r="J27" i="2"/>
  <c r="K21" i="2"/>
  <c r="K14" i="2"/>
  <c r="K12" i="2"/>
  <c r="K18" i="2"/>
  <c r="L29" i="2"/>
  <c r="E19" i="2"/>
  <c r="E20" i="2"/>
  <c r="E25" i="2"/>
  <c r="D27" i="2"/>
  <c r="E11" i="2"/>
  <c r="E15" i="2"/>
  <c r="E23" i="2"/>
  <c r="E13" i="2"/>
  <c r="E16" i="2"/>
  <c r="D252" i="9"/>
  <c r="N260" i="9" s="1"/>
  <c r="T39" i="4"/>
  <c r="U39" i="4" s="1"/>
  <c r="T37" i="4"/>
  <c r="U37" i="4" s="1"/>
  <c r="T40" i="4"/>
  <c r="U40" i="4" s="1"/>
  <c r="T41" i="4"/>
  <c r="U41" i="4" s="1"/>
  <c r="T35" i="4"/>
  <c r="U35" i="4" s="1"/>
  <c r="T38" i="4"/>
  <c r="U38" i="4" s="1"/>
  <c r="T36" i="4"/>
  <c r="U36" i="4" s="1"/>
  <c r="E14" i="2"/>
  <c r="D246" i="9"/>
  <c r="N254" i="9" s="1"/>
  <c r="AG14" i="2"/>
  <c r="AH14" i="2" s="1"/>
  <c r="J211" i="9"/>
  <c r="J203" i="9"/>
  <c r="J214" i="9"/>
  <c r="J217" i="9"/>
  <c r="J208" i="9"/>
  <c r="J222" i="9"/>
  <c r="J204" i="9"/>
  <c r="J209" i="9"/>
  <c r="J218" i="9"/>
  <c r="J223" i="9"/>
  <c r="J212" i="9"/>
  <c r="J215" i="9"/>
  <c r="J205" i="9"/>
  <c r="J219" i="9"/>
  <c r="J224" i="9"/>
  <c r="J210" i="9"/>
  <c r="J206" i="9"/>
  <c r="J213" i="9"/>
  <c r="J220" i="9"/>
  <c r="J221" i="9"/>
  <c r="J202" i="9"/>
  <c r="J207" i="9"/>
  <c r="J216" i="9"/>
  <c r="M21" i="9"/>
  <c r="E231" i="9"/>
  <c r="D248" i="9"/>
  <c r="N256" i="9" s="1"/>
  <c r="D249" i="9"/>
  <c r="N257" i="9" s="1"/>
  <c r="D251" i="9"/>
  <c r="N259" i="9" s="1"/>
  <c r="D250" i="9"/>
  <c r="N258" i="9" s="1"/>
  <c r="K20" i="2"/>
  <c r="M20" i="9"/>
  <c r="T20" i="9" s="1"/>
  <c r="K17" i="9"/>
  <c r="T17" i="9"/>
  <c r="O17" i="9"/>
  <c r="D115" i="9"/>
  <c r="N250" i="9"/>
  <c r="E24" i="2"/>
  <c r="N63" i="9"/>
  <c r="D154" i="9" s="1"/>
  <c r="D64" i="9"/>
  <c r="T32" i="4"/>
  <c r="S6" i="4"/>
  <c r="U27" i="9"/>
  <c r="U34" i="9" s="1"/>
  <c r="O28" i="9"/>
  <c r="O34" i="9" s="1"/>
  <c r="M34" i="9"/>
  <c r="K28" i="9" s="1"/>
  <c r="AG21" i="2"/>
  <c r="AH21" i="2" s="1"/>
  <c r="J248" i="9"/>
  <c r="J251" i="9"/>
  <c r="J261" i="9"/>
  <c r="J255" i="9"/>
  <c r="J259" i="9"/>
  <c r="J264" i="9"/>
  <c r="J267" i="9"/>
  <c r="J257" i="9"/>
  <c r="J268" i="9"/>
  <c r="J250" i="9"/>
  <c r="J262" i="9"/>
  <c r="J256" i="9"/>
  <c r="J260" i="9"/>
  <c r="J265" i="9"/>
  <c r="J269" i="9"/>
  <c r="J249" i="9"/>
  <c r="J253" i="9"/>
  <c r="J258" i="9"/>
  <c r="J254" i="9"/>
  <c r="J266" i="9"/>
  <c r="J263" i="9"/>
  <c r="J252" i="9"/>
  <c r="E21" i="2"/>
  <c r="AT4" i="10"/>
  <c r="AU6" i="10"/>
  <c r="D191" i="9" l="1"/>
  <c r="M70" i="10"/>
  <c r="N70" i="10"/>
  <c r="M82" i="10"/>
  <c r="N82" i="10"/>
  <c r="V29" i="10"/>
  <c r="AE29" i="10"/>
  <c r="BC29" i="10" s="1"/>
  <c r="AE7" i="10"/>
  <c r="AE70" i="10"/>
  <c r="BC70" i="10" s="1"/>
  <c r="AE40" i="10"/>
  <c r="I42" i="10"/>
  <c r="I52" i="10" s="1"/>
  <c r="I62" i="10" s="1"/>
  <c r="I96" i="10"/>
  <c r="I41" i="10"/>
  <c r="I51" i="10" s="1"/>
  <c r="I61" i="10" s="1"/>
  <c r="I30" i="10"/>
  <c r="I95" i="10"/>
  <c r="I31" i="10"/>
  <c r="I85" i="10"/>
  <c r="I84" i="10"/>
  <c r="I83" i="10"/>
  <c r="I73" i="10"/>
  <c r="I72" i="10"/>
  <c r="I71" i="10"/>
  <c r="I8" i="10"/>
  <c r="I20" i="10"/>
  <c r="I19" i="10"/>
  <c r="I9" i="10"/>
  <c r="N71" i="9"/>
  <c r="AD26" i="2"/>
  <c r="AD6" i="2" s="1"/>
  <c r="N73" i="9" s="1"/>
  <c r="M54" i="2"/>
  <c r="M55" i="2" s="1"/>
  <c r="M56" i="2" s="1"/>
  <c r="L55" i="2"/>
  <c r="L56" i="2" s="1"/>
  <c r="R88" i="9"/>
  <c r="E145" i="9"/>
  <c r="F144" i="9"/>
  <c r="F145" i="9" s="1"/>
  <c r="Q50" i="10"/>
  <c r="Q60" i="10" s="1"/>
  <c r="E284" i="9"/>
  <c r="D160" i="9"/>
  <c r="G283" i="9"/>
  <c r="G284" i="9"/>
  <c r="J18" i="10"/>
  <c r="L18" i="10"/>
  <c r="N102" i="9"/>
  <c r="N45" i="9"/>
  <c r="H74" i="10" s="1"/>
  <c r="N145" i="9"/>
  <c r="I283" i="9" s="1"/>
  <c r="J282" i="9"/>
  <c r="E283" i="9"/>
  <c r="U53" i="9"/>
  <c r="U54" i="9"/>
  <c r="K284" i="9"/>
  <c r="D283" i="9"/>
  <c r="E232" i="9"/>
  <c r="G232" i="9" s="1"/>
  <c r="N242" i="9"/>
  <c r="K283" i="9"/>
  <c r="R20" i="9"/>
  <c r="R19" i="9"/>
  <c r="O23" i="9"/>
  <c r="O25" i="9" s="1"/>
  <c r="N53" i="9" s="1"/>
  <c r="O20" i="9"/>
  <c r="U42" i="4"/>
  <c r="N64" i="9"/>
  <c r="N249" i="9"/>
  <c r="T21" i="9"/>
  <c r="J40" i="10"/>
  <c r="H91" i="10"/>
  <c r="H87" i="10"/>
  <c r="P82" i="10"/>
  <c r="H284" i="9"/>
  <c r="J29" i="10"/>
  <c r="J7" i="10"/>
  <c r="H54" i="10"/>
  <c r="L29" i="10"/>
  <c r="H92" i="10"/>
  <c r="H44" i="10"/>
  <c r="H57" i="10"/>
  <c r="H55" i="10"/>
  <c r="D284" i="9"/>
  <c r="H86" i="10"/>
  <c r="H46" i="10"/>
  <c r="O82" i="10"/>
  <c r="H47" i="10"/>
  <c r="O50" i="10"/>
  <c r="O60" i="10" s="1"/>
  <c r="H99" i="10"/>
  <c r="H98" i="10"/>
  <c r="H64" i="10"/>
  <c r="H43" i="10"/>
  <c r="L7" i="10"/>
  <c r="H102" i="10"/>
  <c r="F284" i="9"/>
  <c r="H53" i="10"/>
  <c r="H67" i="10"/>
  <c r="J50" i="10"/>
  <c r="J60" i="10" s="1"/>
  <c r="F94" i="10"/>
  <c r="H66" i="10"/>
  <c r="J70" i="10"/>
  <c r="H56" i="10"/>
  <c r="H68" i="10"/>
  <c r="H101" i="10"/>
  <c r="H283" i="9"/>
  <c r="H58" i="10"/>
  <c r="F283" i="9"/>
  <c r="L94" i="10"/>
  <c r="H88" i="10"/>
  <c r="P50" i="10"/>
  <c r="P60" i="10" s="1"/>
  <c r="H97" i="10"/>
  <c r="H89" i="10"/>
  <c r="J82" i="10"/>
  <c r="H48" i="10"/>
  <c r="H63" i="10"/>
  <c r="H100" i="10"/>
  <c r="H32" i="10"/>
  <c r="H90" i="10"/>
  <c r="H65" i="10"/>
  <c r="H45" i="10"/>
  <c r="O94" i="10"/>
  <c r="P94" i="10"/>
  <c r="AB26" i="2"/>
  <c r="AB6" i="2" s="1"/>
  <c r="D162" i="9" s="1"/>
  <c r="AV6" i="10"/>
  <c r="AU4" i="10"/>
  <c r="K27" i="9"/>
  <c r="N56" i="9"/>
  <c r="N47" i="9"/>
  <c r="H77" i="10" s="1"/>
  <c r="N48" i="9"/>
  <c r="H78" i="10" s="1"/>
  <c r="N54" i="9"/>
  <c r="K31" i="9"/>
  <c r="N51" i="9"/>
  <c r="H80" i="10" s="1"/>
  <c r="K30" i="9"/>
  <c r="K33" i="9"/>
  <c r="N50" i="9"/>
  <c r="H76" i="10" s="1"/>
  <c r="N46" i="9"/>
  <c r="H75" i="10" s="1"/>
  <c r="N49" i="9"/>
  <c r="H79" i="10" s="1"/>
  <c r="K32" i="9"/>
  <c r="K29" i="9"/>
  <c r="M35" i="9"/>
  <c r="AH7" i="10" l="1"/>
  <c r="AI7" i="10" s="1"/>
  <c r="N72" i="9"/>
  <c r="N83" i="9" s="1"/>
  <c r="H38" i="10" s="1"/>
  <c r="AE11" i="2"/>
  <c r="D164" i="9" s="1"/>
  <c r="N161" i="9"/>
  <c r="H281" i="9"/>
  <c r="N123" i="9"/>
  <c r="F70" i="10"/>
  <c r="AD70" i="10" s="1"/>
  <c r="D282" i="9"/>
  <c r="AW6" i="10"/>
  <c r="AV4" i="10"/>
  <c r="AE15" i="2"/>
  <c r="AE13" i="2"/>
  <c r="AE17" i="2"/>
  <c r="AE20" i="2"/>
  <c r="AE18" i="2"/>
  <c r="AE14" i="2"/>
  <c r="AE23" i="2"/>
  <c r="AE12" i="2"/>
  <c r="AE19" i="2"/>
  <c r="AE21" i="2"/>
  <c r="AE22" i="2"/>
  <c r="AE25" i="2"/>
  <c r="AE24" i="2"/>
  <c r="AE16" i="2"/>
  <c r="N268" i="9"/>
  <c r="K285" i="9" s="1"/>
  <c r="N269" i="9"/>
  <c r="K286" i="9" s="1"/>
  <c r="N141" i="9"/>
  <c r="N172" i="9"/>
  <c r="G281" i="9" s="1"/>
  <c r="N232" i="9"/>
  <c r="F40" i="10" s="1"/>
  <c r="AD40" i="10" s="1"/>
  <c r="G231" i="9"/>
  <c r="U35" i="9"/>
  <c r="N122" i="9"/>
  <c r="R35" i="9"/>
  <c r="D281" i="9"/>
  <c r="N140" i="9"/>
  <c r="R12" i="9"/>
  <c r="R14" i="9" s="1"/>
  <c r="K34" i="9"/>
  <c r="AD76" i="10" l="1"/>
  <c r="AD74" i="10"/>
  <c r="AD79" i="10"/>
  <c r="AD80" i="10"/>
  <c r="AD78" i="10"/>
  <c r="AD77" i="10"/>
  <c r="AD75" i="10"/>
  <c r="AD47" i="10"/>
  <c r="AD46" i="10"/>
  <c r="AD48" i="10"/>
  <c r="AD45" i="10"/>
  <c r="AD43" i="10"/>
  <c r="AD44" i="10"/>
  <c r="N86" i="9"/>
  <c r="N78" i="9"/>
  <c r="H33" i="10" s="1"/>
  <c r="N81" i="9"/>
  <c r="H37" i="10" s="1"/>
  <c r="N79" i="9"/>
  <c r="H35" i="10" s="1"/>
  <c r="N82" i="9"/>
  <c r="H34" i="10" s="1"/>
  <c r="N80" i="9"/>
  <c r="H36" i="10" s="1"/>
  <c r="N76" i="9"/>
  <c r="N218" i="9"/>
  <c r="R61" i="9"/>
  <c r="K29" i="10"/>
  <c r="N164" i="9"/>
  <c r="H11" i="10" s="1"/>
  <c r="N187" i="9"/>
  <c r="H22" i="10" s="1"/>
  <c r="E282" i="9"/>
  <c r="F29" i="10"/>
  <c r="AD29" i="10" s="1"/>
  <c r="N167" i="9"/>
  <c r="H15" i="10" s="1"/>
  <c r="N190" i="9"/>
  <c r="H26" i="10" s="1"/>
  <c r="N168" i="9"/>
  <c r="H12" i="10" s="1"/>
  <c r="N191" i="9"/>
  <c r="H23" i="10" s="1"/>
  <c r="N166" i="9"/>
  <c r="H14" i="10" s="1"/>
  <c r="N189" i="9"/>
  <c r="H25" i="10" s="1"/>
  <c r="N165" i="9"/>
  <c r="H13" i="10" s="1"/>
  <c r="N188" i="9"/>
  <c r="H24" i="10" s="1"/>
  <c r="F7" i="10"/>
  <c r="AD7" i="10" s="1"/>
  <c r="G282" i="9"/>
  <c r="F282" i="9"/>
  <c r="N184" i="9"/>
  <c r="N198" i="9" s="1"/>
  <c r="N195" i="9"/>
  <c r="AE18" i="10" s="1"/>
  <c r="BC18" i="10" s="1"/>
  <c r="N163" i="9"/>
  <c r="H10" i="10" s="1"/>
  <c r="N144" i="9"/>
  <c r="Q82" i="10" s="1"/>
  <c r="I281" i="9"/>
  <c r="N88" i="9"/>
  <c r="N89" i="9"/>
  <c r="E286" i="9" s="1"/>
  <c r="G234" i="9"/>
  <c r="G239" i="9"/>
  <c r="G236" i="9"/>
  <c r="G238" i="9"/>
  <c r="G235" i="9"/>
  <c r="G240" i="9"/>
  <c r="G237" i="9"/>
  <c r="D202" i="9"/>
  <c r="E44" i="3"/>
  <c r="R171" i="9"/>
  <c r="F281" i="9"/>
  <c r="I73" i="2" s="1"/>
  <c r="N130" i="9"/>
  <c r="N127" i="9"/>
  <c r="N244" i="9"/>
  <c r="H285" i="9" s="1"/>
  <c r="N245" i="9"/>
  <c r="H286" i="9" s="1"/>
  <c r="H282" i="9"/>
  <c r="U41" i="9"/>
  <c r="U39" i="9"/>
  <c r="U40" i="9"/>
  <c r="U37" i="9"/>
  <c r="U42" i="9"/>
  <c r="U43" i="9"/>
  <c r="AX6" i="10"/>
  <c r="AW4" i="10"/>
  <c r="R54" i="9"/>
  <c r="N129" i="9"/>
  <c r="F82" i="10"/>
  <c r="I282" i="9"/>
  <c r="AD38" i="10" l="1"/>
  <c r="AD33" i="10"/>
  <c r="AD35" i="10"/>
  <c r="AD32" i="10"/>
  <c r="AD34" i="10"/>
  <c r="AD36" i="10"/>
  <c r="AD37" i="10"/>
  <c r="AD11" i="10"/>
  <c r="AD10" i="10"/>
  <c r="AD15" i="10"/>
  <c r="AD13" i="10"/>
  <c r="AD12" i="10"/>
  <c r="AD14" i="10"/>
  <c r="E281" i="9"/>
  <c r="E45" i="3"/>
  <c r="R85" i="9"/>
  <c r="D170" i="9"/>
  <c r="N169" i="9" s="1"/>
  <c r="H16" i="10"/>
  <c r="AD16" i="10" s="1"/>
  <c r="N171" i="9"/>
  <c r="K7" i="10" s="1"/>
  <c r="K94" i="10"/>
  <c r="N186" i="9"/>
  <c r="H21" i="10" s="1"/>
  <c r="H27" i="10" s="1"/>
  <c r="D192" i="9"/>
  <c r="N192" i="9" s="1"/>
  <c r="F18" i="10"/>
  <c r="AD18" i="10" s="1"/>
  <c r="N197" i="9"/>
  <c r="G285" i="9"/>
  <c r="F285" i="9"/>
  <c r="F286" i="9"/>
  <c r="G286" i="9"/>
  <c r="I75" i="2"/>
  <c r="I74" i="2"/>
  <c r="F44" i="3"/>
  <c r="E52" i="3"/>
  <c r="E54" i="3" s="1"/>
  <c r="E53" i="3" s="1"/>
  <c r="O88" i="9"/>
  <c r="E285" i="9"/>
  <c r="N217" i="9"/>
  <c r="J281" i="9" s="1"/>
  <c r="N221" i="9"/>
  <c r="Q94" i="10" s="1"/>
  <c r="K282" i="9"/>
  <c r="F50" i="10"/>
  <c r="F60" i="10" s="1"/>
  <c r="N149" i="9"/>
  <c r="N150" i="9" s="1"/>
  <c r="I286" i="9" s="1"/>
  <c r="AY6" i="10"/>
  <c r="AX4" i="10"/>
  <c r="R55" i="9"/>
  <c r="D239" i="9"/>
  <c r="D237" i="9"/>
  <c r="D235" i="9"/>
  <c r="D238" i="9"/>
  <c r="D236" i="9"/>
  <c r="D240" i="9"/>
  <c r="I285" i="9"/>
  <c r="L33" i="3"/>
  <c r="L35" i="3" s="1"/>
  <c r="I284" i="9"/>
  <c r="AD27" i="10" l="1"/>
  <c r="AD117" i="10" s="1"/>
  <c r="AD23" i="10"/>
  <c r="AD22" i="10"/>
  <c r="AD24" i="10"/>
  <c r="AD21" i="10"/>
  <c r="AD25" i="10"/>
  <c r="AD26" i="10"/>
  <c r="AD116" i="10" s="1"/>
  <c r="AD111" i="10"/>
  <c r="AD114" i="10"/>
  <c r="AD112" i="10"/>
  <c r="AD115" i="10"/>
  <c r="AD113" i="10"/>
  <c r="D286" i="9"/>
  <c r="D285" i="9"/>
  <c r="E48" i="3"/>
  <c r="E50" i="3" s="1"/>
  <c r="E49" i="3" s="1"/>
  <c r="F45" i="3"/>
  <c r="N194" i="9"/>
  <c r="K18" i="10" s="1"/>
  <c r="P171" i="9"/>
  <c r="R154" i="9"/>
  <c r="R156" i="9" s="1"/>
  <c r="R173" i="9" s="1"/>
  <c r="G44" i="3"/>
  <c r="F52" i="3"/>
  <c r="F54" i="3" s="1"/>
  <c r="F53" i="3" s="1"/>
  <c r="N223" i="9"/>
  <c r="J285" i="9" s="1"/>
  <c r="N224" i="9"/>
  <c r="J286" i="9" s="1"/>
  <c r="N220" i="9"/>
  <c r="L29" i="3"/>
  <c r="L30" i="3" s="1"/>
  <c r="J284" i="9"/>
  <c r="AZ6" i="10"/>
  <c r="AY4" i="10"/>
  <c r="F48" i="3" l="1"/>
  <c r="F50" i="3" s="1"/>
  <c r="F49" i="3" s="1"/>
  <c r="G45" i="3"/>
  <c r="J94" i="10"/>
  <c r="J283" i="9"/>
  <c r="AZ4" i="10"/>
  <c r="BA6" i="10"/>
  <c r="H44" i="3"/>
  <c r="G52" i="3"/>
  <c r="G54" i="3" s="1"/>
  <c r="G53" i="3" s="1"/>
  <c r="G48" i="3" l="1"/>
  <c r="G50" i="3" s="1"/>
  <c r="G49" i="3" s="1"/>
  <c r="H45" i="3"/>
  <c r="I44" i="3"/>
  <c r="H52" i="3"/>
  <c r="H54" i="3" s="1"/>
  <c r="H53" i="3" s="1"/>
  <c r="BA4" i="10"/>
  <c r="BB6" i="10"/>
  <c r="I45" i="3" l="1"/>
  <c r="H48" i="3"/>
  <c r="H50" i="3" s="1"/>
  <c r="H49" i="3" s="1"/>
  <c r="BB4" i="10"/>
  <c r="BC6" i="10"/>
  <c r="I52" i="3"/>
  <c r="I54" i="3" s="1"/>
  <c r="I53" i="3" s="1"/>
  <c r="J44" i="3"/>
  <c r="J45" i="3" l="1"/>
  <c r="I48" i="3"/>
  <c r="I50" i="3" s="1"/>
  <c r="I49" i="3" s="1"/>
  <c r="BC4" i="10"/>
  <c r="BD6" i="10"/>
  <c r="BD4" i="10" s="1"/>
  <c r="K44" i="3"/>
  <c r="J52" i="3"/>
  <c r="J54" i="3" s="1"/>
  <c r="J53" i="3" s="1"/>
  <c r="K45" i="3" l="1"/>
  <c r="J48" i="3"/>
  <c r="J50" i="3" s="1"/>
  <c r="J49" i="3" s="1"/>
  <c r="K52" i="3"/>
  <c r="K54" i="3" s="1"/>
  <c r="K53" i="3" s="1"/>
  <c r="L44" i="3"/>
  <c r="L45" i="3" l="1"/>
  <c r="K48" i="3"/>
  <c r="K50" i="3" s="1"/>
  <c r="K49" i="3" s="1"/>
  <c r="M44" i="3"/>
  <c r="L52" i="3"/>
  <c r="L54" i="3" s="1"/>
  <c r="L53" i="3" s="1"/>
  <c r="L48" i="3" l="1"/>
  <c r="L50" i="3" s="1"/>
  <c r="L49" i="3" s="1"/>
  <c r="M45" i="3"/>
  <c r="N44" i="3"/>
  <c r="M52" i="3"/>
  <c r="M54" i="3" s="1"/>
  <c r="M53" i="3" s="1"/>
  <c r="N45" i="3" l="1"/>
  <c r="M48" i="3"/>
  <c r="M50" i="3" s="1"/>
  <c r="M49" i="3" s="1"/>
  <c r="O44" i="3"/>
  <c r="N52" i="3"/>
  <c r="N54" i="3" s="1"/>
  <c r="N53" i="3" s="1"/>
  <c r="N48" i="3" l="1"/>
  <c r="N50" i="3" s="1"/>
  <c r="N49" i="3" s="1"/>
  <c r="O45" i="3"/>
  <c r="O52" i="3"/>
  <c r="O54" i="3" s="1"/>
  <c r="O53" i="3" s="1"/>
  <c r="P44" i="3"/>
  <c r="P45" i="3" l="1"/>
  <c r="O48" i="3"/>
  <c r="O50" i="3" s="1"/>
  <c r="O49" i="3" s="1"/>
  <c r="Q44" i="3"/>
  <c r="P52" i="3"/>
  <c r="P54" i="3" s="1"/>
  <c r="P53" i="3" s="1"/>
  <c r="Q45" i="3" l="1"/>
  <c r="P48" i="3"/>
  <c r="P50" i="3" s="1"/>
  <c r="P49" i="3" s="1"/>
  <c r="R44" i="3"/>
  <c r="Q52" i="3"/>
  <c r="Q54" i="3" s="1"/>
  <c r="Q53" i="3" s="1"/>
  <c r="R45" i="3" l="1"/>
  <c r="Q48" i="3"/>
  <c r="Q50" i="3" s="1"/>
  <c r="Q49" i="3" s="1"/>
  <c r="S44" i="3"/>
  <c r="R52" i="3"/>
  <c r="R54" i="3" s="1"/>
  <c r="R53" i="3" s="1"/>
  <c r="S45" i="3" l="1"/>
  <c r="R48" i="3"/>
  <c r="R50" i="3" s="1"/>
  <c r="R49" i="3" s="1"/>
  <c r="T44" i="3"/>
  <c r="S52" i="3"/>
  <c r="S54" i="3" s="1"/>
  <c r="S53" i="3" s="1"/>
  <c r="S48" i="3" l="1"/>
  <c r="S50" i="3" s="1"/>
  <c r="S49" i="3" s="1"/>
  <c r="T45" i="3"/>
  <c r="T52" i="3"/>
  <c r="T54" i="3" s="1"/>
  <c r="T53" i="3" s="1"/>
  <c r="U44" i="3"/>
  <c r="U45" i="3" l="1"/>
  <c r="T48" i="3"/>
  <c r="T50" i="3" s="1"/>
  <c r="T49" i="3" s="1"/>
  <c r="U52" i="3"/>
  <c r="U54" i="3" s="1"/>
  <c r="U53" i="3" s="1"/>
  <c r="V44" i="3"/>
  <c r="V45" i="3" l="1"/>
  <c r="U48" i="3"/>
  <c r="U50" i="3" s="1"/>
  <c r="U49" i="3" s="1"/>
  <c r="W44" i="3"/>
  <c r="V52" i="3"/>
  <c r="V54" i="3" s="1"/>
  <c r="V53" i="3" s="1"/>
  <c r="V48" i="3" l="1"/>
  <c r="V50" i="3" s="1"/>
  <c r="V49" i="3" s="1"/>
  <c r="W45" i="3"/>
  <c r="W52" i="3"/>
  <c r="W54" i="3" s="1"/>
  <c r="W53" i="3" s="1"/>
  <c r="X44" i="3"/>
  <c r="X45" i="3" l="1"/>
  <c r="W48" i="3"/>
  <c r="W50" i="3" s="1"/>
  <c r="W49" i="3" s="1"/>
  <c r="Y44" i="3"/>
  <c r="X52" i="3"/>
  <c r="X54" i="3" s="1"/>
  <c r="X53" i="3" s="1"/>
  <c r="Y45" i="3" l="1"/>
  <c r="X48" i="3"/>
  <c r="X50" i="3" s="1"/>
  <c r="Z44" i="3"/>
  <c r="Y52" i="3"/>
  <c r="Y54" i="3" s="1"/>
  <c r="Y53" i="3" s="1"/>
  <c r="Y50" i="3" l="1"/>
  <c r="X49" i="3"/>
  <c r="Y48" i="3"/>
  <c r="Z45" i="3"/>
  <c r="AA44" i="3"/>
  <c r="Z52" i="3"/>
  <c r="Z54" i="3" s="1"/>
  <c r="Z53" i="3" s="1"/>
  <c r="AA45" i="3" l="1"/>
  <c r="Z48" i="3"/>
  <c r="Z50" i="3" s="1"/>
  <c r="Z49" i="3" s="1"/>
  <c r="Y49" i="3"/>
  <c r="AA52" i="3"/>
  <c r="AA54" i="3" s="1"/>
  <c r="AB44" i="3"/>
  <c r="AA48" i="3" l="1"/>
  <c r="AA50" i="3" s="1"/>
  <c r="AA49" i="3" s="1"/>
  <c r="AB45" i="3"/>
  <c r="AC44" i="3"/>
  <c r="AB52" i="3"/>
  <c r="AB54" i="3"/>
  <c r="AA53" i="3"/>
  <c r="AB48" i="3" l="1"/>
  <c r="AB50" i="3" s="1"/>
  <c r="AB49" i="3" s="1"/>
  <c r="AC45" i="3"/>
  <c r="AB53" i="3"/>
  <c r="AD44" i="3"/>
  <c r="AC52" i="3"/>
  <c r="AC54" i="3" s="1"/>
  <c r="AC53" i="3" s="1"/>
  <c r="AC48" i="3" l="1"/>
  <c r="AC50" i="3" s="1"/>
  <c r="AC49" i="3" s="1"/>
  <c r="AD45" i="3"/>
  <c r="AE44" i="3"/>
  <c r="AD52" i="3"/>
  <c r="AD54" i="3" s="1"/>
  <c r="AD48" i="3" l="1"/>
  <c r="AD50" i="3" s="1"/>
  <c r="AD49" i="3" s="1"/>
  <c r="AE45" i="3"/>
  <c r="AE54" i="3"/>
  <c r="AD53" i="3"/>
  <c r="AF44" i="3"/>
  <c r="AE52" i="3"/>
  <c r="AF45" i="3" l="1"/>
  <c r="AE48" i="3"/>
  <c r="AE50" i="3" s="1"/>
  <c r="AE49" i="3" s="1"/>
  <c r="AF52" i="3"/>
  <c r="AF54" i="3" s="1"/>
  <c r="AF53" i="3" s="1"/>
  <c r="AG44" i="3"/>
  <c r="AE53" i="3"/>
  <c r="AG45" i="3" l="1"/>
  <c r="AF48" i="3"/>
  <c r="AF50" i="3" s="1"/>
  <c r="AF49" i="3" s="1"/>
  <c r="AG52" i="3"/>
  <c r="AG54" i="3" s="1"/>
  <c r="AH44" i="3"/>
  <c r="AG48" i="3" l="1"/>
  <c r="AG50" i="3" s="1"/>
  <c r="AG49" i="3" s="1"/>
  <c r="AH45" i="3"/>
  <c r="AI44" i="3"/>
  <c r="AH52" i="3"/>
  <c r="AH54" i="3"/>
  <c r="AG53" i="3"/>
  <c r="AI45" i="3" l="1"/>
  <c r="AH48" i="3"/>
  <c r="AH50" i="3" s="1"/>
  <c r="AH49" i="3" s="1"/>
  <c r="AH53" i="3"/>
  <c r="AI52" i="3"/>
  <c r="AI54" i="3" s="1"/>
  <c r="AI53" i="3" s="1"/>
  <c r="AJ44" i="3"/>
  <c r="AI48" i="3" l="1"/>
  <c r="AI50" i="3" s="1"/>
  <c r="AI49" i="3" s="1"/>
  <c r="AJ45" i="3"/>
  <c r="AK44" i="3"/>
  <c r="AK52" i="3" s="1"/>
  <c r="AJ52" i="3"/>
  <c r="AJ54" i="3" s="1"/>
  <c r="AJ53" i="3" s="1"/>
  <c r="AJ48" i="3" l="1"/>
  <c r="AJ50" i="3" s="1"/>
  <c r="AJ49" i="3" s="1"/>
  <c r="AK45" i="3"/>
  <c r="AK48" i="3" s="1"/>
  <c r="AK50" i="3" s="1"/>
  <c r="AK49" i="3" s="1"/>
  <c r="AK54" i="3"/>
  <c r="AK5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L4" authorId="0" shapeId="0" xr:uid="{00000000-0006-0000-1D00-000004000000}">
      <text>
        <r>
          <rPr>
            <b/>
            <sz val="9"/>
            <color indexed="81"/>
            <rFont val="Tahoma"/>
            <family val="2"/>
          </rPr>
          <t>bruno merven:</t>
        </r>
        <r>
          <rPr>
            <sz val="9"/>
            <color indexed="81"/>
            <rFont val="Tahoma"/>
            <family val="2"/>
          </rPr>
          <t xml:space="preserve">
need to add Sox, Nox N2o, CMO, NMVS and PM10 to boilers and methane rich gas conversion</t>
        </r>
      </text>
    </comment>
    <comment ref="N4" authorId="0" shapeId="0" xr:uid="{14B80336-1D14-4011-83E8-B4FA65E43308}">
      <text>
        <r>
          <rPr>
            <b/>
            <sz val="9"/>
            <color indexed="81"/>
            <rFont val="Tahoma"/>
            <family val="2"/>
          </rPr>
          <t>bruno merven:</t>
        </r>
        <r>
          <rPr>
            <sz val="9"/>
            <color indexed="81"/>
            <rFont val="Tahoma"/>
            <family val="2"/>
          </rPr>
          <t xml:space="preserve">
need to add Sox, Nox N2o, CMO, NMVS and PM10 to boilers and methane rich gas conversion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Fadiel</author>
    <author>tc={A69B9C3F-DE53-46BB-A6DE-FB64C1C612BE}</author>
    <author>tc={576E9B21-A0D8-44C7-9CEE-CFF85E44D765}</author>
    <author>tc={22A30907-D0F2-41F6-AC00-ED2ADD3B7E39}</author>
    <author>tc={2C26E7A1-E766-45D9-88F6-C8F4616331BF}</author>
    <author>tc={5BA8580B-D1BD-47E8-ACC9-259B8A3BC9E7}</author>
    <author>tc={236D8970-8C7A-478A-B8FE-19D009638052}</author>
    <author>Bruno Merven</author>
    <author>bruno merven</author>
    <author>tc={3D3312A3-293E-4BE3-ACFE-B8655D774055}</author>
    <author>Fadiel Ahjum</author>
    <author>tc={EED7492F-C915-4EE0-BCC5-98CAA9C51C4F}</author>
    <author>tc={2F164331-BF95-48AF-8845-F99DB162C057}</author>
    <author>tc={DDDB867F-32D5-4EA0-ADC8-4BDAA999081B}</author>
  </authors>
  <commentList>
    <comment ref="T13" authorId="0" shapeId="0" xr:uid="{4F1D6502-2086-44B9-914F-74826E407D4B}">
      <text>
        <r>
          <rPr>
            <b/>
            <sz val="9"/>
            <color indexed="81"/>
            <rFont val="Tahoma"/>
            <family val="2"/>
          </rPr>
          <t>Fadiel:</t>
        </r>
        <r>
          <rPr>
            <sz val="9"/>
            <color indexed="81"/>
            <rFont val="Tahoma"/>
            <family val="2"/>
          </rPr>
          <t xml:space="preserve">
estimated from sasol SR 2018</t>
        </r>
      </text>
    </comment>
    <comment ref="O19" authorId="0" shapeId="0" xr:uid="{A28727AF-51AD-449F-91F3-C5D9A64B4931}">
      <text>
        <r>
          <rPr>
            <b/>
            <sz val="9"/>
            <color indexed="81"/>
            <rFont val="Tahoma"/>
            <family val="2"/>
          </rPr>
          <t>Fadiel:</t>
        </r>
        <r>
          <rPr>
            <sz val="9"/>
            <color indexed="81"/>
            <rFont val="Tahoma"/>
            <family val="2"/>
          </rPr>
          <t xml:space="preserve">
this should be in tch_pwr</t>
        </r>
      </text>
    </comment>
    <comment ref="D20" authorId="0" shapeId="0" xr:uid="{4EC49426-AF34-47DF-99C7-0D4D930D08A9}">
      <text>
        <r>
          <rPr>
            <b/>
            <sz val="9"/>
            <color indexed="81"/>
            <rFont val="Tahoma"/>
            <family val="2"/>
          </rPr>
          <t>Fadiel:</t>
        </r>
        <r>
          <rPr>
            <sz val="9"/>
            <color indexed="81"/>
            <rFont val="Tahoma"/>
            <family val="2"/>
          </rPr>
          <t xml:space="preserve">
Goal seek to match CV value given by sasol secunda DEA (2016)
Previous value 0.65
</t>
        </r>
      </text>
    </comment>
    <comment ref="P20" authorId="0" shapeId="0" xr:uid="{66B37531-D6A7-4ED9-80A6-416D19E51E50}">
      <text>
        <r>
          <rPr>
            <b/>
            <sz val="9"/>
            <color indexed="81"/>
            <rFont val="Tahoma"/>
            <family val="2"/>
          </rPr>
          <t>Fadiel:</t>
        </r>
        <r>
          <rPr>
            <sz val="9"/>
            <color indexed="81"/>
            <rFont val="Tahoma"/>
            <family val="2"/>
          </rPr>
          <t xml:space="preserve">
NIR 2017 boiler coal combustion</t>
        </r>
      </text>
    </comment>
    <comment ref="E22" authorId="0" shapeId="0" xr:uid="{351ED1B5-8CCB-43A3-8AEE-F665D952FA9C}">
      <text>
        <r>
          <rPr>
            <b/>
            <sz val="9"/>
            <color indexed="81"/>
            <rFont val="Tahoma"/>
            <family val="2"/>
          </rPr>
          <t>Fadiel:</t>
        </r>
        <r>
          <rPr>
            <sz val="9"/>
            <color indexed="81"/>
            <rFont val="Tahoma"/>
            <family val="2"/>
          </rPr>
          <t xml:space="preserve">
Alternate calc.</t>
        </r>
      </text>
    </comment>
    <comment ref="D23" authorId="0" shapeId="0" xr:uid="{15423409-21B2-4081-A243-1F85E276C61C}">
      <text>
        <r>
          <rPr>
            <b/>
            <sz val="9"/>
            <color indexed="81"/>
            <rFont val="Tahoma"/>
            <family val="2"/>
          </rPr>
          <t>Fadiel:</t>
        </r>
        <r>
          <rPr>
            <sz val="9"/>
            <color indexed="81"/>
            <rFont val="Tahoma"/>
            <family val="2"/>
          </rPr>
          <t xml:space="preserve">
261403 TJ : Sustainability Report 2018</t>
        </r>
      </text>
    </comment>
    <comment ref="P25" authorId="0" shapeId="0" xr:uid="{9106E1D1-6834-4DDD-B076-F40D3A224D3D}">
      <text>
        <r>
          <rPr>
            <b/>
            <sz val="9"/>
            <color indexed="81"/>
            <rFont val="Tahoma"/>
            <family val="2"/>
          </rPr>
          <t>Fadiel:</t>
        </r>
        <r>
          <rPr>
            <sz val="9"/>
            <color indexed="81"/>
            <rFont val="Tahoma"/>
            <family val="2"/>
          </rPr>
          <t xml:space="preserve">
Gas Flaring: already accounted for in total emissions
</t>
        </r>
      </text>
    </comment>
    <comment ref="D28" authorId="1" shapeId="0" xr:uid="{A69B9C3F-DE53-46BB-A6DE-FB64C1C612BE}">
      <text>
        <t>[Threaded comment]
Your version of Excel allows you to read this threaded comment; however, any edits to it will get removed if the file is opened in a newer version of Excel. Learn more: https://go.microsoft.com/fwlink/?linkid=870924
Comment:
    https://www.thermexcel.com/english/tables/vapeau1.htm
Reply:
    2,627 previous value</t>
      </text>
    </comment>
    <comment ref="H28" authorId="2" shapeId="0" xr:uid="{576E9B21-A0D8-44C7-9CEE-CFF85E44D765}">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D29" authorId="0" shapeId="0" xr:uid="{A3F50E4E-8872-4936-B741-EE8BAB3858EA}">
      <text>
        <r>
          <rPr>
            <b/>
            <sz val="9"/>
            <color indexed="81"/>
            <rFont val="Tahoma"/>
            <family val="2"/>
          </rPr>
          <t>Fadiel:</t>
        </r>
        <r>
          <rPr>
            <sz val="9"/>
            <color indexed="81"/>
            <rFont val="Tahoma"/>
            <family val="2"/>
          </rPr>
          <t xml:space="preserve">
0.35 original value
</t>
        </r>
      </text>
    </comment>
    <comment ref="H29" authorId="3" shapeId="0" xr:uid="{22A30907-D0F2-41F6-AC00-ED2ADD3B7E39}">
      <text>
        <t>[Threaded comment]
Your version of Excel allows you to read this threaded comment; however, any edits to it will get removed if the file is opened in a newer version of Excel. Learn more: https://go.microsoft.com/fwlink/?linkid=870924
Comment:
    https://www.environment.gov.za/sites/default/files/docs/publications/calculationofcountryspecificemissionfactors.pdf</t>
      </text>
    </comment>
    <comment ref="H30" authorId="4" shapeId="0" xr:uid="{2C26E7A1-E766-45D9-88F6-C8F4616331BF}">
      <text>
        <t>[Threaded comment]
Your version of Excel allows you to read this threaded comment; however, any edits to it will get removed if the file is opened in a newer version of Excel. Learn more: https://go.microsoft.com/fwlink/?linkid=870924
Comment:
    http://mhps.co.za/en/references-sasol-ii-iii.html
Reply:
    Also as reported in SRK (2018)</t>
      </text>
    </comment>
    <comment ref="D31" authorId="0" shapeId="0" xr:uid="{45A0EA7B-109F-40A2-A413-B5BE8302236A}">
      <text>
        <r>
          <rPr>
            <b/>
            <sz val="9"/>
            <color indexed="81"/>
            <rFont val="Tahoma"/>
            <family val="2"/>
          </rPr>
          <t>Fadiel:</t>
        </r>
        <r>
          <rPr>
            <sz val="9"/>
            <color indexed="81"/>
            <rFont val="Tahoma"/>
            <family val="2"/>
          </rPr>
          <t xml:space="preserve">
96.25</t>
        </r>
      </text>
    </comment>
    <comment ref="E31" authorId="0" shapeId="0" xr:uid="{B9E097CF-FED9-43DB-B7D0-3AEC622C37DB}">
      <text>
        <r>
          <rPr>
            <b/>
            <sz val="9"/>
            <color indexed="81"/>
            <rFont val="Tahoma"/>
            <family val="2"/>
          </rPr>
          <t>Fadiel:</t>
        </r>
        <r>
          <rPr>
            <sz val="9"/>
            <color indexed="81"/>
            <rFont val="Tahoma"/>
            <family val="2"/>
          </rPr>
          <t xml:space="preserve">
SASOL EF from NIR 2017 data for secunda</t>
        </r>
      </text>
    </comment>
    <comment ref="J34" authorId="0" shapeId="0" xr:uid="{EDDC533F-F93A-4DA0-A718-230E017EC9DC}">
      <text>
        <r>
          <rPr>
            <b/>
            <sz val="9"/>
            <color indexed="81"/>
            <rFont val="Tahoma"/>
            <family val="2"/>
          </rPr>
          <t>Fadiel:</t>
        </r>
        <r>
          <rPr>
            <sz val="9"/>
            <color indexed="81"/>
            <rFont val="Tahoma"/>
            <family val="2"/>
          </rPr>
          <t xml:space="preserve">
SASOL AAI (2018) ktpa refined  product</t>
        </r>
      </text>
    </comment>
    <comment ref="D36" authorId="5" shapeId="0" xr:uid="{5BA8580B-D1BD-47E8-ACC9-259B8A3BC9E7}">
      <text>
        <t>[Threaded comment]
Your version of Excel allows you to read this threaded comment; however, any edits to it will get removed if the file is opened in a newer version of Excel. Learn more: https://go.microsoft.com/fwlink/?linkid=870924
Comment:
    adjusted this to get actual estimated emissions from elc production.</t>
      </text>
    </comment>
    <comment ref="O54" authorId="0" shapeId="0" xr:uid="{87D91FB0-2AB1-4D3A-8F9E-06649CFAEEBE}">
      <text>
        <r>
          <rPr>
            <b/>
            <sz val="9"/>
            <color indexed="81"/>
            <rFont val="Tahoma"/>
            <family val="2"/>
          </rPr>
          <t>Fadiel:</t>
        </r>
        <r>
          <rPr>
            <sz val="9"/>
            <color indexed="81"/>
            <rFont val="Tahoma"/>
            <family val="2"/>
          </rPr>
          <t xml:space="preserve">
 adjustment based on AFA  to EF to match NIR 2017 </t>
        </r>
      </text>
    </comment>
    <comment ref="D67" authorId="6" shapeId="0" xr:uid="{236D8970-8C7A-478A-B8FE-19D009638052}">
      <text>
        <t>[Threaded comment]
Your version of Excel allows you to read this threaded comment; however, any edits to it will get removed if the file is opened in a newer version of Excel. Learn more: https://go.microsoft.com/fwlink/?linkid=870924
Comment:
    this is what was consumed the rest was exported.</t>
      </text>
    </comment>
    <comment ref="B80" authorId="7" shapeId="0" xr:uid="{00000000-0006-0000-1A00-000001000000}">
      <text>
        <r>
          <rPr>
            <b/>
            <sz val="8"/>
            <color indexed="81"/>
            <rFont val="Tahoma"/>
            <family val="2"/>
          </rPr>
          <t>Bruno Merven:</t>
        </r>
        <r>
          <rPr>
            <sz val="8"/>
            <color indexed="81"/>
            <rFont val="Tahoma"/>
            <family val="2"/>
          </rPr>
          <t xml:space="preserve">
Assumes 63% of Natref attributed to Sasol</t>
        </r>
      </text>
    </comment>
    <comment ref="B83" authorId="7" shapeId="0" xr:uid="{00000000-0006-0000-1A00-000002000000}">
      <text>
        <r>
          <rPr>
            <b/>
            <sz val="8"/>
            <color indexed="81"/>
            <rFont val="Tahoma"/>
            <family val="2"/>
          </rPr>
          <t>Bruno Merven:</t>
        </r>
        <r>
          <rPr>
            <sz val="8"/>
            <color indexed="81"/>
            <rFont val="Tahoma"/>
            <family val="2"/>
          </rPr>
          <t xml:space="preserve">
Total output including Sasol + ELFTOTAL</t>
        </r>
      </text>
    </comment>
    <comment ref="O88" authorId="0" shapeId="0" xr:uid="{0A4EFA90-2314-4105-AED4-7884112BC068}">
      <text>
        <r>
          <rPr>
            <b/>
            <sz val="9"/>
            <color indexed="81"/>
            <rFont val="Tahoma"/>
            <family val="2"/>
          </rPr>
          <t>Fadiel:</t>
        </r>
        <r>
          <rPr>
            <sz val="9"/>
            <color indexed="81"/>
            <rFont val="Tahoma"/>
            <family val="2"/>
          </rPr>
          <t xml:space="preserve">
ZAR2015 checl.
Do not adjust  here as it's scaled in import  sheet</t>
        </r>
      </text>
    </comment>
    <comment ref="G97" authorId="8" shapeId="0" xr:uid="{00000000-0006-0000-1A00-000003000000}">
      <text>
        <r>
          <rPr>
            <b/>
            <sz val="9"/>
            <color indexed="81"/>
            <rFont val="Tahoma"/>
            <family val="2"/>
          </rPr>
          <t>bruno merven:</t>
        </r>
        <r>
          <rPr>
            <sz val="9"/>
            <color indexed="81"/>
            <rFont val="Tahoma"/>
            <family val="2"/>
          </rPr>
          <t xml:space="preserve">
Analyst Book June 2012: Search for "Tonnages sold".</t>
        </r>
      </text>
    </comment>
    <comment ref="D102" authorId="8" shapeId="0" xr:uid="{00000000-0006-0000-1A00-000004000000}">
      <text>
        <r>
          <rPr>
            <b/>
            <sz val="9"/>
            <color indexed="81"/>
            <rFont val="Tahoma"/>
            <family val="2"/>
          </rPr>
          <t>bruno merven:</t>
        </r>
        <r>
          <rPr>
            <sz val="9"/>
            <color indexed="81"/>
            <rFont val="Tahoma"/>
            <family val="2"/>
          </rPr>
          <t xml:space="preserve">
combined sasol and external markets</t>
        </r>
      </text>
    </comment>
    <comment ref="G102" authorId="8" shapeId="0" xr:uid="{00000000-0006-0000-1A00-000005000000}">
      <text>
        <r>
          <rPr>
            <b/>
            <sz val="9"/>
            <color indexed="81"/>
            <rFont val="Tahoma"/>
            <family val="2"/>
          </rPr>
          <t>bruno merven:</t>
        </r>
        <r>
          <rPr>
            <sz val="9"/>
            <color indexed="81"/>
            <rFont val="Tahoma"/>
            <family val="2"/>
          </rPr>
          <t xml:space="preserve">
sasol market</t>
        </r>
      </text>
    </comment>
    <comment ref="B115" authorId="7" shapeId="0" xr:uid="{00000000-0006-0000-1A00-000006000000}">
      <text>
        <r>
          <rPr>
            <b/>
            <sz val="8"/>
            <color indexed="81"/>
            <rFont val="Tahoma"/>
            <family val="2"/>
          </rPr>
          <t>Bruno Merven:</t>
        </r>
        <r>
          <rPr>
            <sz val="8"/>
            <color indexed="81"/>
            <rFont val="Tahoma"/>
            <family val="2"/>
          </rPr>
          <t xml:space="preserve">
The inclusion or exclusion of electricity costs needs to be looked at again.</t>
        </r>
      </text>
    </comment>
    <comment ref="D118" authorId="9" shapeId="0" xr:uid="{3D3312A3-293E-4BE3-ACFE-B8655D774055}">
      <text>
        <t>[Threaded comment]
Your version of Excel allows you to read this threaded comment; however, any edits to it will get removed if the file is opened in a newer version of Excel. Learn more: https://go.microsoft.com/fwlink/?linkid=870924
Comment:
    Old SATIM number adjusted to 2022 Rands</t>
      </text>
    </comment>
    <comment ref="H123" authorId="10" shapeId="0" xr:uid="{00000000-0006-0000-1A00-000007000000}">
      <text>
        <r>
          <rPr>
            <sz val="9"/>
            <color indexed="81"/>
            <rFont val="Tahoma"/>
            <family val="2"/>
          </rPr>
          <t>1 barrel of oil (LHV) ≈
5.70 GJ (IEA def.)
5.86 GJ (global avg.)
Iain Staffell, University of Birmingham, UK 2011</t>
        </r>
      </text>
    </comment>
    <comment ref="N171" authorId="7" shapeId="0" xr:uid="{00000000-0006-0000-1A00-000008000000}">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N180" authorId="11" shapeId="0" xr:uid="{EED7492F-C915-4EE0-BCC5-98CAA9C51C4F}">
      <text>
        <t xml:space="preserve">[Threaded comment]
Your version of Excel allows you to read this threaded comment; however, any edits to it will get removed if the file is opened in a newer version of Excel. Learn more: https://go.microsoft.com/fwlink/?linkid=870924
Comment:
    Most of LPG assumed to be used for process heat as per https://www.news24.com/fin24/companies/scramble-to-secure-wcape-lpg-supply-as-corporate-fight-becomes-untenable-20230620
</t>
      </text>
    </comment>
    <comment ref="N194" authorId="7" shapeId="0" xr:uid="{DA2D1C30-4B7C-43DC-9E20-4523415795FB}">
      <text>
        <r>
          <rPr>
            <b/>
            <sz val="8"/>
            <color indexed="81"/>
            <rFont val="Tahoma"/>
            <family val="2"/>
          </rPr>
          <t xml:space="preserve">Fadiel:
</t>
        </r>
        <r>
          <rPr>
            <sz val="8"/>
            <color indexed="81"/>
            <rFont val="Tahoma"/>
            <family val="2"/>
          </rPr>
          <t xml:space="preserve"> Adjusted to match SAPIA and NIR  CO2 emisisons</t>
        </r>
        <r>
          <rPr>
            <b/>
            <sz val="8"/>
            <color indexed="81"/>
            <rFont val="Tahoma"/>
            <family val="2"/>
          </rPr>
          <t xml:space="preserve">
Bruno Merven: 2.9</t>
        </r>
        <r>
          <rPr>
            <sz val="8"/>
            <color indexed="81"/>
            <rFont val="Tahoma"/>
            <family val="2"/>
          </rPr>
          <t xml:space="preserve">
Table 2.6 in C.A. Lewis: Fuel and Energy Production Emission Factors (MEET Project Task number 3.4)</t>
        </r>
      </text>
    </comment>
    <comment ref="S204" authorId="10" shapeId="0" xr:uid="{00000000-0006-0000-1A00-00000C000000}">
      <text>
        <r>
          <rPr>
            <b/>
            <sz val="9"/>
            <color indexed="81"/>
            <rFont val="Tahoma"/>
            <family val="2"/>
          </rPr>
          <t>Fadiel:</t>
        </r>
        <r>
          <rPr>
            <sz val="9"/>
            <color indexed="81"/>
            <rFont val="Tahoma"/>
            <family val="2"/>
          </rPr>
          <t xml:space="preserve">
Reduced capacity with 2 of 3 units operational. Christo Cloete (PetroSA) pers. Comm. to Adrian Stone (August,2013)
2 of 3 units operational running at 80% capacity. D.2.2. PetroSA (Mossgas) (FT Processes – A Brief Description, Akiner Tuzuner, Purdue University)</t>
        </r>
      </text>
    </comment>
    <comment ref="R205" authorId="10" shapeId="0" xr:uid="{00000000-0006-0000-1A00-00000D000000}">
      <text>
        <r>
          <rPr>
            <sz val="9"/>
            <color indexed="81"/>
            <rFont val="Tahoma"/>
            <family val="2"/>
          </rPr>
          <t>% mass
Christo Cloete (PetroSA) pers. Comm. to Adrian Stone (August,2013)</t>
        </r>
      </text>
    </comment>
    <comment ref="S206" authorId="10" shapeId="0" xr:uid="{00000000-0006-0000-1A00-00000E000000}">
      <text>
        <r>
          <rPr>
            <sz val="9"/>
            <color indexed="81"/>
            <rFont val="Tahoma"/>
            <family val="2"/>
          </rPr>
          <t>= .8 at  3/3  production units
Christo Cloete (PetroSA) pers. Comm. to Adrian Stone (August,2013)</t>
        </r>
      </text>
    </comment>
    <comment ref="S207" authorId="10" shapeId="0" xr:uid="{00000000-0006-0000-1A00-000010000000}">
      <text>
        <r>
          <rPr>
            <sz val="9"/>
            <color indexed="81"/>
            <rFont val="Tahoma"/>
            <family val="2"/>
          </rPr>
          <t>= .2 at  3/3  production units</t>
        </r>
      </text>
    </comment>
    <comment ref="R208" authorId="10" shapeId="0" xr:uid="{00000000-0006-0000-1A00-000012000000}">
      <text>
        <r>
          <rPr>
            <sz val="9"/>
            <color indexed="81"/>
            <rFont val="Tahoma"/>
            <family val="2"/>
          </rPr>
          <t>Iain Staffell, University of Birmingham, UK
staffell@gmail.com
March 2011</t>
        </r>
      </text>
    </comment>
    <comment ref="S209" authorId="10" shapeId="0" xr:uid="{00000000-0006-0000-1A00-000013000000}">
      <text>
        <r>
          <rPr>
            <sz val="9"/>
            <color indexed="81"/>
            <rFont val="Tahoma"/>
            <family val="2"/>
          </rPr>
          <t>IEA Oil Information
(weighted global average)</t>
        </r>
      </text>
    </comment>
    <comment ref="U209" authorId="10" shapeId="0" xr:uid="{00000000-0006-0000-1A00-000014000000}">
      <text>
        <r>
          <rPr>
            <sz val="9"/>
            <color indexed="81"/>
            <rFont val="Tahoma"/>
            <family val="2"/>
          </rPr>
          <t>Iain Staffell, University of Birmingham, UK
staffell@gmail.com
March 2011</t>
        </r>
      </text>
    </comment>
    <comment ref="S210" authorId="10" shapeId="0" xr:uid="{00000000-0006-0000-1A00-000015000000}">
      <text>
        <r>
          <rPr>
            <sz val="9"/>
            <color indexed="81"/>
            <rFont val="Tahoma"/>
            <family val="2"/>
          </rPr>
          <t>IEA GJ (LHV)</t>
        </r>
      </text>
    </comment>
    <comment ref="S211" authorId="10" shapeId="0" xr:uid="{00000000-0006-0000-1A00-000016000000}">
      <text>
        <r>
          <rPr>
            <sz val="9"/>
            <color indexed="81"/>
            <rFont val="Tahoma"/>
            <family val="2"/>
          </rPr>
          <t>http://www.bp.com/conversionfactors.jsp`</t>
        </r>
      </text>
    </comment>
    <comment ref="S212" authorId="10" shapeId="0" xr:uid="{00000000-0006-0000-1A00-000017000000}">
      <text>
        <r>
          <rPr>
            <b/>
            <sz val="9"/>
            <color indexed="81"/>
            <rFont val="Tahoma"/>
            <family val="2"/>
          </rPr>
          <t>Fadiel Ahjum:</t>
        </r>
        <r>
          <rPr>
            <sz val="9"/>
            <color indexed="81"/>
            <rFont val="Tahoma"/>
            <family val="2"/>
          </rPr>
          <t xml:space="preserve">
 ± 3.68</t>
        </r>
      </text>
    </comment>
    <comment ref="S215" authorId="10" shapeId="0" xr:uid="{00000000-0006-0000-1A00-000018000000}">
      <text>
        <r>
          <rPr>
            <b/>
            <sz val="9"/>
            <color indexed="81"/>
            <rFont val="Tahoma"/>
            <family val="2"/>
          </rPr>
          <t xml:space="preserve">Fadidel Ahjum:
</t>
        </r>
        <r>
          <rPr>
            <sz val="9"/>
            <color indexed="81"/>
            <rFont val="Tahoma"/>
            <family val="2"/>
          </rPr>
          <t>(PetroSA Annual Report,2007)</t>
        </r>
      </text>
    </comment>
    <comment ref="W215" authorId="10" shapeId="0" xr:uid="{00000000-0006-0000-1A00-000019000000}">
      <text>
        <r>
          <rPr>
            <b/>
            <sz val="9"/>
            <color indexed="81"/>
            <rFont val="Tahoma"/>
            <family val="2"/>
          </rPr>
          <t>Fadiel:</t>
        </r>
        <r>
          <rPr>
            <sz val="9"/>
            <color indexed="81"/>
            <rFont val="Tahoma"/>
            <family val="2"/>
          </rPr>
          <t xml:space="preserve">
(PetroSA Annual Report,2012)</t>
        </r>
      </text>
    </comment>
    <comment ref="AA215" authorId="10" shapeId="0" xr:uid="{12ECD907-2D0B-4BE4-8423-2D92593A3A50}">
      <text>
        <r>
          <rPr>
            <b/>
            <sz val="9"/>
            <color indexed="81"/>
            <rFont val="Tahoma"/>
            <family val="2"/>
          </rPr>
          <t>Fadiel:</t>
        </r>
        <r>
          <rPr>
            <sz val="9"/>
            <color indexed="81"/>
            <rFont val="Tahoma"/>
            <family val="2"/>
          </rPr>
          <t xml:space="preserve">
(PetroSA Annual Report,2018</t>
        </r>
      </text>
    </comment>
    <comment ref="AE215" authorId="10" shapeId="0" xr:uid="{00000000-0006-0000-1A00-00001A000000}">
      <text>
        <r>
          <rPr>
            <b/>
            <sz val="9"/>
            <color indexed="81"/>
            <rFont val="Tahoma"/>
            <family val="2"/>
          </rPr>
          <t>Fadiel:</t>
        </r>
        <r>
          <rPr>
            <sz val="9"/>
            <color indexed="81"/>
            <rFont val="Tahoma"/>
            <family val="2"/>
          </rPr>
          <t xml:space="preserve">
(PetroSA Annual Report,2019)</t>
        </r>
      </text>
    </comment>
    <comment ref="U217" authorId="10" shapeId="0" xr:uid="{00000000-0006-0000-1A00-00001B000000}">
      <text>
        <r>
          <rPr>
            <b/>
            <sz val="9"/>
            <color indexed="81"/>
            <rFont val="Tahoma"/>
            <family val="2"/>
          </rPr>
          <t>Fadiel Ahjum:</t>
        </r>
        <r>
          <rPr>
            <sz val="9"/>
            <color indexed="81"/>
            <rFont val="Tahoma"/>
            <family val="2"/>
          </rPr>
          <t xml:space="preserve">
discrepancy in accounting ~1.8%</t>
        </r>
      </text>
    </comment>
    <comment ref="AC217" authorId="0" shapeId="0" xr:uid="{E662069C-05CA-4A25-BD90-C4D752909C0F}">
      <text>
        <r>
          <rPr>
            <b/>
            <sz val="9"/>
            <color indexed="81"/>
            <rFont val="Tahoma"/>
            <family val="2"/>
          </rPr>
          <t>Fadiel:</t>
        </r>
        <r>
          <rPr>
            <sz val="9"/>
            <color indexed="81"/>
            <rFont val="Tahoma"/>
            <family val="2"/>
          </rPr>
          <t xml:space="preserve">
Indigenous Production
DMRE South-African-Refinery-Data-gas</t>
        </r>
      </text>
    </comment>
    <comment ref="N218" authorId="7" shapeId="0" xr:uid="{00000000-0006-0000-1A00-000009000000}">
      <text>
        <r>
          <rPr>
            <b/>
            <sz val="8"/>
            <color indexed="81"/>
            <rFont val="Tahoma"/>
            <family val="2"/>
          </rPr>
          <t>Bruno Merven:</t>
        </r>
        <r>
          <rPr>
            <sz val="8"/>
            <color indexed="81"/>
            <rFont val="Tahoma"/>
            <family val="2"/>
          </rPr>
          <t xml:space="preserve">
Assume a 10% improvement on existing refineries</t>
        </r>
      </text>
    </comment>
    <comment ref="AC218" authorId="0" shapeId="0" xr:uid="{2ED53350-9D53-4A04-B4F1-3C3B4F023D6E}">
      <text>
        <r>
          <rPr>
            <b/>
            <sz val="9"/>
            <color indexed="81"/>
            <rFont val="Tahoma"/>
            <family val="2"/>
          </rPr>
          <t>Fadiel:</t>
        </r>
        <r>
          <rPr>
            <sz val="9"/>
            <color indexed="81"/>
            <rFont val="Tahoma"/>
            <family val="2"/>
          </rPr>
          <t xml:space="preserve">
25 838 Indigenous Production
DMRE South-African-Refinery-Data-gas</t>
        </r>
      </text>
    </comment>
    <comment ref="W221" authorId="10" shapeId="0" xr:uid="{00000000-0006-0000-1A00-00001C000000}">
      <text>
        <r>
          <rPr>
            <sz val="9"/>
            <color indexed="81"/>
            <rFont val="Tahoma"/>
            <family val="2"/>
          </rPr>
          <t xml:space="preserve">Produced at Oribi-Oryx with Orca field down-production was restored after year-end.
</t>
        </r>
      </text>
    </comment>
    <comment ref="R223" authorId="10" shapeId="0" xr:uid="{00000000-0006-0000-1A00-00001E000000}">
      <text>
        <r>
          <rPr>
            <b/>
            <sz val="9"/>
            <color indexed="81"/>
            <rFont val="Tahoma"/>
            <family val="2"/>
          </rPr>
          <t>Fadiel Ahjum:</t>
        </r>
        <r>
          <rPr>
            <sz val="9"/>
            <color indexed="81"/>
            <rFont val="Tahoma"/>
            <family val="2"/>
          </rPr>
          <t xml:space="preserve">
Assumed to include non-energy products.
</t>
        </r>
      </text>
    </comment>
    <comment ref="N224" authorId="10" shapeId="0" xr:uid="{00000000-0006-0000-1A00-00000A000000}">
      <text>
        <r>
          <rPr>
            <b/>
            <sz val="9"/>
            <color indexed="81"/>
            <rFont val="Tahoma"/>
            <family val="2"/>
          </rPr>
          <t>Fadiel Ahjum:</t>
        </r>
        <r>
          <rPr>
            <sz val="9"/>
            <color indexed="81"/>
            <rFont val="Tahoma"/>
            <family val="2"/>
          </rPr>
          <t xml:space="preserve">
2010ZAR legacy calcs: costs are inflated to 2015 ZAR before import to TIMES</t>
        </r>
      </text>
    </comment>
    <comment ref="S225" authorId="10" shapeId="0" xr:uid="{00000000-0006-0000-1A00-00001F000000}">
      <text>
        <r>
          <rPr>
            <sz val="9"/>
            <color indexed="81"/>
            <rFont val="Tahoma"/>
            <family val="2"/>
          </rPr>
          <t xml:space="preserve">guess
</t>
        </r>
      </text>
    </comment>
    <comment ref="W225" authorId="10" shapeId="0" xr:uid="{00000000-0006-0000-1A00-000020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A225" authorId="10" shapeId="0" xr:uid="{C2AAAFD4-6230-4543-8420-937886A06786}">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AE225" authorId="10" shapeId="0" xr:uid="{00000000-0006-0000-1A00-000021000000}">
      <text>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B226" authorId="0" shapeId="0" xr:uid="{B69D4138-C3C9-4A34-9AE9-C1D05CC7E9C9}">
      <text>
        <r>
          <rPr>
            <b/>
            <sz val="9"/>
            <color indexed="81"/>
            <rFont val="Tahoma"/>
            <family val="2"/>
          </rPr>
          <t xml:space="preserve">Fadiel:
https://www.ge.com/news/press-releases/ge-energys-jenbacher-gas-engines-installed-south-africas-first-emissions-credit
</t>
        </r>
        <r>
          <rPr>
            <sz val="9"/>
            <color indexed="81"/>
            <rFont val="Tahoma"/>
            <family val="2"/>
          </rPr>
          <t xml:space="preserve">
JENBACH, AUSTRIA -- September 27, 2007 -- GE Energy has supplied three of its ecomagination SM-certified Jenbacher biogas generator sets to the owner of a process effluent-to-biogas plant that will provide electricity to a gas-to-liquids (GTL) refinery in South Africa. The plant represents the country's first commercial Independent Power Producer (IPP) Clean Development Mechanism (CDM) project, a United Nations carbon-emissions trading program under the Kyoto Protocol, and is expected to produce approximately 33,000 Certified Emissions Reductions (CERs) annually.
WSP Energy, a London-based IPP and a subsidiary of the listed WSP Group, developed and owns the 4.2- MW biogas project at the world's first GTL Refinery, owned and operated by the national oil company, PetroSA. The GTL Refinery is located on the southern tip of South Africa, near the coastal town of Mossel Bay.
The Jenbacher gas engines will be fueled by methane biogas created from the anaerobic digestion of reaction water collected in PetroSA's process effluent treatment plant at the refinery. The three Jenbacher JGS 420 GS-B.L. units will each generate 1.4 MW of electricity, which WSP Energy will then sell to PetroSA under a fifteen-year power purchase agreement (PPA). The units will be fully operational in October.</t>
        </r>
      </text>
    </comment>
    <comment ref="D231" authorId="7" shapeId="0" xr:uid="{00000000-0006-0000-1A00-00000F000000}">
      <text>
        <r>
          <rPr>
            <b/>
            <sz val="8"/>
            <color indexed="81"/>
            <rFont val="Tahoma"/>
            <family val="2"/>
          </rPr>
          <t>Bruno Merven:</t>
        </r>
        <r>
          <rPr>
            <sz val="8"/>
            <color indexed="81"/>
            <rFont val="Tahoma"/>
            <family val="2"/>
          </rPr>
          <t xml:space="preserve">
Petrol SA annual report has 11.36MMbbl =11.36*0.136*42.66=65PJ!</t>
        </r>
      </text>
    </comment>
    <comment ref="D232" authorId="12" shapeId="0" xr:uid="{2F164331-BF95-48AF-8845-F99DB162C057}">
      <text>
        <t>[Threaded comment]
Your version of Excel allows you to read this threaded comment; however, any edits to it will get removed if the file is opened in a newer version of Excel. Learn more: https://go.microsoft.com/fwlink/?linkid=870924
Comment:
    Crude also an input but factored in as auxiliary - so this is the main input fuel efficiency.</t>
      </text>
    </comment>
    <comment ref="W235" authorId="10" shapeId="0" xr:uid="{00000000-0006-0000-1A00-000025000000}">
      <text>
        <r>
          <rPr>
            <b/>
            <sz val="9"/>
            <color indexed="81"/>
            <rFont val="Tahoma"/>
            <family val="2"/>
          </rPr>
          <t>Fadiel Ahjum:</t>
        </r>
        <r>
          <rPr>
            <sz val="9"/>
            <color indexed="81"/>
            <rFont val="Tahoma"/>
            <family val="2"/>
          </rPr>
          <t xml:space="preserve">
</t>
        </r>
      </text>
    </comment>
    <comment ref="F241" authorId="0" shapeId="0" xr:uid="{3CF261CC-8C8D-4F95-9416-D204ADCFB4A9}">
      <text>
        <r>
          <rPr>
            <b/>
            <sz val="9"/>
            <color indexed="81"/>
            <rFont val="Tahoma"/>
            <family val="2"/>
          </rPr>
          <t xml:space="preserve">Fadiel:
</t>
        </r>
        <r>
          <rPr>
            <sz val="9"/>
            <color indexed="81"/>
            <rFont val="Tahoma"/>
            <family val="2"/>
          </rPr>
          <t>Reduced capacity with 2 of 3 units operational. Christo Cloete (PetroSA) pers. Comm. to Adrian Stone (August,2013)
2 of 3 units operational running at 80% capacity. D.2.2. PetroSA (Mossgas) (FT Processes – A Brief Description, Akiner Tuzuner, Purdue University)</t>
        </r>
      </text>
    </comment>
    <comment ref="D243" authorId="0" shapeId="0" xr:uid="{C722ADA4-B511-41D1-A240-CD8EEF0BBB1B}">
      <text>
        <r>
          <rPr>
            <b/>
            <sz val="9"/>
            <color indexed="81"/>
            <rFont val="Tahoma"/>
            <family val="2"/>
          </rPr>
          <t xml:space="preserve">Fadiel Ahjum:
</t>
        </r>
        <r>
          <rPr>
            <sz val="9"/>
            <color indexed="81"/>
            <rFont val="Tahoma"/>
            <family val="2"/>
          </rPr>
          <t>IEA ETSAP - Technology Brief S02 - May 2010 Liquid Fuels Production from Coal &amp; Gas = 0.28.
Calc. from PetroSA data gives = 51 which gives ~ 3x the nGHG inventory  (Jongi's data)</t>
        </r>
      </text>
    </comment>
    <comment ref="C245" authorId="0" shapeId="0" xr:uid="{4B18223B-96AF-400E-9AD3-86DBF510E095}">
      <text>
        <r>
          <rPr>
            <b/>
            <sz val="9"/>
            <color indexed="81"/>
            <rFont val="Tahoma"/>
            <family val="2"/>
          </rPr>
          <t>Fadiel:</t>
        </r>
        <r>
          <rPr>
            <sz val="9"/>
            <color indexed="81"/>
            <rFont val="Tahoma"/>
            <family val="2"/>
          </rPr>
          <t xml:space="preserve">
</t>
        </r>
      </text>
    </comment>
    <comment ref="N252" authorId="10" shapeId="0" xr:uid="{00000000-0006-0000-1A00-000022000000}">
      <text>
        <r>
          <rPr>
            <b/>
            <sz val="9"/>
            <color indexed="81"/>
            <rFont val="Tahoma"/>
            <family val="2"/>
          </rPr>
          <t>Fadiel Ahjum:</t>
        </r>
        <r>
          <rPr>
            <sz val="9"/>
            <color indexed="81"/>
            <rFont val="Tahoma"/>
            <family val="2"/>
          </rPr>
          <t xml:space="preserve">
assume 5% efficiency gain from existing</t>
        </r>
      </text>
    </comment>
    <comment ref="D256" authorId="10" shapeId="0" xr:uid="{00000000-0006-0000-1A00-000023000000}">
      <text>
        <r>
          <rPr>
            <b/>
            <sz val="9"/>
            <color indexed="81"/>
            <rFont val="Tahoma"/>
            <family val="2"/>
          </rPr>
          <t xml:space="preserve">Fadiel Ahjum:
</t>
        </r>
        <r>
          <rPr>
            <sz val="9"/>
            <color indexed="81"/>
            <rFont val="Tahoma"/>
            <family val="2"/>
          </rPr>
          <t xml:space="preserve"> Unless otherwise indicated, estimated from IEP charts.</t>
        </r>
      </text>
    </comment>
    <comment ref="E256" authorId="10" shapeId="0" xr:uid="{00000000-0006-0000-1A00-000024000000}">
      <text>
        <r>
          <rPr>
            <b/>
            <sz val="9"/>
            <color indexed="81"/>
            <rFont val="Tahoma"/>
            <family val="2"/>
          </rPr>
          <t xml:space="preserve">Fadiel Ahjum:
</t>
        </r>
        <r>
          <rPr>
            <sz val="9"/>
            <color indexed="81"/>
            <rFont val="Tahoma"/>
            <family val="2"/>
          </rPr>
          <t>In 2006USD IEA ETSAP - Technology Brief S02 (2010)
Liquid Fuels Production from Coal &amp; Gas
0.14 ~ 2006 ZAR-USD exchange rate</t>
        </r>
      </text>
    </comment>
    <comment ref="N263" authorId="10" shapeId="0" xr:uid="{00000000-0006-0000-1A00-000026000000}">
      <text>
        <r>
          <rPr>
            <b/>
            <sz val="9"/>
            <color indexed="81"/>
            <rFont val="Tahoma"/>
            <family val="2"/>
          </rPr>
          <t>Fadiel Ahjum:</t>
        </r>
        <r>
          <rPr>
            <sz val="9"/>
            <color indexed="81"/>
            <rFont val="Tahoma"/>
            <family val="2"/>
          </rPr>
          <t xml:space="preserve">
 ~ from IEP (2013)</t>
        </r>
      </text>
    </comment>
    <comment ref="N264" authorId="10" shapeId="0" xr:uid="{00000000-0006-0000-1A00-000027000000}">
      <text>
        <r>
          <rPr>
            <b/>
            <sz val="9"/>
            <color indexed="81"/>
            <rFont val="Tahoma"/>
            <family val="2"/>
          </rPr>
          <t>Fadiel Ahjum:</t>
        </r>
        <r>
          <rPr>
            <sz val="9"/>
            <color indexed="81"/>
            <rFont val="Tahoma"/>
            <family val="2"/>
          </rPr>
          <t xml:space="preserve">
 ~ from IEP (2013)</t>
        </r>
      </text>
    </comment>
    <comment ref="E272" authorId="13" shapeId="0" xr:uid="{DDDB867F-32D5-4EA0-ADC8-4BDAA999081B}">
      <text>
        <t>[Threaded comment]
Your version of Excel allows you to read this threaded comment; however, any edits to it will get removed if the file is opened in a newer version of Excel. Learn more: https://go.microsoft.com/fwlink/?linkid=870924
Comment:
    ktCO2 NIR 2017 DEFF (2020)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tc={4272113D-9EE2-400A-9E53-88AE0C1B8735}</author>
    <author>Cornelia Ras</author>
    <author>tc={971BF19B-994A-40FE-A76F-43263574341C}</author>
    <author>Brett Cohen</author>
    <author>tc={D700F541-A46A-42ED-995B-62B1823B4643}</author>
    <author>tc={E74670B9-3AA9-4D2F-9054-A0A4C40B1DE9}</author>
    <author>tc={50884663-713A-4351-A824-DEB382107446}</author>
    <author>Fadiel Ahjum</author>
  </authors>
  <commentList>
    <comment ref="AB12" authorId="0" shapeId="0" xr:uid="{4272113D-9EE2-400A-9E53-88AE0C1B8735}">
      <text>
        <t>[Threaded comment]
Your version of Excel allows you to read this threaded comment; however, any edits to it will get removed if the file is opened in a newer version of Excel. Learn more: https://go.microsoft.com/fwlink/?linkid=870924
Comment:
    Not energy</t>
      </text>
    </comment>
    <comment ref="Q14" authorId="1" shapeId="0" xr:uid="{00000000-0006-0000-1500-000001000000}">
      <text>
        <r>
          <rPr>
            <b/>
            <sz val="8"/>
            <color indexed="81"/>
            <rFont val="Tahoma"/>
            <family val="2"/>
          </rPr>
          <t>Cornelia Ras:</t>
        </r>
        <r>
          <rPr>
            <sz val="8"/>
            <color indexed="81"/>
            <rFont val="Tahoma"/>
            <family val="2"/>
          </rPr>
          <t xml:space="preserve">
http://www.engineeringtoolbox.com/fuels-densities-specific-volumes-d_166.html
Diesel 1D  - 54.6 lb/ft</t>
        </r>
        <r>
          <rPr>
            <vertAlign val="superscript"/>
            <sz val="8"/>
            <color indexed="81"/>
            <rFont val="Tahoma"/>
            <family val="2"/>
          </rPr>
          <t>3</t>
        </r>
        <r>
          <rPr>
            <sz val="8"/>
            <color indexed="81"/>
            <rFont val="Tahoma"/>
            <family val="2"/>
          </rPr>
          <t xml:space="preserve">
Diesel 2D - 53 lb/ft3
Diesel 4D - 59.9 lb/ft3</t>
        </r>
      </text>
    </comment>
    <comment ref="AB16" authorId="2" shapeId="0" xr:uid="{971BF19B-994A-40FE-A76F-43263574341C}">
      <text>
        <t>[Threaded comment]
Your version of Excel allows you to read this threaded comment; however, any edits to it will get removed if the file is opened in a newer version of Excel. Learn more: https://go.microsoft.com/fwlink/?linkid=870924
Comment:
    Used on site</t>
      </text>
    </comment>
    <comment ref="L17" authorId="3" shapeId="0" xr:uid="{00000000-0006-0000-1500-000002000000}">
      <text>
        <r>
          <rPr>
            <b/>
            <sz val="9"/>
            <color indexed="81"/>
            <rFont val="Arial"/>
            <family val="2"/>
          </rPr>
          <t>Brett Cohen:</t>
        </r>
        <r>
          <rPr>
            <sz val="9"/>
            <color indexed="81"/>
            <rFont val="Arial"/>
            <family val="2"/>
          </rPr>
          <t xml:space="preserve">
note that Lloyds paper had an extra 7 at the end of this number which must have been a mistake as numbers don’t tally, so assumption made it was a typo and removed </t>
        </r>
      </text>
    </comment>
    <comment ref="AC18" authorId="4" shapeId="0" xr:uid="{D700F541-A46A-42ED-995B-62B1823B4643}">
      <text>
        <t>[Threaded comment]
Your version of Excel allows you to read this threaded comment; however, any edits to it will get removed if the file is opened in a newer version of Excel. Learn more: https://go.microsoft.com/fwlink/?linkid=870924
Comment:
    Used on site</t>
      </text>
    </comment>
    <comment ref="S19" authorId="5" shapeId="0" xr:uid="{E74670B9-3AA9-4D2F-9054-A0A4C40B1DE9}">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Q25" authorId="6" shapeId="0" xr:uid="{50884663-713A-4351-A824-DEB382107446}">
      <text>
        <t>[Threaded comment]
Your version of Excel allows you to read this threaded comment; however, any edits to it will get removed if the file is opened in a newer version of Excel. Learn more: https://go.microsoft.com/fwlink/?linkid=870924
Comment:
    Need better value here</t>
      </text>
    </comment>
    <comment ref="D59" authorId="7" shapeId="0" xr:uid="{00000000-0006-0000-1500-000003000000}">
      <text>
        <r>
          <rPr>
            <b/>
            <sz val="10"/>
            <color indexed="81"/>
            <rFont val="Tahoma"/>
            <family val="2"/>
          </rPr>
          <t xml:space="preserve">Fadiel Ahjum: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ESAP PC</author>
    <author>Fadiel</author>
  </authors>
  <commentList>
    <comment ref="H19" authorId="0" shapeId="0" xr:uid="{00000000-0006-0000-1600-000001000000}">
      <text>
        <r>
          <rPr>
            <sz val="8"/>
            <color indexed="81"/>
            <rFont val="Tahoma"/>
            <family val="2"/>
          </rPr>
          <t>estimated: 
GENERAL PROCESS PLANT
COST ESTIMATING
(ENGINEERING DESIGN GUIDELINE)
http://kolmetz.com/pdf/EDG/ENGINEERING_DESIGN_GUILDLINE_General_Plant_Cost_Estimating_Rev01web.pdf
Table 11 : Total production cost 
(Simple Chemical Processes)</t>
        </r>
      </text>
    </comment>
    <comment ref="H33" authorId="0" shapeId="0" xr:uid="{00000000-0006-0000-1600-000002000000}">
      <text>
        <r>
          <rPr>
            <sz val="8"/>
            <color indexed="81"/>
            <rFont val="Tahoma"/>
            <family val="2"/>
          </rPr>
          <t>estimated: 
GENERAL PROCESS PLANT
COST ESTIMATING
(ENGINEERING DESIGN GUIDELINE)
http://kolmetz.com/pdf/EDG/ENGINEERING_DESIGN_GUILDLINE_General_Plant_Cost_Estimating_Rev01web.pdf
Table 11 : Total production cost 
(Average Process)</t>
        </r>
      </text>
    </comment>
    <comment ref="D53" authorId="1" shapeId="0" xr:uid="{25178F4C-ED5B-492A-AF01-6EB0777FB3ED}">
      <text>
        <r>
          <rPr>
            <b/>
            <sz val="9"/>
            <color indexed="81"/>
            <rFont val="Tahoma"/>
            <family val="2"/>
          </rPr>
          <t>Fadiel:</t>
        </r>
        <r>
          <rPr>
            <sz val="9"/>
            <color indexed="81"/>
            <rFont val="Tahoma"/>
            <family val="2"/>
          </rPr>
          <t xml:space="preserve">
Invest in CF2 for refinery at specific milestone period or decom: Can't refurbish  late into the horizon.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Cornelia Ras</author>
  </authors>
  <commentList>
    <comment ref="C5" authorId="0" shapeId="0" xr:uid="{00000000-0006-0000-1700-000001000000}">
      <text>
        <r>
          <rPr>
            <b/>
            <sz val="8"/>
            <color indexed="81"/>
            <rFont val="Tahoma"/>
            <family val="2"/>
          </rPr>
          <t>Cornelia Ras:</t>
        </r>
        <r>
          <rPr>
            <sz val="8"/>
            <color indexed="81"/>
            <rFont val="Tahoma"/>
            <family val="2"/>
          </rPr>
          <t xml:space="preserve">
m</t>
        </r>
        <r>
          <rPr>
            <vertAlign val="superscript"/>
            <sz val="8"/>
            <color indexed="81"/>
            <rFont val="Tahoma"/>
            <family val="2"/>
          </rPr>
          <t>3</t>
        </r>
        <r>
          <rPr>
            <sz val="8"/>
            <color indexed="81"/>
            <rFont val="Tahoma"/>
            <family val="2"/>
          </rPr>
          <t>/yr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Bruno Merven</author>
  </authors>
  <commentList>
    <comment ref="D8" authorId="0" shapeId="0" xr:uid="{00000000-0006-0000-1400-000001000000}">
      <text>
        <r>
          <rPr>
            <b/>
            <sz val="8"/>
            <color indexed="81"/>
            <rFont val="Tahoma"/>
            <family val="2"/>
          </rPr>
          <t>Bruno Merven:</t>
        </r>
        <r>
          <rPr>
            <sz val="8"/>
            <color indexed="81"/>
            <rFont val="Tahoma"/>
            <family val="2"/>
          </rPr>
          <t xml:space="preserve">
</t>
        </r>
      </text>
    </comment>
    <comment ref="D9" authorId="0" shapeId="0" xr:uid="{00000000-0006-0000-1400-000002000000}">
      <text>
        <r>
          <rPr>
            <b/>
            <sz val="8"/>
            <color indexed="81"/>
            <rFont val="Tahoma"/>
            <family val="2"/>
          </rPr>
          <t>Bruno Merven:</t>
        </r>
        <r>
          <rPr>
            <sz val="8"/>
            <color indexed="81"/>
            <rFont val="Tahoma"/>
            <family val="2"/>
          </rPr>
          <t xml:space="preserve">
Assuming 35% eff for Eskom and 5% losses on transmission and that 95% of elc from coal - Check Eskom annual report grid factor</t>
        </r>
      </text>
    </comment>
    <comment ref="M19" authorId="0" shapeId="0" xr:uid="{00000000-0006-0000-1400-000003000000}">
      <text>
        <r>
          <rPr>
            <b/>
            <sz val="8"/>
            <color indexed="81"/>
            <rFont val="Tahoma"/>
            <family val="2"/>
          </rPr>
          <t>Bruno Merven:</t>
        </r>
        <r>
          <rPr>
            <sz val="8"/>
            <color indexed="81"/>
            <rFont val="Tahoma"/>
            <family val="2"/>
          </rPr>
          <t xml:space="preserve">
~50% of chemicals</t>
        </r>
      </text>
    </comment>
    <comment ref="H20" authorId="0" shapeId="0" xr:uid="{00000000-0006-0000-1400-000004000000}">
      <text>
        <r>
          <rPr>
            <b/>
            <sz val="8"/>
            <color indexed="81"/>
            <rFont val="Tahoma"/>
            <family val="2"/>
          </rPr>
          <t>Bruno Merven:</t>
        </r>
        <r>
          <rPr>
            <sz val="8"/>
            <color indexed="81"/>
            <rFont val="Tahoma"/>
            <family val="2"/>
          </rPr>
          <t xml:space="preserve">
all coal with cogen - ratio of electricity to heat to be checked</t>
        </r>
      </text>
    </comment>
    <comment ref="K20" authorId="0" shapeId="0" xr:uid="{00000000-0006-0000-1400-000005000000}">
      <text>
        <r>
          <rPr>
            <b/>
            <sz val="8"/>
            <color indexed="81"/>
            <rFont val="Tahoma"/>
            <family val="2"/>
          </rPr>
          <t>Bruno Merven:</t>
        </r>
        <r>
          <rPr>
            <sz val="8"/>
            <color indexed="81"/>
            <rFont val="Tahoma"/>
            <family val="2"/>
          </rPr>
          <t xml:space="preserve">
29PJ of Coal + 4.4 PJ of gas </t>
        </r>
      </text>
    </comment>
    <comment ref="H21" authorId="0" shapeId="0" xr:uid="{00000000-0006-0000-1400-000006000000}">
      <text>
        <r>
          <rPr>
            <b/>
            <sz val="8"/>
            <color indexed="81"/>
            <rFont val="Tahoma"/>
            <family val="2"/>
          </rPr>
          <t>Bruno Merven:</t>
        </r>
        <r>
          <rPr>
            <sz val="8"/>
            <color indexed="81"/>
            <rFont val="Tahoma"/>
            <family val="2"/>
          </rPr>
          <t xml:space="preserve">
From DOE IRP 2011 SSF: 520, Infrachem 130
to be confirmed</t>
        </r>
      </text>
    </comment>
    <comment ref="K21" authorId="0" shapeId="0" xr:uid="{00000000-0006-0000-1400-000007000000}">
      <text>
        <r>
          <rPr>
            <b/>
            <sz val="8"/>
            <color indexed="81"/>
            <rFont val="Tahoma"/>
            <family val="2"/>
          </rPr>
          <t>Bruno Merven:</t>
        </r>
        <r>
          <rPr>
            <sz val="8"/>
            <color indexed="81"/>
            <rFont val="Tahoma"/>
            <family val="2"/>
          </rPr>
          <t xml:space="preserve">
Elc input must be subtracted</t>
        </r>
      </text>
    </comment>
    <comment ref="R21" authorId="0" shapeId="0" xr:uid="{00000000-0006-0000-1400-000008000000}">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0" shapeId="0" xr:uid="{00000000-0006-0000-1400-000009000000}">
      <text>
        <r>
          <rPr>
            <b/>
            <sz val="8"/>
            <color indexed="81"/>
            <rFont val="Tahoma"/>
            <family val="2"/>
          </rPr>
          <t>Bruno Merven:</t>
        </r>
        <r>
          <rPr>
            <sz val="8"/>
            <color indexed="81"/>
            <rFont val="Tahoma"/>
            <family val="2"/>
          </rPr>
          <t xml:space="preserve">
Check</t>
        </r>
      </text>
    </comment>
    <comment ref="F24" authorId="0" shapeId="0" xr:uid="{00000000-0006-0000-1400-00000A000000}">
      <text>
        <r>
          <rPr>
            <b/>
            <sz val="8"/>
            <color indexed="81"/>
            <rFont val="Tahoma"/>
            <family val="2"/>
          </rPr>
          <t>Bruno Merven:</t>
        </r>
        <r>
          <rPr>
            <sz val="8"/>
            <color indexed="81"/>
            <rFont val="Tahoma"/>
            <family val="2"/>
          </rPr>
          <t xml:space="preserve">
efficiency from NIRP3</t>
        </r>
      </text>
    </comment>
    <comment ref="H25" authorId="0" shapeId="0" xr:uid="{00000000-0006-0000-1400-00000B000000}">
      <text>
        <r>
          <rPr>
            <b/>
            <sz val="8"/>
            <color indexed="81"/>
            <rFont val="Tahoma"/>
            <family val="2"/>
          </rPr>
          <t>Bruno Merven:</t>
        </r>
        <r>
          <rPr>
            <sz val="8"/>
            <color indexed="81"/>
            <rFont val="Tahoma"/>
            <family val="2"/>
          </rPr>
          <t xml:space="preserve">
2006 Sasol Sustainable report has 5,083 GWh, 4,512 From ESI stats 2006 - NERSA.</t>
        </r>
      </text>
    </comment>
    <comment ref="D26" authorId="0" shapeId="0" xr:uid="{00000000-0006-0000-1400-00000C000000}">
      <text>
        <r>
          <rPr>
            <b/>
            <sz val="8"/>
            <color indexed="81"/>
            <rFont val="Tahoma"/>
            <family val="2"/>
          </rPr>
          <t>Bruno Merven:</t>
        </r>
        <r>
          <rPr>
            <sz val="8"/>
            <color indexed="81"/>
            <rFont val="Tahoma"/>
            <family val="2"/>
          </rPr>
          <t xml:space="preserve">
DOE Energy Balance 2006</t>
        </r>
      </text>
    </comment>
    <comment ref="F30" authorId="0" shapeId="0" xr:uid="{00000000-0006-0000-1400-00000D000000}">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0" shapeId="0" xr:uid="{00000000-0006-0000-1400-00000E000000}">
      <text>
        <r>
          <rPr>
            <b/>
            <sz val="8"/>
            <color indexed="81"/>
            <rFont val="Tahoma"/>
            <family val="2"/>
          </rPr>
          <t>Bruno Merven:</t>
        </r>
        <r>
          <rPr>
            <sz val="8"/>
            <color indexed="81"/>
            <rFont val="Tahoma"/>
            <family val="2"/>
          </rPr>
          <t xml:space="preserve">
to be checked: no plans to use waste steam for cogen</t>
        </r>
      </text>
    </comment>
    <comment ref="H35" authorId="0" shapeId="0" xr:uid="{00000000-0006-0000-1400-00000F000000}">
      <text>
        <r>
          <rPr>
            <b/>
            <sz val="8"/>
            <color indexed="81"/>
            <rFont val="Tahoma"/>
            <family val="2"/>
          </rPr>
          <t>Bruno Merven:</t>
        </r>
        <r>
          <rPr>
            <sz val="8"/>
            <color indexed="81"/>
            <rFont val="Tahoma"/>
            <family val="2"/>
          </rPr>
          <t xml:space="preserve">
280 2011 CCGT, the rest in 2013 140MW gas engines in sasolburg: Efficiency of gas engines 45%</t>
        </r>
      </text>
    </comment>
    <comment ref="D38" authorId="0" shapeId="0" xr:uid="{00000000-0006-0000-1400-000010000000}">
      <text>
        <r>
          <rPr>
            <b/>
            <sz val="8"/>
            <color indexed="81"/>
            <rFont val="Tahoma"/>
            <family val="2"/>
          </rPr>
          <t>Fadiel Ahjum:</t>
        </r>
        <r>
          <rPr>
            <sz val="8"/>
            <color indexed="81"/>
            <rFont val="Tahoma"/>
            <family val="2"/>
          </rPr>
          <t xml:space="preserve">
From derek.bultitude@sasol.com [Sasol gas balance 2004-2029 march 11 2013.xls]
This is only what Sasol uses - there is more gas being imported.
DOE Energy Balance 2006 says 52,202.</t>
        </r>
      </text>
    </comment>
    <comment ref="H39" authorId="0" shapeId="0" xr:uid="{00000000-0006-0000-1400-000011000000}">
      <text>
        <r>
          <rPr>
            <b/>
            <sz val="8"/>
            <color indexed="81"/>
            <rFont val="Tahoma"/>
            <family val="2"/>
          </rPr>
          <t>Bruno Merven:</t>
        </r>
        <r>
          <rPr>
            <sz val="8"/>
            <color indexed="81"/>
            <rFont val="Tahoma"/>
            <family val="2"/>
          </rPr>
          <t xml:space="preserve">
Assuming equal share of heat and electricty output</t>
        </r>
      </text>
    </comment>
    <comment ref="K44" authorId="0" shapeId="0" xr:uid="{00000000-0006-0000-1400-000012000000}">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0" shapeId="0" xr:uid="{00000000-0006-0000-1400-000013000000}">
      <text>
        <r>
          <rPr>
            <b/>
            <sz val="8"/>
            <color indexed="81"/>
            <rFont val="Tahoma"/>
            <family val="2"/>
          </rPr>
          <t>Fadiel Ahjum:</t>
        </r>
        <r>
          <rPr>
            <sz val="8"/>
            <color indexed="81"/>
            <rFont val="Tahoma"/>
            <family val="2"/>
          </rPr>
          <t xml:space="preserve">
Sasolburg gas to FT</t>
        </r>
      </text>
    </comment>
    <comment ref="F47" authorId="0" shapeId="0" xr:uid="{00000000-0006-0000-1400-000014000000}">
      <text>
        <r>
          <rPr>
            <b/>
            <sz val="8"/>
            <color indexed="81"/>
            <rFont val="Tahoma"/>
            <family val="2"/>
          </rPr>
          <t>Bruno Merven:</t>
        </r>
        <r>
          <rPr>
            <sz val="8"/>
            <color indexed="81"/>
            <rFont val="Tahoma"/>
            <family val="2"/>
          </rPr>
          <t xml:space="preserve">
Steam input</t>
        </r>
      </text>
    </comment>
    <comment ref="G47" authorId="0" shapeId="0" xr:uid="{00000000-0006-0000-1400-000015000000}">
      <text>
        <r>
          <rPr>
            <b/>
            <sz val="8"/>
            <color indexed="81"/>
            <rFont val="Tahoma"/>
            <family val="2"/>
          </rPr>
          <t>Bruno Merven:</t>
        </r>
        <r>
          <rPr>
            <sz val="8"/>
            <color indexed="81"/>
            <rFont val="Tahoma"/>
            <family val="2"/>
          </rPr>
          <t xml:space="preserve">
Addition heat input from coal boilers</t>
        </r>
      </text>
    </comment>
    <comment ref="F48" authorId="0" shapeId="0" xr:uid="{00000000-0006-0000-1400-000016000000}">
      <text>
        <r>
          <rPr>
            <b/>
            <sz val="8"/>
            <color indexed="81"/>
            <rFont val="Tahoma"/>
            <family val="2"/>
          </rPr>
          <t>Bruno Merven:</t>
        </r>
        <r>
          <rPr>
            <sz val="8"/>
            <color indexed="81"/>
            <rFont val="Tahoma"/>
            <family val="2"/>
          </rPr>
          <t xml:space="preserve">
Sasol Sustainability report has 18,027 kt</t>
        </r>
      </text>
    </comment>
    <comment ref="G48" authorId="0" shapeId="0" xr:uid="{00000000-0006-0000-1400-000017000000}">
      <text>
        <r>
          <rPr>
            <b/>
            <sz val="8"/>
            <color indexed="81"/>
            <rFont val="Tahoma"/>
            <family val="2"/>
          </rPr>
          <t>Bruno Merven:</t>
        </r>
        <r>
          <rPr>
            <sz val="8"/>
            <color indexed="81"/>
            <rFont val="Tahoma"/>
            <family val="2"/>
          </rPr>
          <t xml:space="preserve">
Coal for syngas production excluding steam production</t>
        </r>
      </text>
    </comment>
    <comment ref="H50" authorId="0" shapeId="0" xr:uid="{00000000-0006-0000-1400-000018000000}">
      <text>
        <r>
          <rPr>
            <b/>
            <sz val="8"/>
            <color indexed="81"/>
            <rFont val="Tahoma"/>
            <family val="2"/>
          </rPr>
          <t>Bruno Merven:</t>
        </r>
        <r>
          <rPr>
            <sz val="8"/>
            <color indexed="81"/>
            <rFont val="Tahoma"/>
            <family val="2"/>
          </rPr>
          <t xml:space="preserve">
from 2000 GHG Inventory - pure process emissions</t>
        </r>
      </text>
    </comment>
    <comment ref="H51" authorId="0" shapeId="0" xr:uid="{00000000-0006-0000-1400-000019000000}">
      <text>
        <r>
          <rPr>
            <b/>
            <sz val="8"/>
            <color indexed="81"/>
            <rFont val="Tahoma"/>
            <family val="2"/>
          </rPr>
          <t>Bruno Merven:</t>
        </r>
        <r>
          <rPr>
            <sz val="8"/>
            <color indexed="81"/>
            <rFont val="Tahoma"/>
            <family val="2"/>
          </rPr>
          <t xml:space="preserve">
use 353 kt emission factor</t>
        </r>
      </text>
    </comment>
    <comment ref="M55" authorId="0" shapeId="0" xr:uid="{00000000-0006-0000-1400-00001A000000}">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0" shapeId="0" xr:uid="{00000000-0006-0000-1400-00001B000000}">
      <text>
        <r>
          <rPr>
            <b/>
            <sz val="8"/>
            <color indexed="81"/>
            <rFont val="Tahoma"/>
            <family val="2"/>
          </rPr>
          <t>Bruno Merven:</t>
        </r>
        <r>
          <rPr>
            <sz val="8"/>
            <color indexed="81"/>
            <rFont val="Tahoma"/>
            <family val="2"/>
          </rPr>
          <t xml:space="preserve">
4094 ktons crude oil processed in 2006 from 2009 Sustainability report</t>
        </r>
      </text>
    </comment>
    <comment ref="D59" authorId="0" shapeId="0" xr:uid="{00000000-0006-0000-1400-00001C000000}">
      <text>
        <r>
          <rPr>
            <b/>
            <sz val="8"/>
            <color indexed="81"/>
            <rFont val="Tahoma"/>
            <family val="2"/>
          </rPr>
          <t>Bruno Merven:</t>
        </r>
        <r>
          <rPr>
            <sz val="8"/>
            <color indexed="81"/>
            <rFont val="Tahoma"/>
            <family val="2"/>
          </rPr>
          <t xml:space="preserve">
from Sustainability report: Need to check whether it's steam or what it is. It could possibly be coke for - internally produced and consumed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Fadiel</author>
    <author>tc={849F80A5-4693-4EDD-9170-2CE7AAFEC55E}</author>
    <author>Bruno Merven</author>
    <author>tc={0CA8B6FC-8218-4DA3-A660-A7C0D5A7B1F8}</author>
  </authors>
  <commentList>
    <comment ref="D8" authorId="0" shapeId="0" xr:uid="{90AB57C1-120A-4B13-9C20-7EE6F6E5072D}">
      <text>
        <r>
          <rPr>
            <b/>
            <sz val="9"/>
            <color indexed="81"/>
            <rFont val="Tahoma"/>
            <family val="2"/>
          </rPr>
          <t>Fadiel:</t>
        </r>
        <r>
          <rPr>
            <sz val="9"/>
            <color indexed="81"/>
            <rFont val="Tahoma"/>
            <family val="2"/>
          </rPr>
          <t xml:space="preserve">
Sustainability Report 2018
Electricity (purchased)</t>
        </r>
      </text>
    </comment>
    <comment ref="D9" authorId="1" shapeId="0" xr:uid="{849F80A5-4693-4EDD-9170-2CE7AAFEC55E}">
      <text>
        <t>[Threaded comment]
Your version of Excel allows you to read this threaded comment; however, any edits to it will get removed if the file is opened in a newer version of Excel. Learn more: https://go.microsoft.com/fwlink/?linkid=870924
Comment:
    Calculated from eskom CDM data</t>
      </text>
    </comment>
    <comment ref="M19" authorId="2" shapeId="0" xr:uid="{6EDE98D1-FFFC-4D2D-BF50-31CC38F38BBD}">
      <text>
        <r>
          <rPr>
            <b/>
            <sz val="8"/>
            <color indexed="81"/>
            <rFont val="Tahoma"/>
            <family val="2"/>
          </rPr>
          <t>Bruno Merven:</t>
        </r>
        <r>
          <rPr>
            <sz val="8"/>
            <color indexed="81"/>
            <rFont val="Tahoma"/>
            <family val="2"/>
          </rPr>
          <t xml:space="preserve">
~50% of chemicals</t>
        </r>
      </text>
    </comment>
    <comment ref="H20" authorId="2" shapeId="0" xr:uid="{2D44CCEC-C213-4F8B-8282-295E0E6E9CF1}">
      <text>
        <r>
          <rPr>
            <b/>
            <sz val="8"/>
            <color indexed="81"/>
            <rFont val="Tahoma"/>
            <family val="2"/>
          </rPr>
          <t>Bruno Merven:</t>
        </r>
        <r>
          <rPr>
            <sz val="8"/>
            <color indexed="81"/>
            <rFont val="Tahoma"/>
            <family val="2"/>
          </rPr>
          <t xml:space="preserve">
all coal with cogen - ratio of electricity to heat to be checked</t>
        </r>
      </text>
    </comment>
    <comment ref="K20" authorId="2" shapeId="0" xr:uid="{9703106F-8792-479A-B8C3-48282CDEC7DF}">
      <text>
        <r>
          <rPr>
            <b/>
            <sz val="8"/>
            <color indexed="81"/>
            <rFont val="Tahoma"/>
            <family val="2"/>
          </rPr>
          <t>Bruno Merven:</t>
        </r>
        <r>
          <rPr>
            <sz val="8"/>
            <color indexed="81"/>
            <rFont val="Tahoma"/>
            <family val="2"/>
          </rPr>
          <t xml:space="preserve">
29PJ of Coal + 4.4 PJ of gas </t>
        </r>
      </text>
    </comment>
    <comment ref="H21" authorId="2" shapeId="0" xr:uid="{0C54831C-4130-466C-A793-C960EBC1F7BE}">
      <text>
        <r>
          <rPr>
            <b/>
            <sz val="8"/>
            <color indexed="81"/>
            <rFont val="Tahoma"/>
            <family val="2"/>
          </rPr>
          <t>Bruno Merven:</t>
        </r>
        <r>
          <rPr>
            <sz val="8"/>
            <color indexed="81"/>
            <rFont val="Tahoma"/>
            <family val="2"/>
          </rPr>
          <t xml:space="preserve">
From DOE IRP 2011 SSF: 520, Infrachem 130
to be confirmed</t>
        </r>
      </text>
    </comment>
    <comment ref="K21" authorId="2" shapeId="0" xr:uid="{053503F8-A881-4985-B43F-38A6CE05B4F6}">
      <text>
        <r>
          <rPr>
            <b/>
            <sz val="8"/>
            <color indexed="81"/>
            <rFont val="Tahoma"/>
            <family val="2"/>
          </rPr>
          <t>Bruno Merven:</t>
        </r>
        <r>
          <rPr>
            <sz val="8"/>
            <color indexed="81"/>
            <rFont val="Tahoma"/>
            <family val="2"/>
          </rPr>
          <t xml:space="preserve">
Elc input must be subtracted</t>
        </r>
      </text>
    </comment>
    <comment ref="R21" authorId="2" shapeId="0" xr:uid="{D740C40B-CA48-4B85-AB39-105D6DC82AA9}">
      <text>
        <r>
          <rPr>
            <b/>
            <sz val="8"/>
            <color indexed="81"/>
            <rFont val="Tahoma"/>
            <family val="2"/>
          </rPr>
          <t>Bruno Merven:</t>
        </r>
        <r>
          <rPr>
            <sz val="8"/>
            <color indexed="81"/>
            <rFont val="Tahoma"/>
            <family val="2"/>
          </rPr>
          <t xml:space="preserve">
This was the number for Sasol international and needs to be adjusted for SA only</t>
        </r>
      </text>
    </comment>
    <comment ref="M22" authorId="2" shapeId="0" xr:uid="{AC929BFE-EB3E-4B25-980F-63C661D6F997}">
      <text>
        <r>
          <rPr>
            <b/>
            <sz val="8"/>
            <color indexed="81"/>
            <rFont val="Tahoma"/>
            <family val="2"/>
          </rPr>
          <t>Bruno Merven:</t>
        </r>
        <r>
          <rPr>
            <sz val="8"/>
            <color indexed="81"/>
            <rFont val="Tahoma"/>
            <family val="2"/>
          </rPr>
          <t xml:space="preserve">
Check</t>
        </r>
      </text>
    </comment>
    <comment ref="F24" authorId="2" shapeId="0" xr:uid="{A5A94D62-EED8-4F0A-A47F-C7C02408B3D3}">
      <text>
        <r>
          <rPr>
            <b/>
            <sz val="8"/>
            <color indexed="81"/>
            <rFont val="Tahoma"/>
            <family val="2"/>
          </rPr>
          <t>Bruno Merven:</t>
        </r>
        <r>
          <rPr>
            <sz val="8"/>
            <color indexed="81"/>
            <rFont val="Tahoma"/>
            <family val="2"/>
          </rPr>
          <t xml:space="preserve">
efficiency from NIRP3</t>
        </r>
      </text>
    </comment>
    <comment ref="R24" authorId="3" shapeId="0" xr:uid="{0CA8B6FC-8218-4DA3-A660-A7C0D5A7B1F8}">
      <text>
        <t>[Threaded comment]
Your version of Excel allows you to read this threaded comment; however, any edits to it will get removed if the file is opened in a newer version of Excel. Learn more: https://go.microsoft.com/fwlink/?linkid=870924
Comment:
    sasol cc report 2017</t>
      </text>
    </comment>
    <comment ref="H25" authorId="2" shapeId="0" xr:uid="{7EA74FBB-F876-4751-A7B1-27733ABC76ED}">
      <text>
        <r>
          <rPr>
            <b/>
            <sz val="8"/>
            <color indexed="81"/>
            <rFont val="Tahoma"/>
            <family val="2"/>
          </rPr>
          <t xml:space="preserve">Fadiel:
</t>
        </r>
        <r>
          <rPr>
            <sz val="8"/>
            <color indexed="81"/>
            <rFont val="Tahoma"/>
            <family val="2"/>
          </rPr>
          <t>SR 2018.</t>
        </r>
      </text>
    </comment>
    <comment ref="D26" authorId="0" shapeId="0" xr:uid="{27CB8AD9-70F2-4802-B9C5-1771EFDAF1D0}">
      <text>
        <r>
          <rPr>
            <b/>
            <sz val="9"/>
            <color indexed="81"/>
            <rFont val="Tahoma"/>
            <family val="2"/>
          </rPr>
          <t>Fadiel:</t>
        </r>
        <r>
          <rPr>
            <sz val="9"/>
            <color indexed="81"/>
            <rFont val="Tahoma"/>
            <family val="2"/>
          </rPr>
          <t xml:space="preserve">
DMRE 2017 EB</t>
        </r>
      </text>
    </comment>
    <comment ref="F30" authorId="2" shapeId="0" xr:uid="{AA6CC404-D42C-4285-89E9-63BB196B0B3E}">
      <text>
        <r>
          <rPr>
            <b/>
            <sz val="8"/>
            <color indexed="81"/>
            <rFont val="Tahoma"/>
            <family val="2"/>
          </rPr>
          <t>Bruno Merven:</t>
        </r>
        <r>
          <rPr>
            <sz val="8"/>
            <color indexed="81"/>
            <rFont val="Tahoma"/>
            <family val="2"/>
          </rPr>
          <t xml:space="preserve">
275 in sustainability report of 2009 (split 40 Mtons ssf, 1.6 chemicals), 1.6 is without ash and should be handled with higher energy content.</t>
        </r>
      </text>
    </comment>
    <comment ref="H34" authorId="2" shapeId="0" xr:uid="{9FD4B233-C7EE-4E12-B5E1-6C8DF9956B36}">
      <text>
        <r>
          <rPr>
            <b/>
            <sz val="8"/>
            <color indexed="81"/>
            <rFont val="Tahoma"/>
            <family val="2"/>
          </rPr>
          <t>Bruno Merven:</t>
        </r>
        <r>
          <rPr>
            <sz val="8"/>
            <color indexed="81"/>
            <rFont val="Tahoma"/>
            <family val="2"/>
          </rPr>
          <t xml:space="preserve">
to be checked: no plans to use waste steam for cogen</t>
        </r>
      </text>
    </comment>
    <comment ref="H35" authorId="2" shapeId="0" xr:uid="{76CD46AC-A80B-4339-884B-363A8B612495}">
      <text>
        <r>
          <rPr>
            <b/>
            <sz val="8"/>
            <color indexed="81"/>
            <rFont val="Tahoma"/>
            <family val="2"/>
          </rPr>
          <t>Fadiel
tch-pwr.nersa2017</t>
        </r>
      </text>
    </comment>
    <comment ref="D38" authorId="2" shapeId="0" xr:uid="{9F09BC35-87F9-40E1-B387-287A08345B53}">
      <text>
        <r>
          <rPr>
            <b/>
            <sz val="8"/>
            <color indexed="81"/>
            <rFont val="Tahoma"/>
            <family val="2"/>
          </rPr>
          <t>Fadiel Ahjum:</t>
        </r>
        <r>
          <rPr>
            <sz val="8"/>
            <color indexed="81"/>
            <rFont val="Tahoma"/>
            <family val="2"/>
          </rPr>
          <t xml:space="preserve">
Sasol SR (2018)</t>
        </r>
      </text>
    </comment>
    <comment ref="H39" authorId="2" shapeId="0" xr:uid="{B136C5CF-DC71-49F2-8C17-27F9380002FC}">
      <text>
        <r>
          <rPr>
            <b/>
            <sz val="8"/>
            <color indexed="81"/>
            <rFont val="Tahoma"/>
            <family val="2"/>
          </rPr>
          <t>Bruno Merven:</t>
        </r>
        <r>
          <rPr>
            <sz val="8"/>
            <color indexed="81"/>
            <rFont val="Tahoma"/>
            <family val="2"/>
          </rPr>
          <t xml:space="preserve">
Assuming equal share of heat and electricty output</t>
        </r>
      </text>
    </comment>
    <comment ref="K44" authorId="2" shapeId="0" xr:uid="{056EEB03-EFF9-4A41-831E-915CBD597E45}">
      <text>
        <r>
          <rPr>
            <b/>
            <sz val="8"/>
            <color indexed="81"/>
            <rFont val="Tahoma"/>
            <family val="2"/>
          </rPr>
          <t>Bruno Merven:</t>
        </r>
        <r>
          <rPr>
            <sz val="8"/>
            <color indexed="81"/>
            <rFont val="Tahoma"/>
            <family val="2"/>
          </rPr>
          <t xml:space="preserve">
Scaling of initially quantified 5.05mt of energy products  to account for chemicals</t>
        </r>
      </text>
    </comment>
    <comment ref="F45" authorId="2" shapeId="0" xr:uid="{980F4EED-D9AF-4CE1-91AA-AFF5B1C9CE41}">
      <text>
        <r>
          <rPr>
            <b/>
            <sz val="8"/>
            <color indexed="81"/>
            <rFont val="Tahoma"/>
            <family val="2"/>
          </rPr>
          <t>Fadiel Ahjum:</t>
        </r>
        <r>
          <rPr>
            <sz val="8"/>
            <color indexed="81"/>
            <rFont val="Tahoma"/>
            <family val="2"/>
          </rPr>
          <t xml:space="preserve">
Sasolburg gas to FT</t>
        </r>
      </text>
    </comment>
    <comment ref="F47" authorId="2" shapeId="0" xr:uid="{B08F1879-B314-4113-ABA4-B15AAA8C24EB}">
      <text>
        <r>
          <rPr>
            <b/>
            <sz val="8"/>
            <color indexed="81"/>
            <rFont val="Tahoma"/>
            <family val="2"/>
          </rPr>
          <t>Bruno Merven:</t>
        </r>
        <r>
          <rPr>
            <sz val="8"/>
            <color indexed="81"/>
            <rFont val="Tahoma"/>
            <family val="2"/>
          </rPr>
          <t xml:space="preserve">
Steam input</t>
        </r>
      </text>
    </comment>
    <comment ref="G47" authorId="2" shapeId="0" xr:uid="{888C332E-38A2-4484-929A-6470640C5B40}">
      <text>
        <r>
          <rPr>
            <b/>
            <sz val="8"/>
            <color indexed="81"/>
            <rFont val="Tahoma"/>
            <family val="2"/>
          </rPr>
          <t>Bruno Merven:</t>
        </r>
        <r>
          <rPr>
            <sz val="8"/>
            <color indexed="81"/>
            <rFont val="Tahoma"/>
            <family val="2"/>
          </rPr>
          <t xml:space="preserve">
Addition heat input from coal boilers</t>
        </r>
      </text>
    </comment>
    <comment ref="F48" authorId="2" shapeId="0" xr:uid="{40BD645B-889B-4DDB-9938-3FB48A504215}">
      <text>
        <r>
          <rPr>
            <b/>
            <sz val="8"/>
            <color indexed="81"/>
            <rFont val="Tahoma"/>
            <family val="2"/>
          </rPr>
          <t>Bruno Merven:</t>
        </r>
        <r>
          <rPr>
            <sz val="8"/>
            <color indexed="81"/>
            <rFont val="Tahoma"/>
            <family val="2"/>
          </rPr>
          <t xml:space="preserve">
Sasol Sustainability report has 18,027 kt</t>
        </r>
      </text>
    </comment>
    <comment ref="G48" authorId="2" shapeId="0" xr:uid="{698F0950-3CF2-44AD-BA54-5458AC663513}">
      <text>
        <r>
          <rPr>
            <b/>
            <sz val="8"/>
            <color indexed="81"/>
            <rFont val="Tahoma"/>
            <family val="2"/>
          </rPr>
          <t>Bruno Merven:</t>
        </r>
        <r>
          <rPr>
            <sz val="8"/>
            <color indexed="81"/>
            <rFont val="Tahoma"/>
            <family val="2"/>
          </rPr>
          <t xml:space="preserve">
Coal for syngas production excluding steam production</t>
        </r>
      </text>
    </comment>
    <comment ref="H50" authorId="2" shapeId="0" xr:uid="{9C663380-6E94-4968-B4AA-7C264904896B}">
      <text>
        <r>
          <rPr>
            <b/>
            <sz val="8"/>
            <color indexed="81"/>
            <rFont val="Tahoma"/>
            <family val="2"/>
          </rPr>
          <t>Bruno Merven:</t>
        </r>
        <r>
          <rPr>
            <sz val="8"/>
            <color indexed="81"/>
            <rFont val="Tahoma"/>
            <family val="2"/>
          </rPr>
          <t xml:space="preserve">
from 2000 GHG Inventory - pure process emissions</t>
        </r>
      </text>
    </comment>
    <comment ref="H51" authorId="2" shapeId="0" xr:uid="{A778EEC4-8D00-43F7-B9BE-27DA4A10D259}">
      <text>
        <r>
          <rPr>
            <b/>
            <sz val="8"/>
            <color indexed="81"/>
            <rFont val="Tahoma"/>
            <family val="2"/>
          </rPr>
          <t>Bruno Merven:</t>
        </r>
        <r>
          <rPr>
            <sz val="8"/>
            <color indexed="81"/>
            <rFont val="Tahoma"/>
            <family val="2"/>
          </rPr>
          <t xml:space="preserve">
use 353 kt emission factor</t>
        </r>
      </text>
    </comment>
    <comment ref="M55" authorId="2" shapeId="0" xr:uid="{1E9719D8-0837-4ABE-B6DA-81EE87F9D7F9}">
      <text>
        <r>
          <rPr>
            <b/>
            <sz val="8"/>
            <color indexed="81"/>
            <rFont val="Tahoma"/>
            <family val="2"/>
          </rPr>
          <t>Bruno Merven:</t>
        </r>
        <r>
          <rPr>
            <sz val="8"/>
            <color indexed="81"/>
            <rFont val="Tahoma"/>
            <family val="2"/>
          </rPr>
          <t xml:space="preserve">
Sustainability report includes the whole of Natref even though Saol only owns 40% - to be checked.</t>
        </r>
      </text>
    </comment>
    <comment ref="K58" authorId="2" shapeId="0" xr:uid="{2EED7F28-B320-4BE6-9219-FC68A56BD0E5}">
      <text>
        <r>
          <rPr>
            <b/>
            <sz val="8"/>
            <color indexed="81"/>
            <rFont val="Tahoma"/>
            <family val="2"/>
          </rPr>
          <t>Bruno Merven:</t>
        </r>
        <r>
          <rPr>
            <sz val="8"/>
            <color indexed="81"/>
            <rFont val="Tahoma"/>
            <family val="2"/>
          </rPr>
          <t xml:space="preserve">
4094 ktons crude oil processed in 2006 from 2009 Sustainability report</t>
        </r>
      </text>
    </comment>
    <comment ref="D59" authorId="2" shapeId="0" xr:uid="{E0AD2418-AC8E-4FDD-B3CF-36272C8E3469}">
      <text>
        <r>
          <rPr>
            <b/>
            <sz val="8"/>
            <color indexed="81"/>
            <rFont val="Tahoma"/>
            <family val="2"/>
          </rPr>
          <t>Fadiel Ahjum:</t>
        </r>
        <r>
          <rPr>
            <sz val="8"/>
            <color indexed="81"/>
            <rFont val="Tahoma"/>
            <family val="2"/>
          </rPr>
          <t xml:space="preserve">
No purchases  recorded in Sustainability report (2018). Previous value: 8,523 TJ</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tc={CAA8026D-EB4C-408C-BD8C-E74A5F11AF4E}</author>
    <author>Fadiel</author>
  </authors>
  <commentList>
    <comment ref="T50" authorId="0" shapeId="0" xr:uid="{CAA8026D-EB4C-408C-BD8C-E74A5F11AF4E}">
      <text>
        <t>[Threaded comment]
Your version of Excel allows you to read this threaded comment; however, any edits to it will get removed if the file is opened in a newer version of Excel. Learn more: https://go.microsoft.com/fwlink/?linkid=870924
Comment:
    adjusted to match sasol total CO2 direct emissions for 2017 in CC report (2017)</t>
      </text>
    </comment>
    <comment ref="P51" authorId="1" shapeId="0" xr:uid="{8F3CA143-2DD0-4E92-8D2D-B10106E46CEF}">
      <text>
        <r>
          <rPr>
            <b/>
            <sz val="9"/>
            <color indexed="81"/>
            <rFont val="Tahoma"/>
            <family val="2"/>
          </rPr>
          <t>Fadiel:</t>
        </r>
        <r>
          <rPr>
            <sz val="9"/>
            <color indexed="81"/>
            <rFont val="Tahoma"/>
            <family val="2"/>
          </rPr>
          <t xml:space="preserve">
CO2 value stated
</t>
        </r>
      </text>
    </comment>
    <comment ref="C94" authorId="1" shapeId="0" xr:uid="{E7392E39-9208-498B-91AF-DF3D2579FAAA}">
      <text>
        <r>
          <rPr>
            <b/>
            <sz val="9"/>
            <color indexed="81"/>
            <rFont val="Tahoma"/>
            <family val="2"/>
          </rPr>
          <t>Fadiel:</t>
        </r>
        <r>
          <rPr>
            <sz val="9"/>
            <color indexed="81"/>
            <rFont val="Tahoma"/>
            <family val="2"/>
          </rPr>
          <t xml:space="preserve">
261403 TJ : Sustainability Report 2018</t>
        </r>
      </text>
    </comment>
  </commentList>
</comments>
</file>

<file path=xl/sharedStrings.xml><?xml version="1.0" encoding="utf-8"?>
<sst xmlns="http://schemas.openxmlformats.org/spreadsheetml/2006/main" count="2222" uniqueCount="918">
  <si>
    <t>~FI_Process</t>
  </si>
  <si>
    <t>TechName</t>
  </si>
  <si>
    <t>TechDesc</t>
  </si>
  <si>
    <t>Tact</t>
  </si>
  <si>
    <t>Tcap</t>
  </si>
  <si>
    <t>Tslvl</t>
  </si>
  <si>
    <t>Sets</t>
  </si>
  <si>
    <t>Refinery Tech Declaration</t>
  </si>
  <si>
    <t>sapref</t>
  </si>
  <si>
    <t>enref</t>
  </si>
  <si>
    <t>PJa</t>
  </si>
  <si>
    <t>bbl</t>
  </si>
  <si>
    <t>(2017 FY made a loss of R2bill)</t>
  </si>
  <si>
    <t>PetroSA</t>
  </si>
  <si>
    <t>(Incl. Upstream or crude margin)</t>
  </si>
  <si>
    <t>Secunda</t>
  </si>
  <si>
    <t>Sapref</t>
  </si>
  <si>
    <t>Natref</t>
  </si>
  <si>
    <t>Enref</t>
  </si>
  <si>
    <t>Chevref</t>
  </si>
  <si>
    <t>ZAR mill p.a.</t>
  </si>
  <si>
    <t>$ mill p.a.</t>
  </si>
  <si>
    <t>$ 000/cd</t>
  </si>
  <si>
    <t>$/bbl</t>
  </si>
  <si>
    <t>000 bbl/cd</t>
  </si>
  <si>
    <t>000 bbl/sd</t>
  </si>
  <si>
    <t>Value Add</t>
  </si>
  <si>
    <t>margin</t>
  </si>
  <si>
    <t>produced</t>
  </si>
  <si>
    <t>run</t>
  </si>
  <si>
    <t>% Util</t>
  </si>
  <si>
    <t>Crude rate</t>
  </si>
  <si>
    <t>Gross Ref</t>
  </si>
  <si>
    <t>Prod</t>
  </si>
  <si>
    <t>Crude</t>
  </si>
  <si>
    <t>Design</t>
  </si>
  <si>
    <t>R/$ =</t>
  </si>
  <si>
    <t>Refinery sector value add</t>
  </si>
  <si>
    <t>From Dave Wright</t>
  </si>
  <si>
    <t>TJ/a</t>
    <phoneticPr fontId="0" type="noConversion"/>
  </si>
  <si>
    <t>TJ/tonne</t>
    <phoneticPr fontId="0" type="noConversion"/>
  </si>
  <si>
    <t>bbl/tonne</t>
  </si>
  <si>
    <t>bbl/a</t>
    <phoneticPr fontId="0" type="noConversion"/>
  </si>
  <si>
    <t>Refinery Retirement Profile</t>
  </si>
  <si>
    <t>https://africa.com/repurposing-south-africas-refineries/</t>
  </si>
  <si>
    <t>TOTAL TJ</t>
    <phoneticPr fontId="0" type="noConversion"/>
  </si>
  <si>
    <t>ICCT (2019)</t>
  </si>
  <si>
    <t>Refinery</t>
  </si>
  <si>
    <t>Solvents</t>
  </si>
  <si>
    <t>Power paraffin</t>
  </si>
  <si>
    <r>
      <t>Mogas 97</t>
    </r>
    <r>
      <rPr>
        <vertAlign val="superscript"/>
        <sz val="10"/>
        <rFont val="Arial"/>
        <family val="2"/>
      </rPr>
      <t>3</t>
    </r>
  </si>
  <si>
    <r>
      <t>Mogas 95</t>
    </r>
    <r>
      <rPr>
        <vertAlign val="superscript"/>
        <sz val="10"/>
        <rFont val="Arial"/>
        <family val="2"/>
      </rPr>
      <t>4</t>
    </r>
  </si>
  <si>
    <r>
      <t>Mogas 93</t>
    </r>
    <r>
      <rPr>
        <vertAlign val="superscript"/>
        <sz val="10"/>
        <rFont val="Arial"/>
        <family val="2"/>
      </rPr>
      <t>5</t>
    </r>
  </si>
  <si>
    <r>
      <t>Mogas 91</t>
    </r>
    <r>
      <rPr>
        <vertAlign val="superscript"/>
        <sz val="10"/>
        <rFont val="Arial"/>
        <family val="2"/>
      </rPr>
      <t>6</t>
    </r>
  </si>
  <si>
    <t>Lube oil feedstock</t>
  </si>
  <si>
    <t>LPG</t>
  </si>
  <si>
    <t>Kerosene/jet fuel</t>
  </si>
  <si>
    <t>Gas</t>
  </si>
  <si>
    <t>Fuel oil sales</t>
  </si>
  <si>
    <t>SAPREF, 2006. Sustainability in Focus Report, [Online], http://www.sapref.co.za/news%20publications/publications/stakeholder2006.pdf</t>
  </si>
  <si>
    <t>Diesel</t>
  </si>
  <si>
    <t>Reece, M, 2004. Proposal for Oil Densities, Special Issue Paper 9, Energy Statistics Working Group Meeting, Energy Statistics Division, 16-17 November, International Energy Agency, Paris</t>
  </si>
  <si>
    <t>Chemical naphtha</t>
  </si>
  <si>
    <t>Pavlinovic, P, 2011. Power Kerosene Recipes, Steam &amp; Engine of Australia, [Online], http://www.steamengine.com.au/index.php/ic/faq/173-power-kerosene-recipies</t>
  </si>
  <si>
    <t>Bitumen/asphalt</t>
  </si>
  <si>
    <t>Kaye &amp; Laby, 2011. Tables of Physical &amp; Chemical constants, National Physical Laboratory, [Online], http://www.kayelaby.npl.co.uk/chemistry/3_11/3_11_4.html</t>
  </si>
  <si>
    <t>Avgas</t>
  </si>
  <si>
    <t>Engineering Toolbox, 2011. Fuels - Densities and specific volumes, [Online], http://www.engineeringtoolbox.com/fuels-densities-specific-volumes-d_166.html</t>
  </si>
  <si>
    <t>m3/a</t>
    <phoneticPr fontId="0" type="noConversion"/>
  </si>
  <si>
    <t>kJ/m3</t>
    <phoneticPr fontId="0" type="noConversion"/>
  </si>
  <si>
    <t xml:space="preserve">All 1997 data from Lloyd, PJD, 2001. The South African Petroleum Industry: A Review, Energy Research Institute, University of Cape Town
</t>
  </si>
  <si>
    <t>gas input</t>
  </si>
  <si>
    <t>References and footnotes</t>
  </si>
  <si>
    <t>TOTALS</t>
    <phoneticPr fontId="0" type="noConversion"/>
  </si>
  <si>
    <t>Pavlinovic, 2011</t>
  </si>
  <si>
    <t>DME, 2005</t>
  </si>
  <si>
    <t>Reece, 2004</t>
  </si>
  <si>
    <t>Kaye &amp; Laby, 2011</t>
  </si>
  <si>
    <t>Engineering Toolbox, 2011</t>
  </si>
  <si>
    <t>References</t>
  </si>
  <si>
    <t>Energy flow Inland refineries (TJ/year)</t>
  </si>
  <si>
    <t>Massflow inland (tpa)</t>
    <phoneticPr fontId="0" type="noConversion"/>
  </si>
  <si>
    <r>
      <t>Volumetric flow (m</t>
    </r>
    <r>
      <rPr>
        <b/>
        <vertAlign val="superscript"/>
        <sz val="10"/>
        <rFont val="Arial"/>
        <family val="2"/>
      </rPr>
      <t>3</t>
    </r>
    <r>
      <rPr>
        <b/>
        <sz val="10"/>
        <rFont val="Arial"/>
        <family val="2"/>
      </rPr>
      <t>pa) - inland refineries</t>
    </r>
  </si>
  <si>
    <t>Energy density (kJ/kg)</t>
  </si>
  <si>
    <r>
      <t>Mass density (kg/m</t>
    </r>
    <r>
      <rPr>
        <vertAlign val="superscript"/>
        <sz val="10"/>
        <rFont val="Arial"/>
        <family val="2"/>
      </rPr>
      <t>3</t>
    </r>
    <r>
      <rPr>
        <sz val="10"/>
        <rFont val="Arial"/>
        <family val="2"/>
      </rPr>
      <t>)</t>
    </r>
  </si>
  <si>
    <r>
      <t>Products, m</t>
    </r>
    <r>
      <rPr>
        <b/>
        <vertAlign val="superscript"/>
        <sz val="10"/>
        <rFont val="Arial"/>
        <family val="2"/>
      </rPr>
      <t>3</t>
    </r>
    <r>
      <rPr>
        <b/>
        <sz val="10"/>
        <rFont val="Arial"/>
        <family val="2"/>
      </rPr>
      <t>/year</t>
    </r>
  </si>
  <si>
    <t>Availability</t>
  </si>
  <si>
    <t>d/y</t>
  </si>
  <si>
    <t>Plant availability</t>
  </si>
  <si>
    <t>Average S.G</t>
  </si>
  <si>
    <t>Efficiency</t>
  </si>
  <si>
    <t>SAPREF, 2006</t>
  </si>
  <si>
    <t>tpd</t>
  </si>
  <si>
    <t>Crude TJ</t>
  </si>
  <si>
    <t>SAPIA, 2006</t>
  </si>
  <si>
    <t>bbl/d</t>
  </si>
  <si>
    <t>Crude mton</t>
  </si>
  <si>
    <t>m³/yr</t>
  </si>
  <si>
    <t>Feed (Crude)</t>
  </si>
  <si>
    <t>Crude input</t>
  </si>
  <si>
    <t>Methane Rich Gas Input</t>
  </si>
  <si>
    <t>NATREF</t>
  </si>
  <si>
    <t>ENREF</t>
  </si>
  <si>
    <t>SAPREF</t>
  </si>
  <si>
    <t>CHEVREF</t>
  </si>
  <si>
    <t>Elc Input (TJ)</t>
  </si>
  <si>
    <t>Inland</t>
  </si>
  <si>
    <t xml:space="preserve"> </t>
  </si>
  <si>
    <t>Coastal</t>
  </si>
  <si>
    <t>: CF2 investment with no new refinery</t>
  </si>
  <si>
    <t>Otherwise  in  SUPREF_CF2R with Constant CAP_BND with base year value  until 2050</t>
  </si>
  <si>
    <t xml:space="preserve">: no CF2 investment no new refinery capacity and </t>
  </si>
  <si>
    <t>Need to run the above configuration in SUPREF_CF2 with New Refinery as Discrete Unit Invesment</t>
  </si>
  <si>
    <t>NCAP_BND</t>
  </si>
  <si>
    <t>UREFOCRCO-E</t>
  </si>
  <si>
    <t>CAP_BND</t>
  </si>
  <si>
    <t>PRC_RESID</t>
  </si>
  <si>
    <t>UREFOCRIN-E</t>
  </si>
  <si>
    <t>inland (PJ)</t>
  </si>
  <si>
    <t>Residual Capacity</t>
  </si>
  <si>
    <t>coastal (PJ)</t>
  </si>
  <si>
    <t>CF2 flexi retirement schedule</t>
  </si>
  <si>
    <t>NCAP_FOM (FGD:semi-dry;pipeline)</t>
  </si>
  <si>
    <t>ACT_COST</t>
  </si>
  <si>
    <t>NCAP_FOM</t>
  </si>
  <si>
    <t>UCTLCLEIN-N-A</t>
  </si>
  <si>
    <t>2015zar</t>
  </si>
  <si>
    <t>2010zar</t>
  </si>
  <si>
    <t xml:space="preserve">WaterBerg CTL Pipeline </t>
  </si>
  <si>
    <t>annualised FOM</t>
  </si>
  <si>
    <t>NCAP_COST (mR/PJ.a)</t>
  </si>
  <si>
    <t>UREFOCRCO-N</t>
  </si>
  <si>
    <t>or divide by</t>
  </si>
  <si>
    <t>multipy by</t>
  </si>
  <si>
    <t>Conversion factor</t>
  </si>
  <si>
    <t>WFGD</t>
  </si>
  <si>
    <t>semi-dry CFB-FGD</t>
  </si>
  <si>
    <t>m3/GJ or Mm3/PJ</t>
  </si>
  <si>
    <t>Mm3/a</t>
  </si>
  <si>
    <t>OM mR/PJ/yr</t>
  </si>
  <si>
    <t>CAPEX (2010 ZAR) mR/PJ/a</t>
  </si>
  <si>
    <t>Rands</t>
  </si>
  <si>
    <t>Year to Convert to</t>
  </si>
  <si>
    <t>utlisation</t>
  </si>
  <si>
    <t>Plant Life</t>
  </si>
  <si>
    <t>CRF</t>
  </si>
  <si>
    <t>New CTL FGD</t>
  </si>
  <si>
    <t>Year to Convert from</t>
  </si>
  <si>
    <t>FOM %</t>
  </si>
  <si>
    <t>USD rate</t>
  </si>
  <si>
    <t>UREFOCR*-E</t>
  </si>
  <si>
    <t xml:space="preserve">Euro 5 </t>
  </si>
  <si>
    <t xml:space="preserve">CF2 </t>
  </si>
  <si>
    <t>Steynberg&amp;Dry2004] Fischer-Tropsch Technology, Edited by Andre Steynberg (SASOL, Sasolburg,
South Afric) and Mark Dry (University of Cape Town, South Africa), Studies in Surface Science and
Catalysis, Vol. 152, Elsevier, 2004.</t>
  </si>
  <si>
    <t>[1] The total production is 1,020,000 tons per year</t>
  </si>
  <si>
    <t>fuel oil</t>
  </si>
  <si>
    <t>PetroSA, 2007. Operations Review, Annual Report, [Online], http://www.petrosa.co.za/AR20062007/09_ooperations_review.html</t>
  </si>
  <si>
    <t>alcohols</t>
  </si>
  <si>
    <t>distillates</t>
  </si>
  <si>
    <t>lpg</t>
  </si>
  <si>
    <t>kero</t>
  </si>
  <si>
    <t>Chevron, 2006, Aviation Fuels Technical Review, [Online], http://www.chevronglobalaviation.com/docs/aviation_tech_review.pdf</t>
  </si>
  <si>
    <t>petrol</t>
  </si>
  <si>
    <t>BFIN, 2001. Bioenergy Conversion Factors, Bioenergy Feedstock Information Network, [Online], http://bioenergy.ornl.gov/papers/misc/energy_conv.html</t>
  </si>
  <si>
    <t>diesel</t>
  </si>
  <si>
    <t>TJ Vol (tch_sup)</t>
  </si>
  <si>
    <t>TJ Mass (tch_sup)</t>
  </si>
  <si>
    <t>TJ mass [1]</t>
  </si>
  <si>
    <t>petrosa (2012)</t>
  </si>
  <si>
    <t>Mogas 97</t>
  </si>
  <si>
    <t>Mogas 95</t>
  </si>
  <si>
    <t>Mogas 93</t>
  </si>
  <si>
    <t>Mogas 91</t>
  </si>
  <si>
    <t>Chevron, 2006</t>
  </si>
  <si>
    <t>BFIN, 2011</t>
  </si>
  <si>
    <t xml:space="preserve">Fuel alcohols  </t>
  </si>
  <si>
    <t>Energy flow (TJ/year)</t>
  </si>
  <si>
    <t>Massflow (tpa)</t>
  </si>
  <si>
    <r>
      <t>Volflow (m</t>
    </r>
    <r>
      <rPr>
        <b/>
        <vertAlign val="superscript"/>
        <sz val="10"/>
        <rFont val="Arial"/>
        <family val="2"/>
      </rPr>
      <t>3</t>
    </r>
    <r>
      <rPr>
        <b/>
        <sz val="10"/>
        <rFont val="Arial"/>
        <family val="2"/>
      </rPr>
      <t>pa)</t>
    </r>
  </si>
  <si>
    <t>Sasol</t>
  </si>
  <si>
    <t>Mossgas</t>
  </si>
  <si>
    <t>PetroSA, 2007</t>
  </si>
  <si>
    <t>MMbbl</t>
  </si>
  <si>
    <t>Production</t>
  </si>
  <si>
    <t>Energy density</t>
  </si>
  <si>
    <t>Feed oil equivalent</t>
  </si>
  <si>
    <t>N/A</t>
  </si>
  <si>
    <t>tpa</t>
  </si>
  <si>
    <t>Feed coal</t>
  </si>
  <si>
    <t>Feed gas</t>
  </si>
  <si>
    <t>SASOL</t>
  </si>
  <si>
    <t>Analyst Book - fuels and chemicals split from the Sasol website</t>
  </si>
  <si>
    <t>Electricity Exports: from 2010 OCGT's -&gt; CCGT 2011 - check CDM report</t>
  </si>
  <si>
    <t>HFO all goes to Natref for combustion</t>
  </si>
  <si>
    <t>TJ</t>
  </si>
  <si>
    <t>Non Energy Gas Consumption</t>
  </si>
  <si>
    <t>CO2 Content (kt)</t>
  </si>
  <si>
    <t>Other</t>
  </si>
  <si>
    <t>HFO</t>
  </si>
  <si>
    <t>Jet Fuel</t>
  </si>
  <si>
    <t>CO2 Emissions (kt)</t>
  </si>
  <si>
    <t>Gasoline</t>
  </si>
  <si>
    <t>Combustion Emiss. Factor (t/TJ)</t>
  </si>
  <si>
    <t>35 MW</t>
  </si>
  <si>
    <t>Crude Oil input</t>
  </si>
  <si>
    <t>Purchased Steam</t>
  </si>
  <si>
    <t>kt CO2</t>
  </si>
  <si>
    <t>GWh</t>
  </si>
  <si>
    <t>Electricity needs (GWh)</t>
  </si>
  <si>
    <t>Ignore for now</t>
  </si>
  <si>
    <t>MW</t>
  </si>
  <si>
    <t>Heating needs (TJ)</t>
  </si>
  <si>
    <t>Natref Heating needs (TJ)</t>
  </si>
  <si>
    <t>1.27mtons of steam</t>
  </si>
  <si>
    <t>Sasol Facts</t>
  </si>
  <si>
    <t>Ethelyne, propylene, solvents (e.g. acetone) 80% exported and monomers (35-40% of input goes to chemical products)</t>
  </si>
  <si>
    <t>NH3 output</t>
  </si>
  <si>
    <t>Methane CO2 eq (kt)</t>
  </si>
  <si>
    <t>Sasolburg more efficient than Secunda</t>
  </si>
  <si>
    <t>efficiency</t>
  </si>
  <si>
    <t>Syngas Production Emission Factor</t>
  </si>
  <si>
    <t>ton/MJ</t>
  </si>
  <si>
    <t>Co2 content per MJ of coal</t>
  </si>
  <si>
    <t>Coal Consumption (TJ)</t>
  </si>
  <si>
    <t>tons/MJ</t>
  </si>
  <si>
    <t>CO2 content per MJ of steam</t>
  </si>
  <si>
    <t>Steam needs (TJ)</t>
  </si>
  <si>
    <t>MJ/ton</t>
  </si>
  <si>
    <t>Energy content of steam</t>
  </si>
  <si>
    <t>.35 tons Co2 per tons of steam</t>
  </si>
  <si>
    <t>Sasol1</t>
  </si>
  <si>
    <t>Syngas Consumption (TJ)</t>
  </si>
  <si>
    <t>Syngas Output (TJ)</t>
  </si>
  <si>
    <t>t CO2</t>
  </si>
  <si>
    <t>1 MJ of steam</t>
  </si>
  <si>
    <t>Sasol FT Synthesis</t>
  </si>
  <si>
    <t>Sasol Syngas Production</t>
  </si>
  <si>
    <t>gas input reformer</t>
  </si>
  <si>
    <t>.35 tons CO2</t>
  </si>
  <si>
    <t>2627 MJ of steam</t>
  </si>
  <si>
    <t>Process emissions from synfuel process 23.5 mtons CO2 + 353kt CH4</t>
  </si>
  <si>
    <t>1 ton of steam</t>
  </si>
  <si>
    <t>CO2</t>
  </si>
  <si>
    <t>Heat output (TJ)</t>
  </si>
  <si>
    <t>Gas consumption</t>
  </si>
  <si>
    <t>Elc output (GWh)</t>
  </si>
  <si>
    <t>Electricity (GWh)</t>
  </si>
  <si>
    <t>Gas input (TJ)</t>
  </si>
  <si>
    <t>Total emissions assuming 140MW running 8760 hrs: 550</t>
  </si>
  <si>
    <t>Efficiency (CHP)</t>
  </si>
  <si>
    <t>Natural Gas Imports</t>
  </si>
  <si>
    <t>Generate reduction cost curve from standard approaches - that can be circulated to Sasol</t>
  </si>
  <si>
    <t>Gas Engines</t>
  </si>
  <si>
    <t>Syngas and chemicals</t>
  </si>
  <si>
    <t>Co-gen Capacity (MW)</t>
  </si>
  <si>
    <t>15% reduction in intensity for utilities</t>
  </si>
  <si>
    <t xml:space="preserve"> Elc Capacity (MW)</t>
  </si>
  <si>
    <t>Sasol Gas Co-Gen</t>
  </si>
  <si>
    <t>4Mton CO2 reduction potential on EE mainly coming from synfuel</t>
  </si>
  <si>
    <t>52.4 PJ goes to export (of 19.6 is synthetic</t>
  </si>
  <si>
    <t>Exports of Gas to others for combustion</t>
  </si>
  <si>
    <t>4.4 PJ</t>
  </si>
  <si>
    <t>Gas consumption for energy use/combustion: Check DOE document</t>
  </si>
  <si>
    <t>Elc Efficiency</t>
  </si>
  <si>
    <t>Exports of Coal: Check coal balance from Analyst booklet</t>
  </si>
  <si>
    <t>Coal Boilers</t>
  </si>
  <si>
    <t>Consumption of crude oil and Fuel oil</t>
  </si>
  <si>
    <t>Still missing in picture:</t>
  </si>
  <si>
    <t>23% of steam goes to power generation</t>
  </si>
  <si>
    <t>Process</t>
  </si>
  <si>
    <t>Being checked</t>
  </si>
  <si>
    <t>Sum of purch elc and stm</t>
  </si>
  <si>
    <t>Coal Mining</t>
  </si>
  <si>
    <t>Sasol GHG Emissions Data</t>
  </si>
  <si>
    <t>Indirect Emissions (kt)</t>
  </si>
  <si>
    <t>Coal input (TJ)</t>
  </si>
  <si>
    <t>Coal Steam</t>
  </si>
  <si>
    <t>Sum of GHG inv + coal cons.</t>
  </si>
  <si>
    <t>elc</t>
  </si>
  <si>
    <t>Direct emissions (kt)</t>
  </si>
  <si>
    <t>linked to gold mining</t>
  </si>
  <si>
    <t>Cyanide</t>
  </si>
  <si>
    <t>Sasol Coal Power Gen</t>
  </si>
  <si>
    <t>Sasol SR:</t>
  </si>
  <si>
    <t>linked to water purification</t>
  </si>
  <si>
    <t>Electrolysis</t>
  </si>
  <si>
    <t>NERSA ESI Stats:</t>
  </si>
  <si>
    <t>Elc generation (GWh)</t>
  </si>
  <si>
    <t>Other process Elc</t>
  </si>
  <si>
    <t>Other motive</t>
  </si>
  <si>
    <t>Material Coal use</t>
  </si>
  <si>
    <t>Pumping</t>
  </si>
  <si>
    <t>Sum of oil Products</t>
  </si>
  <si>
    <t>Products vs coal use (TJ)</t>
  </si>
  <si>
    <t>Compressed Air</t>
  </si>
  <si>
    <t>Sasol Co-Gen SSF</t>
  </si>
  <si>
    <t>HVAC</t>
  </si>
  <si>
    <t>Sum of coal cosumption</t>
  </si>
  <si>
    <t>Fans</t>
  </si>
  <si>
    <t>DOE Energy Balance</t>
  </si>
  <si>
    <t>Coal use (TJ/Mt)</t>
  </si>
  <si>
    <t>Discrepensies:</t>
  </si>
  <si>
    <t>Lighting</t>
  </si>
  <si>
    <t>Munic Distribution (GWh)</t>
  </si>
  <si>
    <t>Sasol Chemicals Other Electricity (GWh)</t>
  </si>
  <si>
    <t>Combustion Emiss. Factor (t/GWh)</t>
  </si>
  <si>
    <t>Net Eskom (GWh)</t>
  </si>
  <si>
    <t>Coal</t>
  </si>
  <si>
    <t>Calculated</t>
  </si>
  <si>
    <t>2% international, 6.5% goes to mining, 24% chemicals, 63.5% synfuels, 4% Natref using Indirect CO2 table)</t>
  </si>
  <si>
    <t>Heat</t>
  </si>
  <si>
    <t>Estimated/Guessed</t>
  </si>
  <si>
    <t>Electricity</t>
  </si>
  <si>
    <t>Referenced value</t>
  </si>
  <si>
    <t>Key</t>
  </si>
  <si>
    <t>Energy System for Sasol in 2006</t>
  </si>
  <si>
    <t xml:space="preserve">Coal </t>
  </si>
  <si>
    <t>tCO2eq/MWh</t>
  </si>
  <si>
    <t xml:space="preserve">Combustion Emiss. Factor </t>
  </si>
  <si>
    <t>TAR</t>
  </si>
  <si>
    <t>SAR</t>
  </si>
  <si>
    <t>ch4</t>
  </si>
  <si>
    <t>N20</t>
  </si>
  <si>
    <t>GWPs</t>
  </si>
  <si>
    <r>
      <rPr>
        <b/>
        <sz val="8"/>
        <color rgb="FF231F20"/>
        <rFont val="Arial"/>
        <family val="2"/>
      </rPr>
      <t>Satellite Operations, Strategic Business Units and Functions</t>
    </r>
  </si>
  <si>
    <r>
      <rPr>
        <b/>
        <sz val="8"/>
        <color rgb="FF231F20"/>
        <rFont val="Arial"/>
        <family val="2"/>
      </rPr>
      <t>Mozambique</t>
    </r>
  </si>
  <si>
    <r>
      <rPr>
        <b/>
        <sz val="8"/>
        <color rgb="FF231F20"/>
        <rFont val="Arial"/>
        <family val="2"/>
      </rPr>
      <t>North America</t>
    </r>
  </si>
  <si>
    <r>
      <rPr>
        <b/>
        <sz val="8"/>
        <color rgb="FF231F20"/>
        <rFont val="Arial"/>
        <family val="2"/>
      </rPr>
      <t>1 242</t>
    </r>
  </si>
  <si>
    <r>
      <rPr>
        <b/>
        <sz val="8"/>
        <color rgb="FF231F20"/>
        <rFont val="Arial"/>
        <family val="2"/>
      </rPr>
      <t>1 338</t>
    </r>
  </si>
  <si>
    <r>
      <rPr>
        <b/>
        <sz val="8"/>
        <color rgb="FF231F20"/>
        <rFont val="Arial"/>
        <family val="2"/>
      </rPr>
      <t>1 340</t>
    </r>
  </si>
  <si>
    <r>
      <rPr>
        <b/>
        <sz val="8"/>
        <color rgb="FF231F20"/>
        <rFont val="Arial"/>
        <family val="2"/>
      </rPr>
      <t>Eurasia</t>
    </r>
  </si>
  <si>
    <r>
      <rPr>
        <b/>
        <sz val="8"/>
        <color rgb="FF231F20"/>
        <rFont val="Arial"/>
        <family val="2"/>
      </rPr>
      <t>Natref</t>
    </r>
  </si>
  <si>
    <r>
      <rPr>
        <b/>
        <sz val="8"/>
        <color rgb="FF231F20"/>
        <rFont val="Arial"/>
        <family val="2"/>
      </rPr>
      <t>1 199</t>
    </r>
  </si>
  <si>
    <r>
      <rPr>
        <b/>
        <sz val="8"/>
        <color rgb="FF231F20"/>
        <rFont val="Arial"/>
        <family val="2"/>
      </rPr>
      <t>1 166</t>
    </r>
  </si>
  <si>
    <r>
      <rPr>
        <b/>
        <sz val="8"/>
        <color rgb="FF231F20"/>
        <rFont val="Arial"/>
        <family val="2"/>
      </rPr>
      <t>1 038</t>
    </r>
  </si>
  <si>
    <r>
      <rPr>
        <b/>
        <sz val="8"/>
        <color rgb="FF231F20"/>
        <rFont val="Arial"/>
        <family val="2"/>
      </rPr>
      <t>Mining</t>
    </r>
  </si>
  <si>
    <r>
      <rPr>
        <b/>
        <sz val="8"/>
        <color rgb="FF231F20"/>
        <rFont val="Arial"/>
        <family val="2"/>
      </rPr>
      <t>Sasolburg</t>
    </r>
  </si>
  <si>
    <r>
      <rPr>
        <b/>
        <sz val="8"/>
        <color rgb="FF231F20"/>
        <rFont val="Arial"/>
        <family val="2"/>
      </rPr>
      <t>5 947</t>
    </r>
  </si>
  <si>
    <r>
      <rPr>
        <b/>
        <sz val="8"/>
        <color rgb="FF231F20"/>
        <rFont val="Arial"/>
        <family val="2"/>
      </rPr>
      <t>5 763</t>
    </r>
  </si>
  <si>
    <r>
      <rPr>
        <b/>
        <sz val="8"/>
        <color rgb="FF231F20"/>
        <rFont val="Arial"/>
        <family val="2"/>
      </rPr>
      <t>5 483</t>
    </r>
  </si>
  <si>
    <r>
      <rPr>
        <b/>
        <sz val="8"/>
        <color rgb="FF231F20"/>
        <rFont val="Arial"/>
        <family val="2"/>
      </rPr>
      <t>Secunda</t>
    </r>
  </si>
  <si>
    <r>
      <rPr>
        <b/>
        <sz val="8"/>
        <color rgb="FF231F20"/>
        <rFont val="Arial"/>
        <family val="2"/>
      </rPr>
      <t>58 633</t>
    </r>
  </si>
  <si>
    <r>
      <rPr>
        <b/>
        <sz val="8"/>
        <color rgb="FF231F20"/>
        <rFont val="Arial"/>
        <family val="2"/>
      </rPr>
      <t>57 586</t>
    </r>
  </si>
  <si>
    <t>total</t>
  </si>
  <si>
    <r>
      <rPr>
        <b/>
        <sz val="8"/>
        <color rgb="FF003862"/>
        <rFont val="Arial"/>
        <family val="2"/>
      </rPr>
      <t>Total greenhouse gas (CO</t>
    </r>
    <r>
      <rPr>
        <b/>
        <vertAlign val="subscript"/>
        <sz val="4.5"/>
        <color rgb="FF003862"/>
        <rFont val="Arial"/>
        <family val="2"/>
      </rPr>
      <t xml:space="preserve">2  </t>
    </r>
    <r>
      <rPr>
        <b/>
        <sz val="8"/>
        <color rgb="FF003862"/>
        <rFont val="Arial"/>
        <family val="2"/>
      </rPr>
      <t>equivalent)</t>
    </r>
  </si>
  <si>
    <r>
      <rPr>
        <b/>
        <sz val="8"/>
        <color rgb="FF231F20"/>
        <rFont val="Arial"/>
        <family val="2"/>
      </rPr>
      <t>Footnote</t>
    </r>
  </si>
  <si>
    <r>
      <rPr>
        <b/>
        <sz val="9"/>
        <color rgb="FF007DB6"/>
        <rFont val="Arial"/>
        <family val="2"/>
      </rPr>
      <t xml:space="preserve">32    </t>
    </r>
    <r>
      <rPr>
        <b/>
        <vertAlign val="superscript"/>
        <sz val="8"/>
        <color rgb="FF231F20"/>
        <rFont val="Arial"/>
        <family val="2"/>
      </rPr>
      <t>Sasol Climate Change Report 2019</t>
    </r>
  </si>
  <si>
    <r>
      <rPr>
        <b/>
        <sz val="11"/>
        <color rgb="FF231F20"/>
        <rFont val="Arial"/>
        <family val="2"/>
      </rPr>
      <t>Footnotes
1.     Production – external sales – The boundaries of this figure only include a product that is destined for sale to Sasol customers, and does not include a product utilised or sold between the Sasol Group of companies. Stable production was experienced at Natref and resulted in increased production for external sale as compared to last year, in which planned shutdowns occurred.
2.     Greenhouse gas (GHG) emissions have been calculated and reported in accordance with the GHG Protocol (www.ghgprotocol.org) and the Intergovernmental Panel on Climate Change (IPCC) 2006 Guidelines. In our GHG measurements, in which included 100% of the emissions for the following joint ventures (JVs): Natref in South Africa and Sasol Exploration &amp; Production International. Data for those JVs where we do not have a significant influence or operational control is not included. An external assurance
provider has once again independently verified our direct and indirect emissions levels. Our GHG emission intensity (tons CO</t>
    </r>
    <r>
      <rPr>
        <b/>
        <vertAlign val="subscript"/>
        <sz val="11"/>
        <color rgb="FF231F20"/>
        <rFont val="Arial"/>
        <family val="2"/>
      </rPr>
      <t>2</t>
    </r>
    <r>
      <rPr>
        <b/>
        <sz val="11"/>
        <color rgb="FF231F20"/>
        <rFont val="Arial"/>
        <family val="2"/>
      </rPr>
      <t>e per ton of production – external sales) decreased to 3,61 in 2019 from 3,78 in 2018, due to an increase in the production – meant for external sale and a decrease in total GHG CO</t>
    </r>
    <r>
      <rPr>
        <b/>
        <vertAlign val="subscript"/>
        <sz val="11"/>
        <color rgb="FF231F20"/>
        <rFont val="Arial"/>
        <family val="2"/>
      </rPr>
      <t>2</t>
    </r>
    <r>
      <rPr>
        <b/>
        <sz val="11"/>
        <color rgb="FF231F20"/>
        <rFont val="Arial"/>
        <family val="2"/>
      </rPr>
      <t>e.
3.     The reduced indirect CO</t>
    </r>
    <r>
      <rPr>
        <b/>
        <vertAlign val="subscript"/>
        <sz val="11"/>
        <color rgb="FF231F20"/>
        <rFont val="Arial"/>
        <family val="2"/>
      </rPr>
      <t xml:space="preserve">2  </t>
    </r>
    <r>
      <rPr>
        <b/>
        <sz val="11"/>
        <color rgb="FF231F20"/>
        <rFont val="Arial"/>
        <family val="2"/>
      </rPr>
      <t>Scope 2 emissions for this year are as a result of the Secunda Synfuels Operations total shutdown in September 2018, as well as less electricity purchased by Sasolburg Operations following increased own electricity generation.
4.     Indirect carbon dioxide (CO</t>
    </r>
    <r>
      <rPr>
        <b/>
        <vertAlign val="subscript"/>
        <sz val="11"/>
        <color rgb="FF231F20"/>
        <rFont val="Arial"/>
        <family val="2"/>
      </rPr>
      <t>2</t>
    </r>
    <r>
      <rPr>
        <b/>
        <sz val="11"/>
        <color rgb="FF231F20"/>
        <rFont val="Arial"/>
        <family val="2"/>
      </rPr>
      <t>) Scope 3 includes only the emissions as a result of the charter flights to Vilanculos, Mozambique, where our Central Processing Facility is located. These flights have been discontinued resulting in the significant decrease in these Scope 3 emissions. Our other categories of Scope 3 emissions can be found on page 11 and
in our CDP submission available at www.sasol.com.</t>
    </r>
  </si>
  <si>
    <r>
      <rPr>
        <b/>
        <sz val="8"/>
        <color rgb="FF231F20"/>
        <rFont val="Arial"/>
        <family val="2"/>
      </rPr>
      <t>0,26</t>
    </r>
  </si>
  <si>
    <r>
      <rPr>
        <b/>
        <sz val="8"/>
        <color rgb="FF231F20"/>
        <rFont val="Arial"/>
        <family val="2"/>
      </rPr>
      <t>0,11</t>
    </r>
  </si>
  <si>
    <r>
      <rPr>
        <b/>
        <sz val="8"/>
        <color rgb="FF231F20"/>
        <rFont val="Arial"/>
        <family val="2"/>
      </rPr>
      <t>0,13</t>
    </r>
  </si>
  <si>
    <r>
      <rPr>
        <b/>
        <sz val="8"/>
        <color rgb="FF231F20"/>
        <rFont val="Arial"/>
        <family val="2"/>
      </rPr>
      <t>4,38</t>
    </r>
  </si>
  <si>
    <r>
      <rPr>
        <b/>
        <sz val="8"/>
        <color rgb="FF231F20"/>
        <rFont val="Arial"/>
        <family val="2"/>
      </rPr>
      <t>4,08</t>
    </r>
  </si>
  <si>
    <r>
      <rPr>
        <b/>
        <sz val="8"/>
        <color rgb="FF231F20"/>
        <rFont val="Arial"/>
        <family val="2"/>
      </rPr>
      <t>4,74</t>
    </r>
  </si>
  <si>
    <r>
      <rPr>
        <b/>
        <sz val="8"/>
        <color rgb="FF231F20"/>
        <rFont val="Arial"/>
        <family val="2"/>
      </rPr>
      <t>4,92</t>
    </r>
  </si>
  <si>
    <r>
      <rPr>
        <b/>
        <sz val="8"/>
        <color rgb="FF231F20"/>
        <rFont val="Arial"/>
        <family val="2"/>
      </rPr>
      <t>1,57</t>
    </r>
  </si>
  <si>
    <r>
      <rPr>
        <b/>
        <sz val="8"/>
        <color rgb="FF231F20"/>
        <rFont val="Arial"/>
        <family val="2"/>
      </rPr>
      <t>1,65</t>
    </r>
  </si>
  <si>
    <r>
      <rPr>
        <b/>
        <sz val="8"/>
        <color rgb="FF231F20"/>
        <rFont val="Arial"/>
        <family val="2"/>
      </rPr>
      <t>1,89</t>
    </r>
  </si>
  <si>
    <r>
      <rPr>
        <b/>
        <sz val="8"/>
        <color rgb="FF231F20"/>
        <rFont val="Arial"/>
        <family val="2"/>
      </rPr>
      <t>2,42</t>
    </r>
  </si>
  <si>
    <r>
      <rPr>
        <b/>
        <sz val="8"/>
        <color rgb="FF231F20"/>
        <rFont val="Arial"/>
        <family val="2"/>
      </rPr>
      <t>0,70</t>
    </r>
  </si>
  <si>
    <r>
      <rPr>
        <b/>
        <sz val="8"/>
        <color rgb="FF231F20"/>
        <rFont val="Arial"/>
        <family val="2"/>
      </rPr>
      <t>0,61</t>
    </r>
  </si>
  <si>
    <r>
      <rPr>
        <b/>
        <sz val="8"/>
        <color rgb="FF231F20"/>
        <rFont val="Arial"/>
        <family val="2"/>
      </rPr>
      <t>0,56</t>
    </r>
  </si>
  <si>
    <r>
      <rPr>
        <b/>
        <sz val="8"/>
        <color rgb="FF231F20"/>
        <rFont val="Arial"/>
        <family val="2"/>
      </rPr>
      <t>0,29</t>
    </r>
  </si>
  <si>
    <r>
      <rPr>
        <b/>
        <sz val="8"/>
        <color rgb="FF231F20"/>
        <rFont val="Arial"/>
        <family val="2"/>
      </rPr>
      <t>0,25</t>
    </r>
  </si>
  <si>
    <r>
      <rPr>
        <b/>
        <sz val="8"/>
        <color rgb="FF231F20"/>
        <rFont val="Arial"/>
        <family val="2"/>
      </rPr>
      <t>0,27</t>
    </r>
  </si>
  <si>
    <r>
      <rPr>
        <b/>
        <sz val="8"/>
        <color rgb="FF231F20"/>
        <rFont val="Arial"/>
        <family val="2"/>
      </rPr>
      <t>4,07</t>
    </r>
  </si>
  <si>
    <r>
      <rPr>
        <b/>
        <sz val="8"/>
        <color rgb="FF231F20"/>
        <rFont val="Arial"/>
        <family val="2"/>
      </rPr>
      <t>3,69</t>
    </r>
  </si>
  <si>
    <r>
      <rPr>
        <b/>
        <sz val="8"/>
        <color rgb="FF231F20"/>
        <rFont val="Arial"/>
        <family val="2"/>
      </rPr>
      <t>3,46</t>
    </r>
  </si>
  <si>
    <r>
      <rPr>
        <b/>
        <sz val="8"/>
        <color rgb="FF231F20"/>
        <rFont val="Arial"/>
        <family val="2"/>
      </rPr>
      <t>3,61</t>
    </r>
  </si>
  <si>
    <r>
      <rPr>
        <b/>
        <sz val="8"/>
        <color rgb="FF231F20"/>
        <rFont val="Arial"/>
        <family val="2"/>
      </rPr>
      <t>8,35</t>
    </r>
  </si>
  <si>
    <r>
      <rPr>
        <b/>
        <sz val="8"/>
        <color rgb="FF231F20"/>
        <rFont val="Arial"/>
        <family val="2"/>
      </rPr>
      <t>8,21</t>
    </r>
  </si>
  <si>
    <r>
      <rPr>
        <b/>
        <sz val="8"/>
        <color rgb="FF231F20"/>
        <rFont val="Arial"/>
        <family val="2"/>
      </rPr>
      <t>8,57</t>
    </r>
  </si>
  <si>
    <r>
      <rPr>
        <b/>
        <sz val="8"/>
        <color rgb="FF231F20"/>
        <rFont val="Arial"/>
        <family val="2"/>
      </rPr>
      <t>8,39</t>
    </r>
  </si>
  <si>
    <r>
      <rPr>
        <b/>
        <sz val="8"/>
        <color rgb="FF231F20"/>
        <rFont val="Arial"/>
        <family val="2"/>
      </rPr>
      <t>Reasonable</t>
    </r>
  </si>
  <si>
    <r>
      <rPr>
        <b/>
        <sz val="8"/>
        <color rgb="FF231F20"/>
        <rFont val="Arial"/>
        <family val="2"/>
      </rPr>
      <t>3,68</t>
    </r>
  </si>
  <si>
    <r>
      <rPr>
        <b/>
        <sz val="8"/>
        <color rgb="FF231F20"/>
        <rFont val="Arial"/>
        <family val="2"/>
      </rPr>
      <t>3,66</t>
    </r>
  </si>
  <si>
    <r>
      <rPr>
        <b/>
        <sz val="8"/>
        <color rgb="FF231F20"/>
        <rFont val="Arial"/>
        <family val="2"/>
      </rPr>
      <t>3,78</t>
    </r>
  </si>
  <si>
    <r>
      <rPr>
        <b/>
        <sz val="8"/>
        <color rgb="FF003862"/>
        <rFont val="Arial"/>
        <family val="2"/>
      </rPr>
      <t>GHG intensity (CO</t>
    </r>
    <r>
      <rPr>
        <b/>
        <vertAlign val="subscript"/>
        <sz val="4.5"/>
        <color rgb="FF003862"/>
        <rFont val="Arial"/>
        <family val="2"/>
      </rPr>
      <t xml:space="preserve">2  </t>
    </r>
    <r>
      <rPr>
        <b/>
        <sz val="8"/>
        <color rgb="FF003862"/>
        <rFont val="Arial"/>
        <family val="2"/>
      </rPr>
      <t>equivalent/ton production)</t>
    </r>
  </si>
  <si>
    <r>
      <rPr>
        <b/>
        <sz val="8"/>
        <color rgb="FF231F20"/>
        <rFont val="Arial"/>
        <family val="2"/>
      </rPr>
      <t>1 665</t>
    </r>
  </si>
  <si>
    <r>
      <rPr>
        <b/>
        <sz val="8"/>
        <color rgb="FF231F20"/>
        <rFont val="Arial"/>
        <family val="2"/>
      </rPr>
      <t>1 221</t>
    </r>
  </si>
  <si>
    <r>
      <rPr>
        <b/>
        <sz val="8"/>
        <color rgb="FF231F20"/>
        <rFont val="Arial"/>
        <family val="2"/>
      </rPr>
      <t>5 297</t>
    </r>
  </si>
  <si>
    <r>
      <rPr>
        <b/>
        <sz val="8"/>
        <color rgb="FF231F20"/>
        <rFont val="Arial"/>
        <family val="2"/>
      </rPr>
      <t>57 267</t>
    </r>
  </si>
  <si>
    <r>
      <rPr>
        <b/>
        <sz val="8"/>
        <color rgb="FF231F20"/>
        <rFont val="Arial"/>
        <family val="2"/>
      </rPr>
      <t>56 492</t>
    </r>
  </si>
  <si>
    <r>
      <rPr>
        <b/>
        <sz val="8"/>
        <color rgb="FF231F20"/>
        <rFont val="Arial"/>
        <family val="2"/>
      </rPr>
      <t>69 250</t>
    </r>
  </si>
  <si>
    <r>
      <rPr>
        <b/>
        <sz val="8"/>
        <color rgb="FF231F20"/>
        <rFont val="Arial"/>
        <family val="2"/>
      </rPr>
      <t>67 632</t>
    </r>
  </si>
  <si>
    <r>
      <rPr>
        <b/>
        <sz val="8"/>
        <color rgb="FF231F20"/>
        <rFont val="Arial"/>
        <family val="2"/>
      </rPr>
      <t>67 412</t>
    </r>
  </si>
  <si>
    <r>
      <rPr>
        <b/>
        <sz val="8"/>
        <color rgb="FF231F20"/>
        <rFont val="Arial"/>
        <family val="2"/>
      </rPr>
      <t>66 558</t>
    </r>
  </si>
  <si>
    <r>
      <rPr>
        <b/>
        <sz val="8"/>
        <color rgb="FF231F20"/>
        <rFont val="Arial"/>
        <family val="2"/>
      </rPr>
      <t>Level of assurance 2019</t>
    </r>
  </si>
  <si>
    <r>
      <rPr>
        <b/>
        <vertAlign val="superscript"/>
        <sz val="8"/>
        <color rgb="FF231F20"/>
        <rFont val="Arial"/>
        <family val="2"/>
      </rPr>
      <t xml:space="preserve">Sasol Climate Change Report 2019      </t>
    </r>
    <r>
      <rPr>
        <b/>
        <sz val="9"/>
        <color rgb="FF007DB6"/>
        <rFont val="Arial"/>
        <family val="2"/>
      </rPr>
      <t>31</t>
    </r>
  </si>
  <si>
    <r>
      <rPr>
        <b/>
        <sz val="8"/>
        <color rgb="FF231F20"/>
        <rFont val="Arial"/>
        <family val="2"/>
      </rPr>
      <t>Limited</t>
    </r>
  </si>
  <si>
    <r>
      <rPr>
        <b/>
        <sz val="8"/>
        <color rgb="FF003862"/>
        <rFont val="Arial"/>
        <family val="2"/>
      </rPr>
      <t>Indirect carbon dioxide (CO</t>
    </r>
    <r>
      <rPr>
        <b/>
        <vertAlign val="subscript"/>
        <sz val="4.5"/>
        <color rgb="FF003862"/>
        <rFont val="Arial"/>
        <family val="2"/>
      </rPr>
      <t>2</t>
    </r>
    <r>
      <rPr>
        <b/>
        <sz val="8"/>
        <color rgb="FF003862"/>
        <rFont val="Arial"/>
        <family val="2"/>
      </rPr>
      <t>) Scope 3</t>
    </r>
  </si>
  <si>
    <r>
      <rPr>
        <b/>
        <sz val="8"/>
        <color rgb="FF003862"/>
        <rFont val="Arial"/>
        <family val="2"/>
      </rPr>
      <t>Indirect carbon dioxide (CO</t>
    </r>
    <r>
      <rPr>
        <b/>
        <vertAlign val="subscript"/>
        <sz val="4.5"/>
        <color rgb="FF003862"/>
        <rFont val="Arial"/>
        <family val="2"/>
      </rPr>
      <t>2</t>
    </r>
    <r>
      <rPr>
        <b/>
        <sz val="8"/>
        <color rgb="FF003862"/>
        <rFont val="Arial"/>
        <family val="2"/>
      </rPr>
      <t>) Scope 2</t>
    </r>
  </si>
  <si>
    <t>1B3 Other Emissions</t>
  </si>
  <si>
    <r>
      <rPr>
        <b/>
        <sz val="8"/>
        <color rgb="FF003862"/>
        <rFont val="Arial"/>
        <family val="2"/>
      </rPr>
      <t>Direct carbon dioxide (CO</t>
    </r>
    <r>
      <rPr>
        <b/>
        <vertAlign val="subscript"/>
        <sz val="4.5"/>
        <color rgb="FF003862"/>
        <rFont val="Arial"/>
        <family val="2"/>
      </rPr>
      <t>2</t>
    </r>
    <r>
      <rPr>
        <b/>
        <sz val="8"/>
        <color rgb="FF003862"/>
        <rFont val="Arial"/>
        <family val="2"/>
      </rPr>
      <t>) Scope 1</t>
    </r>
  </si>
  <si>
    <r>
      <rPr>
        <b/>
        <sz val="8"/>
        <color rgb="FF003862"/>
        <rFont val="Arial"/>
        <family val="2"/>
      </rPr>
      <t>Nitrous oxide (N</t>
    </r>
    <r>
      <rPr>
        <b/>
        <vertAlign val="subscript"/>
        <sz val="4.5"/>
        <color rgb="FF003862"/>
        <rFont val="Arial"/>
        <family val="2"/>
      </rPr>
      <t>2</t>
    </r>
    <r>
      <rPr>
        <b/>
        <sz val="8"/>
        <color rgb="FF003862"/>
        <rFont val="Arial"/>
        <family val="2"/>
      </rPr>
      <t>O)</t>
    </r>
  </si>
  <si>
    <r>
      <rPr>
        <b/>
        <sz val="8"/>
        <color rgb="FF003862"/>
        <rFont val="Arial"/>
        <family val="2"/>
      </rPr>
      <t>Direct methane (CH</t>
    </r>
    <r>
      <rPr>
        <b/>
        <vertAlign val="subscript"/>
        <sz val="4.5"/>
        <color rgb="FF003862"/>
        <rFont val="Arial"/>
        <family val="2"/>
      </rPr>
      <t>4</t>
    </r>
    <r>
      <rPr>
        <b/>
        <sz val="8"/>
        <color rgb="FF003862"/>
        <rFont val="Arial"/>
        <family val="2"/>
      </rPr>
      <t>)</t>
    </r>
  </si>
  <si>
    <r>
      <rPr>
        <b/>
        <sz val="8"/>
        <color rgb="FF00AEEF"/>
        <rFont val="Arial"/>
        <family val="2"/>
      </rPr>
      <t>Greenhouse gases (GHG) (kilotons)</t>
    </r>
  </si>
  <si>
    <r>
      <rPr>
        <b/>
        <sz val="8"/>
        <color rgb="FF003862"/>
        <rFont val="Arial"/>
        <family val="2"/>
      </rPr>
      <t>Product meant for external sale (kilotons)</t>
    </r>
  </si>
  <si>
    <r>
      <rPr>
        <b/>
        <sz val="8"/>
        <color rgb="FF00AEEF"/>
        <rFont val="Arial"/>
        <family val="2"/>
      </rPr>
      <t>Production performance</t>
    </r>
  </si>
  <si>
    <t>NIR2017</t>
  </si>
  <si>
    <r>
      <rPr>
        <b/>
        <sz val="8"/>
        <color rgb="FF231F20"/>
        <rFont val="Arial"/>
        <family val="2"/>
      </rPr>
      <t xml:space="preserve">Level of
</t>
    </r>
    <r>
      <rPr>
        <b/>
        <sz val="8"/>
        <color rgb="FF231F20"/>
        <rFont val="Arial"/>
        <family val="2"/>
      </rPr>
      <t>assurance 2019</t>
    </r>
  </si>
  <si>
    <t>co2 eq</t>
  </si>
  <si>
    <r>
      <rPr>
        <b/>
        <sz val="19"/>
        <color rgb="FF007DB6"/>
        <rFont val="Arial"/>
        <family val="2"/>
      </rPr>
      <t xml:space="preserve">Performance data - these are from July to June as per the CDP report
</t>
    </r>
    <r>
      <rPr>
        <b/>
        <sz val="12"/>
        <color rgb="FF007DB6"/>
        <rFont val="Arial"/>
        <family val="2"/>
      </rPr>
      <t>Natural Capital: Climate change-related data table</t>
    </r>
  </si>
  <si>
    <t>Mt</t>
  </si>
  <si>
    <t xml:space="preserve">secunda coal combustion estimated from NIR 2017 </t>
  </si>
  <si>
    <t>Total Coal Energy Input</t>
  </si>
  <si>
    <t>(MWh)</t>
  </si>
  <si>
    <t>Please report how much electricity you produce in MWh, and how much electricity you consume in MWh</t>
  </si>
  <si>
    <t>Cooling</t>
  </si>
  <si>
    <t>PJ</t>
  </si>
  <si>
    <t>GJ</t>
  </si>
  <si>
    <t>Steam</t>
  </si>
  <si>
    <t>Please state how much heat, steam, and cooling in MWh your organization has purchased and consumed during the reporting year</t>
  </si>
  <si>
    <t>fuel gas</t>
  </si>
  <si>
    <t>Bituminous-coal</t>
  </si>
  <si>
    <t>gasoline</t>
  </si>
  <si>
    <t>Diesel/Gas Oil</t>
  </si>
  <si>
    <t>flaring</t>
  </si>
  <si>
    <t>tch-SUP</t>
  </si>
  <si>
    <t>Please complete the table by breaking down the total "Fuel" figure entered above by fuel type</t>
  </si>
  <si>
    <t>FT -non-boiler emissions</t>
  </si>
  <si>
    <t>FT -boiler emissions</t>
  </si>
  <si>
    <t>Please state how much fuel in MWh your organization has consumed (for energy purposes) during the reporting year</t>
  </si>
  <si>
    <t>Wed 01 Jul 2015 - Thu 30 Jun 2016</t>
  </si>
  <si>
    <t>Scope 1</t>
  </si>
  <si>
    <t>secunda total</t>
  </si>
  <si>
    <t>cdp 2015/16 (july-june)</t>
  </si>
  <si>
    <t>SO operates a Benfield unit as part of the ammonia plant on the Sasol One Site. The Benfield unit consists of a CO2 absorber column were CO2 is removed from the process gas stream using the benfield solution. The benfield solution is regenerated in the desorber column were the CO2 is desorbed to the atmosphere.</t>
  </si>
  <si>
    <t>tch_sup</t>
  </si>
  <si>
    <t>FT -Benfield</t>
  </si>
  <si>
    <t>process emissions</t>
  </si>
  <si>
    <t>5a</t>
  </si>
  <si>
    <t>Rectisol SO operates a Rectisol plant on the Sasol One Site. The purpose of the Rectisol plant is “dew point correction” and “CO2” removal. Due to the high concentration of methane and other hydrocarbons, the gas from the first two stages are sent to the flare and those from the last three stages are sent to atmosphere through the Steam Station 1 Stacks. Emissions include hydrocarbons specifically with high concentrations of CO2 emitted from the Steam Station 1 stacks.</t>
  </si>
  <si>
    <t>FT- Rectisol</t>
  </si>
  <si>
    <t>5b</t>
  </si>
  <si>
    <t>flaring - CO2 (from NIR 2017 submission)</t>
  </si>
  <si>
    <t>tch_pwr</t>
  </si>
  <si>
    <t>electricity-generated</t>
  </si>
  <si>
    <t>steam for elec</t>
  </si>
  <si>
    <t>FT</t>
  </si>
  <si>
    <t>steam for gasifiers</t>
  </si>
  <si>
    <t>3b</t>
  </si>
  <si>
    <t>process heat</t>
  </si>
  <si>
    <t>steam for drives</t>
  </si>
  <si>
    <t>3a</t>
  </si>
  <si>
    <t>gas turbine</t>
  </si>
  <si>
    <t>electricity-purchased</t>
  </si>
  <si>
    <t>eskom</t>
  </si>
  <si>
    <t xml:space="preserve"> steam share: adjuasted for SATIM</t>
  </si>
  <si>
    <t xml:space="preserve"> steam share</t>
  </si>
  <si>
    <t>emissions</t>
  </si>
  <si>
    <t>satim</t>
  </si>
  <si>
    <t>type</t>
  </si>
  <si>
    <t>source</t>
  </si>
  <si>
    <t>2019 CC Report</t>
  </si>
  <si>
    <t>R/GJ</t>
  </si>
  <si>
    <t>Lev. Cost of production (with IRP/100$/bbl)</t>
  </si>
  <si>
    <t>LC_Future</t>
  </si>
  <si>
    <t>LC_2006</t>
  </si>
  <si>
    <t>mR/PJa</t>
  </si>
  <si>
    <t>Investment Cost</t>
  </si>
  <si>
    <t>INVCOST</t>
  </si>
  <si>
    <t>mR/PJ</t>
  </si>
  <si>
    <t>Running Costs per unit of output</t>
  </si>
  <si>
    <t>%</t>
  </si>
  <si>
    <t>EFF</t>
  </si>
  <si>
    <t>Pja</t>
  </si>
  <si>
    <t>Capacity in terms of outpus</t>
  </si>
  <si>
    <t>RESID</t>
  </si>
  <si>
    <t>bbl/day</t>
  </si>
  <si>
    <t>Capacity</t>
  </si>
  <si>
    <t>GTL-New</t>
  </si>
  <si>
    <t>Mafutha</t>
  </si>
  <si>
    <t>PetroSA GTL</t>
  </si>
  <si>
    <t>Inland Crude Existing</t>
  </si>
  <si>
    <t>Sasol CTL</t>
  </si>
  <si>
    <t>Summary</t>
  </si>
  <si>
    <t>UPSGIC flo.in</t>
  </si>
  <si>
    <t>total product</t>
  </si>
  <si>
    <t>1B3CO2</t>
  </si>
  <si>
    <t>ktCO2/PJ</t>
  </si>
  <si>
    <t>1B3 Other emissions from energy production</t>
  </si>
  <si>
    <t>UPSCO2S</t>
  </si>
  <si>
    <t>UPSCH4S</t>
  </si>
  <si>
    <t>Levelised cost Product (100$/bbl, IRP)</t>
  </si>
  <si>
    <t>OTH</t>
  </si>
  <si>
    <t>Levelised Cost Product (no capital - 2006)</t>
  </si>
  <si>
    <t>OLP</t>
  </si>
  <si>
    <t>years</t>
  </si>
  <si>
    <t>Life</t>
  </si>
  <si>
    <t>OKE</t>
  </si>
  <si>
    <t>OHF</t>
  </si>
  <si>
    <t>First Year</t>
  </si>
  <si>
    <t>Other non energy</t>
  </si>
  <si>
    <t>mR/a</t>
  </si>
  <si>
    <t>Fixed Cost</t>
  </si>
  <si>
    <t>FIXOM</t>
  </si>
  <si>
    <t>OGS</t>
  </si>
  <si>
    <t>mR/Pja</t>
  </si>
  <si>
    <t>ODS</t>
  </si>
  <si>
    <t>mR/Pj</t>
  </si>
  <si>
    <t>Running Costs</t>
  </si>
  <si>
    <t>Kerosene/jet fuel/paraffin</t>
  </si>
  <si>
    <t>SATIM runzero ndc2020 calibration</t>
  </si>
  <si>
    <t>SATIM</t>
  </si>
  <si>
    <t>Fixed costs</t>
  </si>
  <si>
    <t>Capital costs</t>
  </si>
  <si>
    <t>Electricity Import</t>
  </si>
  <si>
    <t>IEA</t>
  </si>
  <si>
    <t>IEP 2013</t>
  </si>
  <si>
    <t>New GTL investments costs</t>
  </si>
  <si>
    <t>OCR</t>
  </si>
  <si>
    <t>GTL New</t>
  </si>
  <si>
    <t>Not captured as yet. Would derive from GMM amount</t>
  </si>
  <si>
    <t>GAS</t>
  </si>
  <si>
    <t>Steam Production:</t>
  </si>
  <si>
    <t>GMM</t>
  </si>
  <si>
    <t>Mass (kg):</t>
  </si>
  <si>
    <t>Material ratio</t>
  </si>
  <si>
    <t>Production capacity</t>
  </si>
  <si>
    <t>MMbbls</t>
  </si>
  <si>
    <t>Indigenous GTL refinery production</t>
  </si>
  <si>
    <t>Total GTL production</t>
  </si>
  <si>
    <t>Sable</t>
  </si>
  <si>
    <t>AvGas</t>
  </si>
  <si>
    <t>OAG</t>
  </si>
  <si>
    <t>Oribi-Oryx</t>
  </si>
  <si>
    <t>Product slate from Lloyd PJD 2001</t>
  </si>
  <si>
    <t>PetroSA slate AR (2012)</t>
  </si>
  <si>
    <t xml:space="preserve">Crude </t>
  </si>
  <si>
    <t>Condensate</t>
  </si>
  <si>
    <t>Process emissions</t>
  </si>
  <si>
    <t>Bscf</t>
  </si>
  <si>
    <t>LTMS</t>
  </si>
  <si>
    <t>Mmboe</t>
  </si>
  <si>
    <t>Total Material Feedstock</t>
  </si>
  <si>
    <t>2018/19</t>
  </si>
  <si>
    <t>2017</t>
  </si>
  <si>
    <t>2011/12</t>
  </si>
  <si>
    <t>2006/07</t>
  </si>
  <si>
    <t>Actual Production - PetroSA</t>
  </si>
  <si>
    <t>DMRE Value</t>
  </si>
  <si>
    <t>The Energy and Fuel Data Sheet</t>
  </si>
  <si>
    <t>MJ/kg</t>
  </si>
  <si>
    <t>Ngas</t>
  </si>
  <si>
    <t>http://www.bp.com/conversionfactors.jsp</t>
  </si>
  <si>
    <t>MMBoe</t>
  </si>
  <si>
    <t>1 billion cubic feet NG</t>
  </si>
  <si>
    <t>GJ (LHV)</t>
  </si>
  <si>
    <t>tonne of oil equivalent (toe)</t>
  </si>
  <si>
    <t>barrels per tonne</t>
  </si>
  <si>
    <t>Energy Products Output Share</t>
  </si>
  <si>
    <t>Product Output</t>
  </si>
  <si>
    <t>Total Oil Input</t>
  </si>
  <si>
    <t>Material ratio (%mass)</t>
  </si>
  <si>
    <t>Total Domestic Gas Input</t>
  </si>
  <si>
    <t>Plant capacity:</t>
  </si>
  <si>
    <t>GTL Existing - Petro SA</t>
  </si>
  <si>
    <t>Fixed Costs</t>
  </si>
  <si>
    <t>kt/Pjout</t>
  </si>
  <si>
    <t>Process Emissions</t>
  </si>
  <si>
    <t>Gasoline (up)</t>
  </si>
  <si>
    <t>LPG (up)</t>
  </si>
  <si>
    <t>Kerosene/jet fuel/paraffin (up)</t>
  </si>
  <si>
    <t>Diesel (up)</t>
  </si>
  <si>
    <t>Energy Products Output Share (flexible)</t>
  </si>
  <si>
    <t>bR2019</t>
  </si>
  <si>
    <t>Capital Cost</t>
  </si>
  <si>
    <t>ARAMCO, Richards Bay  (CEF,2019)</t>
  </si>
  <si>
    <t>Coastal Crude Refineries - New (ARAMCO)</t>
  </si>
  <si>
    <t>Coastal Crude Refineries - New  (ARAMCO)</t>
  </si>
  <si>
    <t>AFA(LO)</t>
  </si>
  <si>
    <t>Total products</t>
  </si>
  <si>
    <t>NDC2020 -runzero 2017 -PJ</t>
  </si>
  <si>
    <t>Total Energy Input</t>
  </si>
  <si>
    <t>Electricity Input</t>
  </si>
  <si>
    <t>Sasol Gas Sales</t>
  </si>
  <si>
    <t>diff</t>
  </si>
  <si>
    <t>Domestic Production of Crude</t>
  </si>
  <si>
    <t>1A1b Petroleum refining</t>
  </si>
  <si>
    <t>Total Crude Oil Imported</t>
  </si>
  <si>
    <t>CO comparision</t>
  </si>
  <si>
    <t>Model Input Data - Other Refineries</t>
  </si>
  <si>
    <t>Levelised Cost of products (IRP fuel price)</t>
  </si>
  <si>
    <t>Weighted avg fuel (IRP fuel price)</t>
  </si>
  <si>
    <t>Levelised Cost of products (current fuel price)</t>
  </si>
  <si>
    <t>Running Cost</t>
  </si>
  <si>
    <t>kton/PJout</t>
  </si>
  <si>
    <t>Process emission factor CH4</t>
  </si>
  <si>
    <t>CH4</t>
  </si>
  <si>
    <t>Process emission factor CO2</t>
  </si>
  <si>
    <t>Billions</t>
  </si>
  <si>
    <t>Total Investment Cost</t>
  </si>
  <si>
    <t>Output Product Split (energy)</t>
  </si>
  <si>
    <t>Input Shares (energy)</t>
  </si>
  <si>
    <t>Assume a 5% improvement on boiler efficiency</t>
  </si>
  <si>
    <t>(in energy terms)</t>
  </si>
  <si>
    <t>Product Split</t>
  </si>
  <si>
    <t>Assume a 5% improvement in overall efficiency compared to Secunda</t>
  </si>
  <si>
    <t>PJ/a</t>
  </si>
  <si>
    <t>Capacity of new CTL</t>
  </si>
  <si>
    <t>Model Input Data - Sasol New CTL (Mafutha)</t>
  </si>
  <si>
    <t>Raw Data - Sasol New CTL (Mafutha)</t>
  </si>
  <si>
    <t>mR</t>
  </si>
  <si>
    <t>SSF (excl. Fuel)</t>
  </si>
  <si>
    <t>Electricity Costs</t>
  </si>
  <si>
    <t>Natural Gas Costs</t>
  </si>
  <si>
    <t>Coal Costs (excl. elc gen)</t>
  </si>
  <si>
    <t>Analyst Book Dec 2006</t>
  </si>
  <si>
    <t>SSF (incl. Fuel)</t>
  </si>
  <si>
    <t>Natref (excl. Fuel)</t>
  </si>
  <si>
    <t>Operating Costs</t>
  </si>
  <si>
    <t>IRP Electricity Price</t>
  </si>
  <si>
    <t>Electricity Price</t>
  </si>
  <si>
    <t>Crude Price (100$/bbl)</t>
  </si>
  <si>
    <t>GJ/bbl</t>
  </si>
  <si>
    <t>1 barrel = 0.136 tons = 42.66*.136 GJ</t>
  </si>
  <si>
    <t>http://www.chartflow.com/fx/historybasic.asp</t>
  </si>
  <si>
    <t>R/$</t>
  </si>
  <si>
    <t>KTN2O</t>
  </si>
  <si>
    <t>http://www.marketoracle.co.uk/Article5902.html</t>
  </si>
  <si>
    <t>KTCH4</t>
  </si>
  <si>
    <t>IRP LNG Price</t>
  </si>
  <si>
    <t>kTCO2</t>
  </si>
  <si>
    <t>Other Direct (Process emission?)</t>
  </si>
  <si>
    <t>Mozambique Natual Gas Price</t>
  </si>
  <si>
    <t>Heat (natural gas)</t>
  </si>
  <si>
    <t>Chemicals Coal Price</t>
  </si>
  <si>
    <t>Steam (Power Gen)</t>
  </si>
  <si>
    <t>R/ton</t>
  </si>
  <si>
    <t>Steam (process heat)</t>
  </si>
  <si>
    <t>IRP</t>
  </si>
  <si>
    <t>IRP Coal Price</t>
  </si>
  <si>
    <t>Emissions</t>
  </si>
  <si>
    <t>SSF Coal Price</t>
  </si>
  <si>
    <t>Natural Gas Material Input</t>
  </si>
  <si>
    <t>Gas (heat)</t>
  </si>
  <si>
    <t>Electricity Purchased</t>
  </si>
  <si>
    <t>Conversion from 2006 to 2005 Rands</t>
  </si>
  <si>
    <t>Fuel Prices (2010 Rands)</t>
  </si>
  <si>
    <t>Energy Input</t>
  </si>
  <si>
    <t>Chemicals</t>
  </si>
  <si>
    <t>Mining</t>
  </si>
  <si>
    <t>CO2 Indirect (kT)</t>
  </si>
  <si>
    <t>CO2 direct (kt)</t>
  </si>
  <si>
    <t>N2O (t)</t>
  </si>
  <si>
    <t>CH4 (t)</t>
  </si>
  <si>
    <t>Sasol 2019 CC Report -2017</t>
  </si>
  <si>
    <t>PJ/annum</t>
  </si>
  <si>
    <t>Energy input Crude (ii)</t>
  </si>
  <si>
    <t>Lloyd, PJD, 2001. The South African Petroleum Industry: A Review, Energy Research Institute, University of Cape Town</t>
  </si>
  <si>
    <t>t/m3</t>
  </si>
  <si>
    <t>Density of Crude</t>
  </si>
  <si>
    <t>m3</t>
  </si>
  <si>
    <t>Material Input (Crude)</t>
  </si>
  <si>
    <t>Energy input Crude (i)</t>
  </si>
  <si>
    <t>DOE EB 2006</t>
  </si>
  <si>
    <t>TJ/ktoe</t>
  </si>
  <si>
    <t>Energy Density of Crude</t>
  </si>
  <si>
    <t>kTons (ktoe)</t>
  </si>
  <si>
    <t>Output Shares (energy)</t>
  </si>
  <si>
    <t>Crude Oil Natref</t>
  </si>
  <si>
    <t>NIR 2017</t>
  </si>
  <si>
    <t>Chemicals Heat</t>
  </si>
  <si>
    <t>estimated</t>
  </si>
  <si>
    <t>Chemicals Material Use</t>
  </si>
  <si>
    <t>Synfuel Material Use</t>
  </si>
  <si>
    <t>Analyst Book Dec 2017</t>
  </si>
  <si>
    <t>Total Natural Gas</t>
  </si>
  <si>
    <t>Non Energy Products</t>
  </si>
  <si>
    <t>Natural Gas Use -exc Power Gen</t>
  </si>
  <si>
    <t>Gasoline/Petrol</t>
  </si>
  <si>
    <t>Efficiency (coal to elc)</t>
  </si>
  <si>
    <t>Kerosene/Jet Fuel/paraffin</t>
  </si>
  <si>
    <t>Efficiency (steam to elc)</t>
  </si>
  <si>
    <t>Synfuels</t>
  </si>
  <si>
    <t>Lloyd PJD 2001 scaled by change of capacity (91-108 '000 bbl/day)</t>
  </si>
  <si>
    <t>Energy Products Output</t>
  </si>
  <si>
    <t>Sustainability Report 2018</t>
  </si>
  <si>
    <t>Generated Electricity</t>
  </si>
  <si>
    <t>Total Input</t>
  </si>
  <si>
    <t>[Other Refineries]</t>
  </si>
  <si>
    <t>Material Input: Crude (ii)</t>
  </si>
  <si>
    <t>International</t>
  </si>
  <si>
    <t>Purchased Electricity</t>
  </si>
  <si>
    <t>Operating Costs (excl.fuel)</t>
  </si>
  <si>
    <t>Capacity (in terms of energy products)</t>
  </si>
  <si>
    <t>Synfuels share</t>
  </si>
  <si>
    <t>Lloyd PJD 2001</t>
  </si>
  <si>
    <t>Natref share</t>
  </si>
  <si>
    <t>Chemicas share</t>
  </si>
  <si>
    <t>Mining share</t>
  </si>
  <si>
    <t>Pers Comm Sasol</t>
  </si>
  <si>
    <t>International share</t>
  </si>
  <si>
    <t>Total Electricity Purchased</t>
  </si>
  <si>
    <t xml:space="preserve">Electricity Use </t>
  </si>
  <si>
    <t>Steam used for Process heat</t>
  </si>
  <si>
    <t>Steam used for Power Gen</t>
  </si>
  <si>
    <t>Steam used in SSF Process (Stoic)</t>
  </si>
  <si>
    <t>Share of Steam used in SSF Process (Stoich)</t>
  </si>
  <si>
    <t>Total steam going to SSF</t>
  </si>
  <si>
    <t>Steam Input (Stoich+heat)</t>
  </si>
  <si>
    <t>Other steam going to Chemicals (Sasolburg)</t>
  </si>
  <si>
    <t>Steam going to Power Gen Chem (Sasolburg)</t>
  </si>
  <si>
    <t>SRK 2019</t>
  </si>
  <si>
    <t>Mwe</t>
  </si>
  <si>
    <t>Installed Capacity Secunda (SSF)</t>
  </si>
  <si>
    <t>UHETCLE-E</t>
  </si>
  <si>
    <t>ESI Stats</t>
  </si>
  <si>
    <t>Installed Capacity Sasolburg (Chemicals)</t>
  </si>
  <si>
    <t>UCTLCLEIN-E</t>
  </si>
  <si>
    <t>Steam going to Power Generation</t>
  </si>
  <si>
    <t>Share of Steam going to Power Gen</t>
  </si>
  <si>
    <t>deviation</t>
  </si>
  <si>
    <t>Total Output</t>
  </si>
  <si>
    <t>Steam use -Secunda</t>
  </si>
  <si>
    <t>Ethanol:</t>
  </si>
  <si>
    <t>kgCO2/GJ</t>
  </si>
  <si>
    <t>kgCO2/kg</t>
  </si>
  <si>
    <t>kgC/kg</t>
  </si>
  <si>
    <t>KJ/kg</t>
  </si>
  <si>
    <t>boiler efficiency 2</t>
  </si>
  <si>
    <t>Boiler Efficiency:</t>
  </si>
  <si>
    <t>boiler efficiency 1</t>
  </si>
  <si>
    <t>tonsCO2/TJ</t>
  </si>
  <si>
    <t>CO2 emission from coal:</t>
  </si>
  <si>
    <t>steam production (t/h)</t>
  </si>
  <si>
    <t>CO2 emissions from steam:</t>
  </si>
  <si>
    <t>Tons CO2/ton coal</t>
  </si>
  <si>
    <t>tonsCO2/tonSt</t>
  </si>
  <si>
    <t>mass of fuel consumed (tons/hr)</t>
  </si>
  <si>
    <t>Steam total heat at 66 bar</t>
  </si>
  <si>
    <t>Energy Content of Steam:</t>
  </si>
  <si>
    <t>GIM</t>
  </si>
  <si>
    <t>Methane Rich Gas</t>
  </si>
  <si>
    <t>Efficiency Calculation</t>
  </si>
  <si>
    <t>Slate</t>
  </si>
  <si>
    <t>kt</t>
  </si>
  <si>
    <t>Sasol Coal Boilers Efficiency Estimation</t>
  </si>
  <si>
    <t>refined product</t>
  </si>
  <si>
    <t>Dave Wright (2018)</t>
  </si>
  <si>
    <t>GJ/ton</t>
  </si>
  <si>
    <t>Coal Calorific Value (Sasolburg)</t>
  </si>
  <si>
    <t>Presentation made by Sasol in 2011 at the ERC</t>
  </si>
  <si>
    <t>Total Direct Emissions exc Eskom</t>
  </si>
  <si>
    <t>Secunda Coal CV (Synfuels) (DEA, 2016)</t>
  </si>
  <si>
    <t>Coal Calorific Value (Synfuels)</t>
  </si>
  <si>
    <t>Onsite Steam exc. Electricity</t>
  </si>
  <si>
    <t>Self Generated Electricity</t>
  </si>
  <si>
    <t>kton</t>
  </si>
  <si>
    <t>Energy Use (ROM)</t>
  </si>
  <si>
    <t>Elc from Eskom (Indirect Emissions)</t>
  </si>
  <si>
    <t>SSF Material Use (ROM)</t>
  </si>
  <si>
    <t>Total Heat Input</t>
  </si>
  <si>
    <t>Dry Ash Free to Run of Mine ratio [DAF:ROM]</t>
  </si>
  <si>
    <t>Coal Steam (Power Gen)</t>
  </si>
  <si>
    <t>goal seek to match ROM value</t>
  </si>
  <si>
    <t>Synfuel Material Use (DAF)</t>
  </si>
  <si>
    <t>PET</t>
  </si>
  <si>
    <t>Secunda 2017/16</t>
  </si>
  <si>
    <t>Coal Steam (Stoich)</t>
  </si>
  <si>
    <t>Coal Calorific Value Estimation</t>
  </si>
  <si>
    <t>PAR</t>
  </si>
  <si>
    <t>SATIM CO2</t>
  </si>
  <si>
    <t>Coal Steam (process heat)</t>
  </si>
  <si>
    <t>MRG</t>
  </si>
  <si>
    <t>total Direct CO2</t>
  </si>
  <si>
    <t>Gas Heat Input</t>
  </si>
  <si>
    <t>Mton</t>
  </si>
  <si>
    <t>external purchases</t>
  </si>
  <si>
    <t>Export</t>
  </si>
  <si>
    <t>JFL</t>
  </si>
  <si>
    <t>estimated from sasol SR 2018</t>
  </si>
  <si>
    <t>Gas Material Input</t>
  </si>
  <si>
    <t>FAL</t>
  </si>
  <si>
    <t>estimated from sasol SR 2017</t>
  </si>
  <si>
    <t>Coal Material Input</t>
  </si>
  <si>
    <t>DSL</t>
  </si>
  <si>
    <t>Synthetic Fuels</t>
  </si>
  <si>
    <t>SASOL Additional Analyst Information - 31 December 2017 2018</t>
  </si>
  <si>
    <t>Internal Sales</t>
  </si>
  <si>
    <t>Source</t>
  </si>
  <si>
    <t>ktCO2</t>
  </si>
  <si>
    <t>emis factors (LTMS)</t>
  </si>
  <si>
    <t>Value</t>
  </si>
  <si>
    <t>Unit</t>
  </si>
  <si>
    <t>Coal Use</t>
  </si>
  <si>
    <t>LTMS model data</t>
  </si>
  <si>
    <t>Model Input Data Sasol Existing</t>
  </si>
  <si>
    <t>Raw Data - SASOL Existing</t>
  </si>
  <si>
    <t>Result to be used in model</t>
  </si>
  <si>
    <t>Check</t>
  </si>
  <si>
    <t>Assumption</t>
  </si>
  <si>
    <t>Real Discount Rate</t>
  </si>
  <si>
    <t>Available/Sourced Data Input</t>
  </si>
  <si>
    <t>Energy Data for Existing Sasol and Other Refineries in 2006 as well as Future Projects</t>
  </si>
  <si>
    <t>Conversion Methane Rich Gas Natural Gas for use in industry and refineries</t>
  </si>
  <si>
    <t>Refinery CTL Boiler New</t>
  </si>
  <si>
    <t>Refinery CTL Boiler Existing</t>
  </si>
  <si>
    <t>*</t>
  </si>
  <si>
    <t>kton/PJ</t>
  </si>
  <si>
    <t>(sum OUT/IN)</t>
  </si>
  <si>
    <t>*Units</t>
  </si>
  <si>
    <t>Fixed O&amp;M Cost</t>
  </si>
  <si>
    <t>Start Year</t>
  </si>
  <si>
    <t>Input Share</t>
  </si>
  <si>
    <t>Minimum Utilisation factor</t>
  </si>
  <si>
    <t>Utilisation factor</t>
  </si>
  <si>
    <t>Lifetime</t>
  </si>
  <si>
    <t>Output</t>
  </si>
  <si>
    <t>Input Commodity</t>
  </si>
  <si>
    <t>Auxiliary Input fuels</t>
  </si>
  <si>
    <t>Technology Name</t>
  </si>
  <si>
    <t>*Technology Description</t>
  </si>
  <si>
    <t>NCAP_ILED</t>
  </si>
  <si>
    <t>Start</t>
  </si>
  <si>
    <t>Comm-Out</t>
  </si>
  <si>
    <t>Comm-IN</t>
  </si>
  <si>
    <t>Comm-IN-A</t>
  </si>
  <si>
    <t>~FI_T</t>
  </si>
  <si>
    <t>Refineries</t>
  </si>
  <si>
    <t>UPSOCR</t>
  </si>
  <si>
    <t>UPSGIC</t>
  </si>
  <si>
    <t>UPSELC</t>
  </si>
  <si>
    <t>Refinery Crude Oil Inland Existing</t>
  </si>
  <si>
    <t>UPSGAS</t>
  </si>
  <si>
    <t>Refinery GTL Existing</t>
  </si>
  <si>
    <t>UGTLGICCO-E</t>
  </si>
  <si>
    <t>Refinery GTL New - Inland</t>
  </si>
  <si>
    <t>UGTLGASIN-N</t>
  </si>
  <si>
    <t>Refinery GTL New - Coastal</t>
  </si>
  <si>
    <t>UGTLGICCO-N</t>
  </si>
  <si>
    <t>Refinery CTL Existing</t>
  </si>
  <si>
    <t>UPSCLE</t>
  </si>
  <si>
    <t>UPSHEE</t>
  </si>
  <si>
    <t>Refinery CTL New</t>
  </si>
  <si>
    <t>UCTLCLEIN-N</t>
  </si>
  <si>
    <t>UPSHEN</t>
  </si>
  <si>
    <t>Refinery Crude Oil New</t>
  </si>
  <si>
    <t>UHETCLE-N</t>
  </si>
  <si>
    <t>UTRNGIMGAS</t>
  </si>
  <si>
    <t>Durban Crude Refineries - Existing</t>
  </si>
  <si>
    <t>Cape Town Crude Refineries - Existing</t>
  </si>
  <si>
    <t>Energy Balance 2017</t>
  </si>
  <si>
    <t>Durban Crude Refineries</t>
  </si>
  <si>
    <t>Cape Town Crude Refineries</t>
  </si>
  <si>
    <t>Refinery Crude Oil Cape Town Existing</t>
  </si>
  <si>
    <t>Refinery Crude Oil Durban Existing</t>
  </si>
  <si>
    <t>UREFOCRCA-E</t>
  </si>
  <si>
    <t>Durban Crude Existing</t>
  </si>
  <si>
    <t>Cape Town Crude Existing</t>
  </si>
  <si>
    <t>Updated in 2023 (data from Caitlin)</t>
  </si>
  <si>
    <t>Crude used by coastal refineries</t>
  </si>
  <si>
    <t>Raw Data - coastal Refineries</t>
  </si>
  <si>
    <t>Electricity used by coastal refineries</t>
  </si>
  <si>
    <t>Import+production-use at GTL-use at Natref</t>
  </si>
  <si>
    <t>SAPIA AR 2018</t>
  </si>
  <si>
    <t>*Existing Refineries</t>
  </si>
  <si>
    <t>*New Refineries</t>
  </si>
  <si>
    <t>*Other Transformation</t>
  </si>
  <si>
    <t>Annual</t>
  </si>
  <si>
    <t>PRE</t>
  </si>
  <si>
    <t>AFA~LO</t>
  </si>
  <si>
    <t>Share~UP</t>
  </si>
  <si>
    <t>PRC_ACTFLO</t>
  </si>
  <si>
    <t>Auxilliary inputs</t>
  </si>
  <si>
    <t>Crude to energy products efficiency</t>
  </si>
  <si>
    <t>Total Electricity used by refineries</t>
  </si>
  <si>
    <t>Crude input efficiency</t>
  </si>
  <si>
    <t>Other Inputs per unit of output</t>
  </si>
  <si>
    <t>Electricity Input per unit output</t>
  </si>
  <si>
    <t>Utilisation in 2017</t>
  </si>
  <si>
    <t>Used by PetroSA</t>
  </si>
  <si>
    <t>Main input efficiency</t>
  </si>
  <si>
    <t>https://www.sapia.org.za/wp-content/uploads/2023/01/SAPIA_AR-2021_Final_LR.pdf</t>
  </si>
  <si>
    <t>Utilisation</t>
  </si>
  <si>
    <t>NCAP_BND~0</t>
  </si>
  <si>
    <t>NCAP_BND~2017</t>
  </si>
  <si>
    <t>2017 Check</t>
  </si>
  <si>
    <t>Conversion from 2003 to 2022 Rands</t>
  </si>
  <si>
    <t>LTMS - we need an update here!</t>
  </si>
  <si>
    <r>
      <t>Volumetric flow (m</t>
    </r>
    <r>
      <rPr>
        <b/>
        <vertAlign val="superscript"/>
        <sz val="10"/>
        <rFont val="Arial"/>
        <family val="2"/>
      </rPr>
      <t>3</t>
    </r>
    <r>
      <rPr>
        <b/>
        <sz val="10"/>
        <rFont val="Arial"/>
        <family val="2"/>
      </rPr>
      <t>pa) - Durban refineries</t>
    </r>
  </si>
  <si>
    <r>
      <t>Volumetric flow (m</t>
    </r>
    <r>
      <rPr>
        <b/>
        <vertAlign val="superscript"/>
        <sz val="10"/>
        <rFont val="Arial"/>
        <family val="2"/>
      </rPr>
      <t>3</t>
    </r>
    <r>
      <rPr>
        <b/>
        <sz val="10"/>
        <rFont val="Arial"/>
        <family val="2"/>
      </rPr>
      <t>pa) - Cape Town refineries</t>
    </r>
  </si>
  <si>
    <t>Massflow Durban (tpa)</t>
  </si>
  <si>
    <t>Massflow Cape Town (tpa)</t>
  </si>
  <si>
    <t>Energy flow Durban refineries (TJ/year)</t>
  </si>
  <si>
    <t>Energy flow Cape Town refineries (TJ/year)</t>
  </si>
  <si>
    <t>shares Druban</t>
  </si>
  <si>
    <t>shares Cape Town</t>
  </si>
  <si>
    <t>AFA~UP~2017</t>
  </si>
  <si>
    <t>Material Input Crude</t>
  </si>
  <si>
    <t>Coastal-Cape Town</t>
  </si>
  <si>
    <t>Coastal-Durban</t>
  </si>
  <si>
    <t>we need to check this</t>
  </si>
  <si>
    <t>Non Energy</t>
  </si>
  <si>
    <t>Main Fuel Efficiency</t>
  </si>
  <si>
    <t>Main Fuel Efficiency (coal stoich)</t>
  </si>
  <si>
    <t>Input (TJ input per TJ output)</t>
  </si>
  <si>
    <t>Total Products Output</t>
  </si>
  <si>
    <t>Crude to products efficiency</t>
  </si>
  <si>
    <t>Products Output Share</t>
  </si>
  <si>
    <t>Conversion from 2006 to 2022 Rands</t>
  </si>
  <si>
    <t>Average Crude Price in 2022</t>
  </si>
  <si>
    <t>Average Exchange Rate 2022</t>
  </si>
  <si>
    <t>MINCLE in 2022</t>
  </si>
  <si>
    <t>goes to 120 in 2022</t>
  </si>
  <si>
    <t>Total</t>
  </si>
  <si>
    <t>bR2022</t>
  </si>
  <si>
    <t>Levelised Cost Product</t>
  </si>
  <si>
    <t>Coal Efficiency</t>
  </si>
  <si>
    <t>Coal Steam Input</t>
  </si>
  <si>
    <t>Lev. Cost of Production</t>
  </si>
  <si>
    <t>LC</t>
  </si>
  <si>
    <t>ENV_ACT~CO2SF</t>
  </si>
  <si>
    <t>ENV_ACT~CH4SF</t>
  </si>
  <si>
    <t>ENV_ACT~CO2C</t>
  </si>
  <si>
    <t>ENV_ACT~CH4C</t>
  </si>
  <si>
    <t>Share~UP~0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</si>
</sst>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809]#,##0.00;[Red]&quot;-&quot;[$£-809]#,##0.00"/>
    <numFmt numFmtId="165" formatCode="\Te\x\t"/>
    <numFmt numFmtId="166" formatCode="_(* #,##0.00_);_(* \(#,##0.00\);_(* &quot;-&quot;??_);_(@_)"/>
    <numFmt numFmtId="167" formatCode="_-* #,##0_-;\-* #,##0_-;_-* &quot;-&quot;??_-;_-@_-"/>
    <numFmt numFmtId="168" formatCode="_(&quot;R&quot;* #,##0_);_(&quot;R&quot;* \(#,##0\);_(&quot;R&quot;* &quot;-&quot;??_);_(@_)"/>
    <numFmt numFmtId="169" formatCode="0.0%"/>
    <numFmt numFmtId="170" formatCode="_-* #,##0.0_-;\-* #,##0.0_-;_-* &quot;-&quot;??_-;_-@_-"/>
    <numFmt numFmtId="171" formatCode="0.0000"/>
    <numFmt numFmtId="172" formatCode="0.000"/>
    <numFmt numFmtId="173" formatCode="_(* #,##0_);_(* \(#,##0\);_(* &quot;-&quot;??_);_(@_)"/>
    <numFmt numFmtId="174" formatCode="0.0"/>
    <numFmt numFmtId="175" formatCode="#,##0.0"/>
    <numFmt numFmtId="176" formatCode="_(* #,##0.000_);_(* \(#,##0.000\);_(* &quot;-&quot;??_);_(@_)"/>
    <numFmt numFmtId="177" formatCode="#,##0.000"/>
    <numFmt numFmtId="178" formatCode="#,##0.0000"/>
    <numFmt numFmtId="179" formatCode="0.000%"/>
    <numFmt numFmtId="180" formatCode="0.00000"/>
  </numFmts>
  <fonts count="8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b/>
      <sz val="13"/>
      <color indexed="56"/>
      <name val="Calibri"/>
      <family val="2"/>
      <scheme val="minor"/>
    </font>
    <font>
      <sz val="10"/>
      <name val="Arial"/>
      <family val="2"/>
    </font>
    <font>
      <sz val="8"/>
      <name val="Arial"/>
      <family val="2"/>
    </font>
    <font>
      <i/>
      <sz val="8"/>
      <color indexed="23"/>
      <name val="Arial"/>
      <family val="2"/>
    </font>
    <font>
      <b/>
      <sz val="10"/>
      <name val="Arial"/>
      <family val="2"/>
    </font>
    <font>
      <i/>
      <sz val="8"/>
      <name val="Arial"/>
      <family val="2"/>
    </font>
    <font>
      <i/>
      <sz val="8"/>
      <color rgb="FFC00000"/>
      <name val="Arial"/>
      <family val="2"/>
    </font>
    <font>
      <b/>
      <sz val="8"/>
      <name val="Arial"/>
      <family val="2"/>
    </font>
    <font>
      <sz val="8"/>
      <color theme="1"/>
      <name val="Calibri"/>
      <family val="2"/>
      <scheme val="minor"/>
    </font>
    <font>
      <sz val="9"/>
      <name val="Arial"/>
      <family val="2"/>
    </font>
    <font>
      <vertAlign val="superscript"/>
      <sz val="10"/>
      <name val="Arial"/>
      <family val="2"/>
    </font>
    <font>
      <b/>
      <i/>
      <sz val="10"/>
      <name val="Arial"/>
      <family val="2"/>
    </font>
    <font>
      <sz val="9"/>
      <name val="Times New Roman"/>
      <family val="1"/>
    </font>
    <font>
      <sz val="10"/>
      <color indexed="53"/>
      <name val="Arial"/>
      <family val="2"/>
    </font>
    <font>
      <sz val="10"/>
      <color indexed="17"/>
      <name val="Arial"/>
      <family val="2"/>
    </font>
    <font>
      <sz val="10"/>
      <color indexed="60"/>
      <name val="Arial"/>
      <family val="2"/>
    </font>
    <font>
      <b/>
      <i/>
      <sz val="8"/>
      <color indexed="23"/>
      <name val="Arial"/>
      <family val="2"/>
    </font>
    <font>
      <b/>
      <vertAlign val="superscript"/>
      <sz val="10"/>
      <name val="Arial"/>
      <family val="2"/>
    </font>
    <font>
      <b/>
      <sz val="10"/>
      <color indexed="81"/>
      <name val="Tahoma"/>
      <family val="2"/>
    </font>
    <font>
      <b/>
      <sz val="9"/>
      <color indexed="81"/>
      <name val="Arial"/>
      <family val="2"/>
    </font>
    <font>
      <sz val="9"/>
      <color indexed="81"/>
      <name val="Arial"/>
      <family val="2"/>
    </font>
    <font>
      <b/>
      <sz val="8"/>
      <color indexed="81"/>
      <name val="Tahoma"/>
      <family val="2"/>
    </font>
    <font>
      <sz val="8"/>
      <color indexed="81"/>
      <name val="Tahoma"/>
      <family val="2"/>
    </font>
    <font>
      <vertAlign val="superscript"/>
      <sz val="8"/>
      <color indexed="81"/>
      <name val="Tahoma"/>
      <family val="2"/>
    </font>
    <font>
      <sz val="10"/>
      <color theme="3" tint="0.39997558519241921"/>
      <name val="Arial"/>
      <family val="2"/>
    </font>
    <font>
      <b/>
      <sz val="11"/>
      <color rgb="FFFF0000"/>
      <name val="Calibri"/>
      <family val="2"/>
      <scheme val="minor"/>
    </font>
    <font>
      <b/>
      <sz val="9"/>
      <color indexed="81"/>
      <name val="Tahoma"/>
      <family val="2"/>
    </font>
    <font>
      <sz val="9"/>
      <color indexed="81"/>
      <name val="Tahoma"/>
      <family val="2"/>
    </font>
    <font>
      <i/>
      <sz val="10"/>
      <name val="Arial"/>
      <family val="2"/>
    </font>
    <font>
      <b/>
      <sz val="10"/>
      <color indexed="40"/>
      <name val="Arial"/>
      <family val="2"/>
    </font>
    <font>
      <b/>
      <sz val="11"/>
      <name val="Arial"/>
      <family val="2"/>
    </font>
    <font>
      <sz val="11"/>
      <color rgb="FF9C6500"/>
      <name val="Calibri"/>
      <family val="2"/>
      <scheme val="minor"/>
    </font>
    <font>
      <sz val="11"/>
      <color rgb="FFC00000"/>
      <name val="Calibri"/>
      <family val="2"/>
      <scheme val="minor"/>
    </font>
    <font>
      <b/>
      <sz val="11"/>
      <color rgb="FF9C6500"/>
      <name val="Calibri"/>
      <family val="2"/>
      <scheme val="minor"/>
    </font>
    <font>
      <b/>
      <sz val="11"/>
      <color theme="4"/>
      <name val="Calibri"/>
      <family val="2"/>
      <scheme val="minor"/>
    </font>
    <font>
      <b/>
      <sz val="11"/>
      <color rgb="FF3F3F76"/>
      <name val="Calibri"/>
      <family val="2"/>
      <scheme val="minor"/>
    </font>
    <font>
      <sz val="11"/>
      <color theme="4"/>
      <name val="Calibri"/>
      <family val="2"/>
      <scheme val="minor"/>
    </font>
    <font>
      <sz val="11"/>
      <color theme="6" tint="-0.499984740745262"/>
      <name val="Calibri"/>
      <family val="2"/>
      <scheme val="minor"/>
    </font>
    <font>
      <sz val="11"/>
      <color theme="1" tint="0.499984740745262"/>
      <name val="Calibri"/>
      <family val="2"/>
      <scheme val="minor"/>
    </font>
    <font>
      <sz val="11"/>
      <color theme="5" tint="-0.249977111117893"/>
      <name val="Calibri"/>
      <family val="2"/>
      <scheme val="minor"/>
    </font>
    <font>
      <sz val="11"/>
      <color theme="3"/>
      <name val="Calibri"/>
      <family val="2"/>
      <scheme val="minor"/>
    </font>
    <font>
      <sz val="10"/>
      <color rgb="FF000000"/>
      <name val="Times New Roman"/>
      <family val="1"/>
    </font>
    <font>
      <b/>
      <sz val="8"/>
      <color rgb="FF231F20"/>
      <name val="Arial"/>
      <family val="2"/>
    </font>
    <font>
      <b/>
      <sz val="8"/>
      <color rgb="FF003862"/>
      <name val="Arial"/>
      <family val="2"/>
    </font>
    <font>
      <b/>
      <vertAlign val="subscript"/>
      <sz val="4.5"/>
      <color rgb="FF003862"/>
      <name val="Arial"/>
      <family val="2"/>
    </font>
    <font>
      <b/>
      <sz val="8"/>
      <color rgb="FFFFFFFF"/>
      <name val="Arial"/>
      <family val="2"/>
    </font>
    <font>
      <b/>
      <sz val="9"/>
      <color rgb="FF007DB6"/>
      <name val="Arial"/>
      <family val="2"/>
    </font>
    <font>
      <b/>
      <vertAlign val="superscript"/>
      <sz val="8"/>
      <color rgb="FF231F20"/>
      <name val="Arial"/>
      <family val="2"/>
    </font>
    <font>
      <b/>
      <sz val="11"/>
      <color rgb="FF231F20"/>
      <name val="Arial"/>
      <family val="2"/>
    </font>
    <font>
      <b/>
      <vertAlign val="subscript"/>
      <sz val="11"/>
      <color rgb="FF231F20"/>
      <name val="Arial"/>
      <family val="2"/>
    </font>
    <font>
      <b/>
      <sz val="8"/>
      <color rgb="FF00AEEF"/>
      <name val="Arial"/>
      <family val="2"/>
    </font>
    <font>
      <b/>
      <sz val="10"/>
      <color rgb="FF007DB6"/>
      <name val="Arial"/>
      <family val="2"/>
    </font>
    <font>
      <b/>
      <sz val="19"/>
      <color rgb="FF007DB6"/>
      <name val="Arial"/>
      <family val="2"/>
    </font>
    <font>
      <b/>
      <sz val="12"/>
      <color rgb="FF007DB6"/>
      <name val="Arial"/>
      <family val="2"/>
    </font>
    <font>
      <b/>
      <sz val="12"/>
      <color rgb="FF7030A0"/>
      <name val="Times New Roman"/>
      <family val="1"/>
    </font>
    <font>
      <b/>
      <i/>
      <sz val="11"/>
      <color theme="9" tint="-0.249977111117893"/>
      <name val="Calibri"/>
      <family val="2"/>
      <scheme val="minor"/>
    </font>
    <font>
      <i/>
      <sz val="11"/>
      <color theme="1"/>
      <name val="Calibri"/>
      <family val="2"/>
      <scheme val="minor"/>
    </font>
    <font>
      <b/>
      <sz val="11"/>
      <color theme="9" tint="-0.249977111117893"/>
      <name val="Calibri"/>
      <family val="2"/>
      <scheme val="minor"/>
    </font>
    <font>
      <sz val="12"/>
      <color theme="1"/>
      <name val="Calibri"/>
      <family val="2"/>
      <scheme val="minor"/>
    </font>
    <font>
      <sz val="10"/>
      <color rgb="FF000000"/>
      <name val="Arial"/>
      <family val="2"/>
    </font>
    <font>
      <u/>
      <sz val="10"/>
      <color indexed="12"/>
      <name val="Arial"/>
      <family val="2"/>
    </font>
    <font>
      <b/>
      <sz val="11"/>
      <color rgb="FF006100"/>
      <name val="Calibri"/>
      <family val="2"/>
      <scheme val="minor"/>
    </font>
    <font>
      <b/>
      <sz val="11"/>
      <color rgb="FF7030A0"/>
      <name val="Calibri"/>
      <family val="2"/>
      <scheme val="minor"/>
    </font>
    <font>
      <sz val="10"/>
      <color theme="3"/>
      <name val="Arial"/>
      <family val="2"/>
    </font>
    <font>
      <sz val="10"/>
      <color rgb="FFFF0000"/>
      <name val="Arial"/>
      <family val="2"/>
    </font>
    <font>
      <sz val="10"/>
      <color indexed="12"/>
      <name val="Arial"/>
      <family val="2"/>
    </font>
    <font>
      <sz val="10"/>
      <color theme="6" tint="-0.24994659260841701"/>
      <name val="Arial"/>
      <family val="2"/>
      <charset val="238"/>
    </font>
    <font>
      <b/>
      <sz val="12"/>
      <name val="Arial"/>
      <family val="2"/>
    </font>
  </fonts>
  <fills count="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indexed="9"/>
        <bgColor indexed="64"/>
      </patternFill>
    </fill>
    <fill>
      <patternFill patternType="solid">
        <fgColor indexed="10"/>
        <bgColor indexed="64"/>
      </patternFill>
    </fill>
    <fill>
      <patternFill patternType="solid">
        <fgColor indexed="22"/>
        <bgColor indexed="64"/>
      </patternFill>
    </fill>
    <fill>
      <patternFill patternType="solid">
        <fgColor indexed="42"/>
        <bgColor indexed="64"/>
      </patternFill>
    </fill>
    <fill>
      <patternFill patternType="solid">
        <fgColor indexed="43"/>
        <bgColor indexed="64"/>
      </patternFill>
    </fill>
    <fill>
      <patternFill patternType="solid">
        <fgColor indexed="13"/>
        <bgColor indexed="64"/>
      </patternFill>
    </fill>
    <fill>
      <patternFill patternType="solid">
        <fgColor rgb="FFFFFF00"/>
        <bgColor indexed="64"/>
      </patternFill>
    </fill>
    <fill>
      <patternFill patternType="solid">
        <fgColor theme="9" tint="0.79998168889431442"/>
        <bgColor indexed="64"/>
      </patternFill>
    </fill>
    <fill>
      <patternFill patternType="solid">
        <fgColor indexed="44"/>
        <bgColor indexed="64"/>
      </patternFill>
    </fill>
    <fill>
      <patternFill patternType="solid">
        <fgColor indexed="15"/>
        <bgColor indexed="64"/>
      </patternFill>
    </fill>
    <fill>
      <patternFill patternType="solid">
        <fgColor theme="9" tint="0.39997558519241921"/>
        <bgColor indexed="64"/>
      </patternFill>
    </fill>
    <fill>
      <patternFill patternType="solid">
        <fgColor rgb="FFE6E7E8"/>
      </patternFill>
    </fill>
    <fill>
      <patternFill patternType="solid">
        <fgColor rgb="FF003862"/>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rgb="FFFFC7CE"/>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rgb="FF231F20"/>
      </right>
      <top/>
      <bottom/>
      <diagonal/>
    </border>
    <border>
      <left/>
      <right/>
      <top style="thin">
        <color rgb="FF00AEEF"/>
      </top>
      <bottom/>
      <diagonal/>
    </border>
    <border>
      <left/>
      <right style="thin">
        <color rgb="FF231F20"/>
      </right>
      <top/>
      <bottom style="thin">
        <color rgb="FF00AEEF"/>
      </bottom>
      <diagonal/>
    </border>
    <border>
      <left/>
      <right/>
      <top/>
      <bottom style="thin">
        <color rgb="FF00AEEF"/>
      </bottom>
      <diagonal/>
    </border>
    <border>
      <left style="thin">
        <color rgb="FF231F20"/>
      </left>
      <right/>
      <top/>
      <bottom style="thin">
        <color rgb="FF003862"/>
      </bottom>
      <diagonal/>
    </border>
    <border>
      <left/>
      <right style="thin">
        <color rgb="FF231F20"/>
      </right>
      <top/>
      <bottom style="thin">
        <color rgb="FF003862"/>
      </bottom>
      <diagonal/>
    </border>
    <border>
      <left/>
      <right/>
      <top/>
      <bottom style="thin">
        <color rgb="FF003862"/>
      </bottom>
      <diagonal/>
    </border>
    <border>
      <left style="thin">
        <color rgb="FF231F20"/>
      </left>
      <right/>
      <top/>
      <bottom/>
      <diagonal/>
    </border>
    <border>
      <left style="thin">
        <color rgb="FF231F20"/>
      </left>
      <right/>
      <top style="thin">
        <color rgb="FF00AEEF"/>
      </top>
      <bottom/>
      <diagonal/>
    </border>
    <border>
      <left/>
      <right style="thin">
        <color rgb="FF231F20"/>
      </right>
      <top style="thin">
        <color rgb="FF00AEEF"/>
      </top>
      <bottom/>
      <diagonal/>
    </border>
    <border>
      <left style="thin">
        <color rgb="FF231F20"/>
      </left>
      <right/>
      <top/>
      <bottom style="thin">
        <color rgb="FF00AEEF"/>
      </bottom>
      <diagonal/>
    </border>
    <border>
      <left style="thin">
        <color rgb="FF231F20"/>
      </left>
      <right/>
      <top style="thin">
        <color rgb="FF003862"/>
      </top>
      <bottom/>
      <diagonal/>
    </border>
    <border>
      <left/>
      <right style="thin">
        <color rgb="FF231F20"/>
      </right>
      <top style="thin">
        <color rgb="FF003862"/>
      </top>
      <bottom/>
      <diagonal/>
    </border>
    <border>
      <left/>
      <right/>
      <top style="thin">
        <color rgb="FF003862"/>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rgb="FF7F7F7F"/>
      </left>
      <right style="thin">
        <color rgb="FF7F7F7F"/>
      </right>
      <top/>
      <bottom style="thin">
        <color rgb="FF7F7F7F"/>
      </bottom>
      <diagonal/>
    </border>
    <border>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rgb="FF7F7F7F"/>
      </right>
      <top style="thin">
        <color rgb="FF7F7F7F"/>
      </top>
      <bottom style="medium">
        <color indexed="64"/>
      </bottom>
      <diagonal/>
    </border>
    <border>
      <left style="thin">
        <color rgb="FF7F7F7F"/>
      </left>
      <right style="thin">
        <color rgb="FF7F7F7F"/>
      </right>
      <top style="thin">
        <color rgb="FF7F7F7F"/>
      </top>
      <bottom/>
      <diagonal/>
    </border>
    <border>
      <left style="medium">
        <color indexed="64"/>
      </left>
      <right style="thin">
        <color rgb="FF7F7F7F"/>
      </right>
      <top style="thin">
        <color rgb="FF7F7F7F"/>
      </top>
      <bottom style="thin">
        <color rgb="FF7F7F7F"/>
      </bottom>
      <diagonal/>
    </border>
    <border>
      <left style="thin">
        <color rgb="FF7F7F7F"/>
      </left>
      <right style="thin">
        <color rgb="FF7F7F7F"/>
      </right>
      <top style="thin">
        <color rgb="FF7F7F7F"/>
      </top>
      <bottom style="medium">
        <color indexed="64"/>
      </bottom>
      <diagonal/>
    </border>
    <border>
      <left style="medium">
        <color indexed="64"/>
      </left>
      <right style="thin">
        <color rgb="FF7F7F7F"/>
      </right>
      <top style="medium">
        <color indexed="64"/>
      </top>
      <bottom style="thin">
        <color rgb="FF7F7F7F"/>
      </bottom>
      <diagonal/>
    </border>
    <border>
      <left/>
      <right/>
      <top style="medium">
        <color indexed="64"/>
      </top>
      <bottom style="thin">
        <color indexed="64"/>
      </bottom>
      <diagonal/>
    </border>
    <border>
      <left style="thin">
        <color rgb="FF7F7F7F"/>
      </left>
      <right style="thin">
        <color rgb="FF7F7F7F"/>
      </right>
      <top style="medium">
        <color indexed="64"/>
      </top>
      <bottom style="thin">
        <color rgb="FF7F7F7F"/>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2" fillId="0" borderId="2" applyNumberFormat="0" applyFill="0" applyAlignment="0" applyProtection="0"/>
    <xf numFmtId="0" fontId="13" fillId="0" borderId="0"/>
    <xf numFmtId="166" fontId="1" fillId="0" borderId="0" applyFont="0" applyFill="0" applyBorder="0" applyAlignment="0" applyProtection="0"/>
    <xf numFmtId="43" fontId="13" fillId="0" borderId="0" applyFont="0" applyFill="0" applyBorder="0" applyAlignment="0" applyProtection="0"/>
    <xf numFmtId="0" fontId="43" fillId="4" borderId="0" applyNumberFormat="0" applyBorder="0" applyAlignment="0" applyProtection="0"/>
    <xf numFmtId="0" fontId="53" fillId="0" borderId="0"/>
    <xf numFmtId="0" fontId="53" fillId="0" borderId="0"/>
    <xf numFmtId="0" fontId="72" fillId="0" borderId="0" applyNumberFormat="0" applyFill="0" applyBorder="0" applyAlignment="0" applyProtection="0">
      <alignment vertical="top"/>
      <protection locked="0"/>
    </xf>
    <xf numFmtId="0" fontId="1" fillId="0" borderId="0"/>
    <xf numFmtId="9" fontId="13" fillId="0" borderId="0" applyFont="0" applyFill="0" applyBorder="0" applyAlignment="0" applyProtection="0"/>
    <xf numFmtId="164" fontId="6" fillId="24" borderId="0" applyNumberFormat="0" applyBorder="0" applyAlignment="0" applyProtection="0"/>
    <xf numFmtId="4" fontId="78" fillId="0" borderId="0" applyNumberFormat="0" applyFill="0" applyBorder="0" applyAlignment="0" applyProtection="0">
      <alignment horizontal="center"/>
    </xf>
    <xf numFmtId="0" fontId="13" fillId="0" borderId="0"/>
  </cellStyleXfs>
  <cellXfs count="528">
    <xf numFmtId="0" fontId="0" fillId="0" borderId="0" xfId="0"/>
    <xf numFmtId="164" fontId="12" fillId="0" borderId="2" xfId="12" applyNumberFormat="1"/>
    <xf numFmtId="0" fontId="14" fillId="0" borderId="0" xfId="13" applyFont="1"/>
    <xf numFmtId="165" fontId="4" fillId="0" borderId="0" xfId="6" applyNumberFormat="1" applyFill="1"/>
    <xf numFmtId="0" fontId="4" fillId="0" borderId="0" xfId="6" applyFill="1"/>
    <xf numFmtId="165" fontId="4" fillId="0" borderId="6" xfId="6" applyNumberFormat="1" applyFill="1" applyBorder="1" applyAlignment="1">
      <alignment horizontal="left"/>
    </xf>
    <xf numFmtId="0" fontId="13" fillId="7" borderId="0" xfId="13" applyFill="1"/>
    <xf numFmtId="0" fontId="15" fillId="7" borderId="0" xfId="13" applyFont="1" applyFill="1"/>
    <xf numFmtId="0" fontId="16" fillId="7" borderId="0" xfId="13" applyFont="1" applyFill="1"/>
    <xf numFmtId="3" fontId="13" fillId="7" borderId="0" xfId="13" applyNumberFormat="1" applyFill="1"/>
    <xf numFmtId="3" fontId="15" fillId="7" borderId="0" xfId="13" applyNumberFormat="1" applyFont="1" applyFill="1"/>
    <xf numFmtId="3" fontId="16" fillId="7" borderId="0" xfId="13" applyNumberFormat="1" applyFont="1" applyFill="1"/>
    <xf numFmtId="9" fontId="15" fillId="7" borderId="0" xfId="2" applyFont="1" applyFill="1" applyBorder="1"/>
    <xf numFmtId="3" fontId="13" fillId="7" borderId="0" xfId="13" applyNumberFormat="1" applyFill="1" applyAlignment="1">
      <alignment horizontal="center"/>
    </xf>
    <xf numFmtId="167" fontId="0" fillId="0" borderId="0" xfId="14" applyNumberFormat="1" applyFont="1" applyAlignment="1">
      <alignment horizontal="center"/>
    </xf>
    <xf numFmtId="1" fontId="0" fillId="0" borderId="0" xfId="0" applyNumberFormat="1" applyAlignment="1">
      <alignment horizontal="center"/>
    </xf>
    <xf numFmtId="0" fontId="0" fillId="0" borderId="0" xfId="0" applyAlignment="1">
      <alignment horizontal="center"/>
    </xf>
    <xf numFmtId="9" fontId="0" fillId="0" borderId="0" xfId="2" applyFont="1" applyAlignment="1">
      <alignment horizontal="center"/>
    </xf>
    <xf numFmtId="0" fontId="0" fillId="0" borderId="0" xfId="0" quotePrefix="1"/>
    <xf numFmtId="0" fontId="11" fillId="0" borderId="0" xfId="0" applyFont="1" applyAlignment="1">
      <alignment horizontal="center"/>
    </xf>
    <xf numFmtId="0" fontId="11" fillId="0" borderId="0" xfId="0" applyFont="1"/>
    <xf numFmtId="0" fontId="17" fillId="7" borderId="0" xfId="13" applyFont="1" applyFill="1"/>
    <xf numFmtId="0" fontId="18" fillId="7" borderId="0" xfId="13" applyFont="1" applyFill="1"/>
    <xf numFmtId="168" fontId="13" fillId="7" borderId="0" xfId="13" applyNumberFormat="1" applyFill="1"/>
    <xf numFmtId="3" fontId="17" fillId="7" borderId="0" xfId="13" applyNumberFormat="1" applyFont="1" applyFill="1"/>
    <xf numFmtId="3" fontId="18" fillId="7" borderId="0" xfId="13" applyNumberFormat="1" applyFont="1" applyFill="1"/>
    <xf numFmtId="9" fontId="13" fillId="7" borderId="0" xfId="2" applyFont="1" applyFill="1" applyBorder="1" applyAlignment="1"/>
    <xf numFmtId="0" fontId="13" fillId="0" borderId="7" xfId="13" applyBorder="1"/>
    <xf numFmtId="0" fontId="13" fillId="0" borderId="8" xfId="13" applyBorder="1"/>
    <xf numFmtId="0" fontId="13" fillId="0" borderId="9" xfId="13" applyBorder="1"/>
    <xf numFmtId="0" fontId="13" fillId="0" borderId="10" xfId="13" applyBorder="1"/>
    <xf numFmtId="0" fontId="14" fillId="7" borderId="0" xfId="13" applyFont="1" applyFill="1"/>
    <xf numFmtId="3" fontId="19" fillId="7" borderId="0" xfId="13" applyNumberFormat="1" applyFont="1" applyFill="1"/>
    <xf numFmtId="3" fontId="14" fillId="7" borderId="0" xfId="13" applyNumberFormat="1" applyFont="1" applyFill="1"/>
    <xf numFmtId="0" fontId="20" fillId="0" borderId="0" xfId="0" applyFont="1"/>
    <xf numFmtId="166" fontId="16" fillId="7" borderId="0" xfId="13" applyNumberFormat="1" applyFont="1" applyFill="1"/>
    <xf numFmtId="166" fontId="13" fillId="7" borderId="0" xfId="13" applyNumberFormat="1" applyFill="1"/>
    <xf numFmtId="3" fontId="21" fillId="7" borderId="11" xfId="13" applyNumberFormat="1" applyFont="1" applyFill="1" applyBorder="1" applyAlignment="1">
      <alignment horizontal="right" vertical="top" wrapText="1"/>
    </xf>
    <xf numFmtId="0" fontId="13" fillId="7" borderId="11" xfId="13" applyFill="1" applyBorder="1" applyAlignment="1">
      <alignment horizontal="justify"/>
    </xf>
    <xf numFmtId="3" fontId="21" fillId="7" borderId="12" xfId="13" applyNumberFormat="1" applyFont="1" applyFill="1" applyBorder="1" applyAlignment="1">
      <alignment horizontal="right" vertical="top" wrapText="1"/>
    </xf>
    <xf numFmtId="0" fontId="13" fillId="7" borderId="12" xfId="13" applyFill="1" applyBorder="1" applyAlignment="1">
      <alignment horizontal="justify"/>
    </xf>
    <xf numFmtId="3" fontId="21" fillId="8" borderId="12" xfId="13" applyNumberFormat="1" applyFont="1" applyFill="1" applyBorder="1" applyAlignment="1">
      <alignment horizontal="right" vertical="top" wrapText="1"/>
    </xf>
    <xf numFmtId="0" fontId="13" fillId="7" borderId="13" xfId="13" applyFill="1" applyBorder="1" applyAlignment="1">
      <alignment horizontal="justify"/>
    </xf>
    <xf numFmtId="0" fontId="23" fillId="7" borderId="0" xfId="13" applyFont="1" applyFill="1"/>
    <xf numFmtId="9" fontId="16" fillId="7" borderId="0" xfId="2" applyFont="1" applyFill="1" applyBorder="1"/>
    <xf numFmtId="167" fontId="13" fillId="7" borderId="0" xfId="15" applyNumberFormat="1" applyFont="1" applyFill="1" applyBorder="1"/>
    <xf numFmtId="0" fontId="24" fillId="7" borderId="0" xfId="13" applyFont="1" applyFill="1"/>
    <xf numFmtId="0" fontId="15" fillId="7" borderId="14" xfId="13" applyFont="1" applyFill="1" applyBorder="1"/>
    <xf numFmtId="3" fontId="15" fillId="7" borderId="14" xfId="13" applyNumberFormat="1" applyFont="1" applyFill="1" applyBorder="1"/>
    <xf numFmtId="3" fontId="13" fillId="7" borderId="12" xfId="13" applyNumberFormat="1" applyFill="1" applyBorder="1"/>
    <xf numFmtId="167" fontId="13" fillId="7" borderId="15" xfId="15" applyNumberFormat="1" applyFont="1" applyFill="1" applyBorder="1"/>
    <xf numFmtId="10" fontId="13" fillId="7" borderId="0" xfId="2" applyNumberFormat="1" applyFont="1" applyFill="1" applyBorder="1"/>
    <xf numFmtId="167" fontId="13" fillId="8" borderId="16" xfId="15" applyNumberFormat="1" applyFont="1" applyFill="1" applyBorder="1"/>
    <xf numFmtId="167" fontId="13" fillId="7" borderId="13" xfId="15" applyNumberFormat="1" applyFont="1" applyFill="1" applyBorder="1"/>
    <xf numFmtId="167" fontId="13" fillId="7" borderId="6" xfId="15" applyNumberFormat="1" applyFont="1" applyFill="1" applyBorder="1"/>
    <xf numFmtId="167" fontId="13" fillId="7" borderId="17" xfId="15" applyNumberFormat="1" applyFont="1" applyFill="1" applyBorder="1"/>
    <xf numFmtId="167" fontId="13" fillId="9" borderId="18" xfId="15" applyNumberFormat="1" applyFont="1" applyFill="1" applyBorder="1"/>
    <xf numFmtId="0" fontId="25" fillId="7" borderId="17" xfId="13" applyFont="1" applyFill="1" applyBorder="1"/>
    <xf numFmtId="0" fontId="24" fillId="7" borderId="0" xfId="13" applyFont="1" applyFill="1" applyAlignment="1">
      <alignment horizontal="right"/>
    </xf>
    <xf numFmtId="169" fontId="13" fillId="7" borderId="0" xfId="13" applyNumberFormat="1" applyFill="1"/>
    <xf numFmtId="3" fontId="16" fillId="7" borderId="18" xfId="15" applyNumberFormat="1" applyFont="1" applyFill="1" applyBorder="1"/>
    <xf numFmtId="3" fontId="13" fillId="7" borderId="11" xfId="15" applyNumberFormat="1" applyFont="1" applyFill="1" applyBorder="1" applyAlignment="1">
      <alignment horizontal="right"/>
    </xf>
    <xf numFmtId="3" fontId="13" fillId="7" borderId="11" xfId="13" applyNumberFormat="1" applyFill="1" applyBorder="1" applyAlignment="1">
      <alignment horizontal="right"/>
    </xf>
    <xf numFmtId="0" fontId="13" fillId="7" borderId="18" xfId="13" applyFill="1" applyBorder="1"/>
    <xf numFmtId="170" fontId="13" fillId="10" borderId="0" xfId="15" applyNumberFormat="1" applyFont="1" applyFill="1" applyBorder="1"/>
    <xf numFmtId="170" fontId="13" fillId="10" borderId="12" xfId="15" applyNumberFormat="1" applyFont="1" applyFill="1" applyBorder="1"/>
    <xf numFmtId="3" fontId="13" fillId="7" borderId="14" xfId="13" applyNumberFormat="1" applyFill="1" applyBorder="1"/>
    <xf numFmtId="3" fontId="16" fillId="7" borderId="0" xfId="15" applyNumberFormat="1" applyFont="1" applyFill="1" applyBorder="1"/>
    <xf numFmtId="3" fontId="13" fillId="7" borderId="12" xfId="15" applyNumberFormat="1" applyFont="1" applyFill="1" applyBorder="1" applyAlignment="1">
      <alignment horizontal="right"/>
    </xf>
    <xf numFmtId="3" fontId="16" fillId="7" borderId="0" xfId="15" applyNumberFormat="1" applyFont="1" applyFill="1" applyBorder="1" applyAlignment="1">
      <alignment horizontal="center"/>
    </xf>
    <xf numFmtId="3" fontId="13" fillId="7" borderId="12" xfId="13" applyNumberFormat="1" applyFill="1" applyBorder="1" applyAlignment="1">
      <alignment horizontal="right"/>
    </xf>
    <xf numFmtId="167" fontId="13" fillId="7" borderId="19" xfId="15" applyNumberFormat="1" applyFont="1" applyFill="1" applyBorder="1"/>
    <xf numFmtId="167" fontId="13" fillId="7" borderId="12" xfId="15" applyNumberFormat="1" applyFont="1" applyFill="1" applyBorder="1"/>
    <xf numFmtId="167" fontId="13" fillId="7" borderId="0" xfId="13" applyNumberFormat="1" applyFill="1"/>
    <xf numFmtId="167" fontId="13" fillId="9" borderId="14" xfId="15" applyNumberFormat="1" applyFont="1" applyFill="1" applyBorder="1"/>
    <xf numFmtId="167" fontId="13" fillId="9" borderId="0" xfId="15" applyNumberFormat="1" applyFont="1" applyFill="1" applyBorder="1"/>
    <xf numFmtId="3" fontId="16" fillId="0" borderId="0" xfId="15" applyNumberFormat="1" applyFont="1" applyFill="1" applyBorder="1"/>
    <xf numFmtId="167" fontId="27" fillId="7" borderId="0" xfId="15" applyNumberFormat="1" applyFont="1" applyFill="1" applyBorder="1"/>
    <xf numFmtId="3" fontId="15" fillId="7" borderId="20" xfId="13" applyNumberFormat="1" applyFont="1" applyFill="1" applyBorder="1"/>
    <xf numFmtId="167" fontId="27" fillId="7" borderId="6" xfId="15" applyNumberFormat="1" applyFont="1" applyFill="1" applyBorder="1"/>
    <xf numFmtId="0" fontId="13" fillId="7" borderId="6" xfId="13" applyFill="1" applyBorder="1"/>
    <xf numFmtId="3" fontId="24" fillId="7" borderId="0" xfId="13" applyNumberFormat="1" applyFont="1" applyFill="1" applyAlignment="1">
      <alignment horizontal="right"/>
    </xf>
    <xf numFmtId="3" fontId="16" fillId="7" borderId="6" xfId="15" applyNumberFormat="1" applyFont="1" applyFill="1" applyBorder="1"/>
    <xf numFmtId="3" fontId="13" fillId="7" borderId="13" xfId="15" applyNumberFormat="1" applyFont="1" applyFill="1" applyBorder="1" applyAlignment="1">
      <alignment horizontal="right"/>
    </xf>
    <xf numFmtId="3" fontId="13" fillId="7" borderId="13" xfId="13" applyNumberFormat="1" applyFill="1" applyBorder="1" applyAlignment="1">
      <alignment horizontal="right"/>
    </xf>
    <xf numFmtId="3" fontId="21" fillId="7" borderId="13" xfId="13" applyNumberFormat="1" applyFont="1" applyFill="1" applyBorder="1" applyAlignment="1">
      <alignment horizontal="right" vertical="top" wrapText="1"/>
    </xf>
    <xf numFmtId="0" fontId="28" fillId="7" borderId="0" xfId="13" applyFont="1" applyFill="1"/>
    <xf numFmtId="0" fontId="15" fillId="7" borderId="17" xfId="13" applyFont="1" applyFill="1" applyBorder="1"/>
    <xf numFmtId="3" fontId="16" fillId="7" borderId="18" xfId="13" applyNumberFormat="1" applyFont="1" applyFill="1" applyBorder="1"/>
    <xf numFmtId="3" fontId="13" fillId="7" borderId="11" xfId="13" applyNumberFormat="1" applyFill="1" applyBorder="1"/>
    <xf numFmtId="9" fontId="13" fillId="7" borderId="0" xfId="2" applyFont="1" applyFill="1" applyBorder="1"/>
    <xf numFmtId="3" fontId="21" fillId="7" borderId="0" xfId="13" applyNumberFormat="1" applyFont="1" applyFill="1" applyAlignment="1">
      <alignment horizontal="right" vertical="top" wrapText="1"/>
    </xf>
    <xf numFmtId="169" fontId="13" fillId="7" borderId="0" xfId="2" applyNumberFormat="1" applyFont="1" applyFill="1" applyBorder="1"/>
    <xf numFmtId="1" fontId="13" fillId="7" borderId="0" xfId="13" applyNumberFormat="1" applyFill="1"/>
    <xf numFmtId="1" fontId="16" fillId="7" borderId="0" xfId="13" applyNumberFormat="1" applyFont="1" applyFill="1"/>
    <xf numFmtId="1" fontId="13" fillId="7" borderId="12" xfId="13" applyNumberFormat="1" applyFill="1" applyBorder="1"/>
    <xf numFmtId="0" fontId="13" fillId="7" borderId="0" xfId="13" applyFill="1" applyAlignment="1">
      <alignment horizontal="center"/>
    </xf>
    <xf numFmtId="0" fontId="13" fillId="0" borderId="0" xfId="13" applyAlignment="1">
      <alignment horizontal="center"/>
    </xf>
    <xf numFmtId="3" fontId="13" fillId="12" borderId="21" xfId="13" applyNumberFormat="1" applyFill="1" applyBorder="1"/>
    <xf numFmtId="3" fontId="16" fillId="13" borderId="0" xfId="13" applyNumberFormat="1" applyFont="1" applyFill="1"/>
    <xf numFmtId="3" fontId="13" fillId="13" borderId="0" xfId="13" applyNumberFormat="1" applyFill="1"/>
    <xf numFmtId="3" fontId="15" fillId="13" borderId="0" xfId="13" applyNumberFormat="1" applyFont="1" applyFill="1"/>
    <xf numFmtId="0" fontId="15" fillId="13" borderId="0" xfId="13" applyFont="1" applyFill="1"/>
    <xf numFmtId="0" fontId="13" fillId="13" borderId="0" xfId="13" applyFill="1"/>
    <xf numFmtId="171" fontId="15" fillId="7" borderId="0" xfId="13" applyNumberFormat="1" applyFont="1" applyFill="1"/>
    <xf numFmtId="1" fontId="15" fillId="7" borderId="0" xfId="13" applyNumberFormat="1" applyFont="1" applyFill="1"/>
    <xf numFmtId="2" fontId="0" fillId="0" borderId="0" xfId="0" applyNumberFormat="1"/>
    <xf numFmtId="2" fontId="0" fillId="14" borderId="0" xfId="0" applyNumberFormat="1" applyFill="1"/>
    <xf numFmtId="0" fontId="13" fillId="7" borderId="0" xfId="13" applyFill="1" applyAlignment="1">
      <alignment horizontal="right"/>
    </xf>
    <xf numFmtId="171" fontId="0" fillId="14" borderId="0" xfId="0" applyNumberFormat="1" applyFill="1"/>
    <xf numFmtId="0" fontId="13" fillId="7" borderId="0" xfId="13" applyFill="1" applyAlignment="1">
      <alignment horizontal="left"/>
    </xf>
    <xf numFmtId="171" fontId="0" fillId="0" borderId="0" xfId="0" applyNumberFormat="1"/>
    <xf numFmtId="172" fontId="0" fillId="0" borderId="0" xfId="0" applyNumberFormat="1"/>
    <xf numFmtId="1" fontId="0" fillId="0" borderId="0" xfId="0" applyNumberFormat="1"/>
    <xf numFmtId="9" fontId="13" fillId="0" borderId="0" xfId="13" applyNumberFormat="1"/>
    <xf numFmtId="9" fontId="0" fillId="0" borderId="0" xfId="0" applyNumberFormat="1"/>
    <xf numFmtId="0" fontId="36" fillId="0" borderId="0" xfId="13" applyFont="1"/>
    <xf numFmtId="0" fontId="13" fillId="0" borderId="0" xfId="13"/>
    <xf numFmtId="0" fontId="7" fillId="0" borderId="4" xfId="9" applyFill="1"/>
    <xf numFmtId="172" fontId="11" fillId="0" borderId="0" xfId="0" applyNumberFormat="1" applyFont="1"/>
    <xf numFmtId="0" fontId="37" fillId="0" borderId="4" xfId="9" applyFont="1" applyFill="1"/>
    <xf numFmtId="1" fontId="13" fillId="0" borderId="0" xfId="13" applyNumberFormat="1"/>
    <xf numFmtId="0" fontId="40" fillId="7" borderId="0" xfId="13" applyFont="1" applyFill="1"/>
    <xf numFmtId="173" fontId="13" fillId="7" borderId="0" xfId="13" applyNumberFormat="1" applyFill="1"/>
    <xf numFmtId="9" fontId="13" fillId="7" borderId="0" xfId="13" applyNumberFormat="1" applyFill="1"/>
    <xf numFmtId="173" fontId="13" fillId="7" borderId="0" xfId="14" applyNumberFormat="1" applyFont="1" applyFill="1" applyBorder="1"/>
    <xf numFmtId="3" fontId="13" fillId="7" borderId="16" xfId="13" applyNumberFormat="1" applyFill="1" applyBorder="1"/>
    <xf numFmtId="167" fontId="15" fillId="7" borderId="18" xfId="15" applyNumberFormat="1" applyFont="1" applyFill="1" applyBorder="1"/>
    <xf numFmtId="167" fontId="13" fillId="7" borderId="18" xfId="15" applyNumberFormat="1" applyFont="1" applyFill="1" applyBorder="1"/>
    <xf numFmtId="167" fontId="13" fillId="8" borderId="18" xfId="15" applyNumberFormat="1" applyFont="1" applyFill="1" applyBorder="1"/>
    <xf numFmtId="167" fontId="13" fillId="7" borderId="11" xfId="15" applyNumberFormat="1" applyFont="1" applyFill="1" applyBorder="1"/>
    <xf numFmtId="3" fontId="15" fillId="7" borderId="17" xfId="13" applyNumberFormat="1" applyFont="1" applyFill="1" applyBorder="1" applyAlignment="1">
      <alignment horizontal="right" vertical="top" wrapText="1"/>
    </xf>
    <xf numFmtId="3" fontId="16" fillId="7" borderId="18" xfId="13" applyNumberFormat="1" applyFont="1" applyFill="1" applyBorder="1" applyAlignment="1">
      <alignment horizontal="right" vertical="top" wrapText="1"/>
    </xf>
    <xf numFmtId="3" fontId="13" fillId="7" borderId="11" xfId="13" applyNumberFormat="1" applyFill="1" applyBorder="1" applyAlignment="1">
      <alignment horizontal="right" vertical="top" wrapText="1"/>
    </xf>
    <xf numFmtId="3" fontId="15" fillId="7" borderId="18" xfId="15" applyNumberFormat="1" applyFont="1" applyFill="1" applyBorder="1" applyAlignment="1">
      <alignment horizontal="right"/>
    </xf>
    <xf numFmtId="3" fontId="16" fillId="7" borderId="18" xfId="15" applyNumberFormat="1" applyFont="1" applyFill="1" applyBorder="1" applyAlignment="1">
      <alignment horizontal="right"/>
    </xf>
    <xf numFmtId="3" fontId="13" fillId="7" borderId="19" xfId="13" applyNumberFormat="1" applyFill="1" applyBorder="1"/>
    <xf numFmtId="170" fontId="26" fillId="10" borderId="0" xfId="15" applyNumberFormat="1" applyFont="1" applyFill="1" applyBorder="1"/>
    <xf numFmtId="3" fontId="15" fillId="7" borderId="14" xfId="13" applyNumberFormat="1" applyFont="1" applyFill="1" applyBorder="1" applyAlignment="1">
      <alignment horizontal="right" vertical="top" wrapText="1"/>
    </xf>
    <xf numFmtId="3" fontId="16" fillId="7" borderId="0" xfId="13" applyNumberFormat="1" applyFont="1" applyFill="1" applyAlignment="1">
      <alignment horizontal="right" vertical="top" wrapText="1"/>
    </xf>
    <xf numFmtId="3" fontId="13" fillId="7" borderId="12" xfId="13" applyNumberFormat="1" applyFill="1" applyBorder="1" applyAlignment="1">
      <alignment horizontal="right" vertical="top" wrapText="1"/>
    </xf>
    <xf numFmtId="3" fontId="15" fillId="7" borderId="0" xfId="15" applyNumberFormat="1" applyFont="1" applyFill="1" applyBorder="1" applyAlignment="1">
      <alignment horizontal="right"/>
    </xf>
    <xf numFmtId="3" fontId="16" fillId="7" borderId="0" xfId="15" applyNumberFormat="1" applyFont="1" applyFill="1" applyBorder="1" applyAlignment="1">
      <alignment horizontal="right"/>
    </xf>
    <xf numFmtId="167" fontId="15" fillId="9" borderId="0" xfId="15" applyNumberFormat="1" applyFont="1" applyFill="1" applyBorder="1"/>
    <xf numFmtId="167" fontId="15" fillId="7" borderId="0" xfId="15" applyNumberFormat="1" applyFont="1" applyFill="1" applyBorder="1"/>
    <xf numFmtId="167" fontId="6" fillId="3" borderId="19" xfId="8" applyNumberFormat="1" applyBorder="1"/>
    <xf numFmtId="167" fontId="15" fillId="7" borderId="14" xfId="15" applyNumberFormat="1" applyFont="1" applyFill="1" applyBorder="1"/>
    <xf numFmtId="3" fontId="15" fillId="7" borderId="0" xfId="15" applyNumberFormat="1" applyFont="1" applyFill="1" applyBorder="1"/>
    <xf numFmtId="3" fontId="13" fillId="7" borderId="12" xfId="15" applyNumberFormat="1" applyFont="1" applyFill="1" applyBorder="1"/>
    <xf numFmtId="0" fontId="13" fillId="7" borderId="12" xfId="13" applyFill="1" applyBorder="1"/>
    <xf numFmtId="3" fontId="13" fillId="7" borderId="15" xfId="13" applyNumberFormat="1" applyFill="1" applyBorder="1"/>
    <xf numFmtId="167" fontId="15" fillId="7" borderId="20" xfId="15" applyNumberFormat="1" applyFont="1" applyFill="1" applyBorder="1"/>
    <xf numFmtId="0" fontId="28" fillId="7" borderId="17" xfId="13" applyFont="1" applyFill="1" applyBorder="1"/>
    <xf numFmtId="0" fontId="13" fillId="7" borderId="11" xfId="13" applyFill="1" applyBorder="1"/>
    <xf numFmtId="3" fontId="15" fillId="7" borderId="17" xfId="13" applyNumberFormat="1" applyFont="1" applyFill="1" applyBorder="1"/>
    <xf numFmtId="3" fontId="13" fillId="7" borderId="18" xfId="13" applyNumberFormat="1" applyFill="1" applyBorder="1"/>
    <xf numFmtId="3" fontId="15" fillId="7" borderId="18" xfId="13" applyNumberFormat="1" applyFont="1" applyFill="1" applyBorder="1"/>
    <xf numFmtId="3" fontId="13" fillId="7" borderId="18" xfId="13" applyNumberFormat="1" applyFill="1" applyBorder="1" applyAlignment="1">
      <alignment horizontal="right"/>
    </xf>
    <xf numFmtId="0" fontId="41" fillId="7" borderId="20" xfId="13" applyFont="1" applyFill="1" applyBorder="1"/>
    <xf numFmtId="0" fontId="41" fillId="7" borderId="13" xfId="13" applyFont="1" applyFill="1" applyBorder="1"/>
    <xf numFmtId="0" fontId="13" fillId="7" borderId="20" xfId="13" applyFill="1" applyBorder="1"/>
    <xf numFmtId="0" fontId="13" fillId="7" borderId="13" xfId="13" applyFill="1" applyBorder="1"/>
    <xf numFmtId="3" fontId="15" fillId="7" borderId="6" xfId="13" applyNumberFormat="1" applyFont="1" applyFill="1" applyBorder="1"/>
    <xf numFmtId="3" fontId="16" fillId="7" borderId="6" xfId="13" applyNumberFormat="1" applyFont="1" applyFill="1" applyBorder="1"/>
    <xf numFmtId="3" fontId="13" fillId="7" borderId="6" xfId="13" applyNumberFormat="1" applyFill="1" applyBorder="1" applyAlignment="1">
      <alignment horizontal="right"/>
    </xf>
    <xf numFmtId="0" fontId="40" fillId="7" borderId="12" xfId="13" applyFont="1" applyFill="1" applyBorder="1"/>
    <xf numFmtId="0" fontId="42" fillId="7" borderId="12" xfId="13" applyFont="1" applyFill="1" applyBorder="1"/>
    <xf numFmtId="3" fontId="16" fillId="7" borderId="12" xfId="13" applyNumberFormat="1" applyFont="1" applyFill="1" applyBorder="1" applyAlignment="1">
      <alignment horizontal="right" vertical="top" wrapText="1"/>
    </xf>
    <xf numFmtId="1" fontId="15" fillId="7" borderId="14" xfId="13" applyNumberFormat="1" applyFont="1" applyFill="1" applyBorder="1"/>
    <xf numFmtId="0" fontId="13" fillId="16" borderId="15" xfId="13" applyFill="1" applyBorder="1"/>
    <xf numFmtId="3" fontId="13" fillId="16" borderId="15" xfId="13" applyNumberFormat="1" applyFill="1" applyBorder="1"/>
    <xf numFmtId="0" fontId="43" fillId="4" borderId="0" xfId="16"/>
    <xf numFmtId="0" fontId="43" fillId="4" borderId="0" xfId="16" applyAlignment="1">
      <alignment horizontal="left"/>
    </xf>
    <xf numFmtId="3" fontId="44" fillId="4" borderId="0" xfId="16" applyNumberFormat="1" applyFont="1"/>
    <xf numFmtId="0" fontId="45" fillId="4" borderId="0" xfId="16" applyFont="1" applyAlignment="1">
      <alignment horizontal="left"/>
    </xf>
    <xf numFmtId="3" fontId="46" fillId="4" borderId="0" xfId="16" applyNumberFormat="1" applyFont="1"/>
    <xf numFmtId="3" fontId="7" fillId="5" borderId="4" xfId="9" applyNumberFormat="1"/>
    <xf numFmtId="0" fontId="7" fillId="5" borderId="4" xfId="9" applyAlignment="1">
      <alignment horizontal="right"/>
    </xf>
    <xf numFmtId="0" fontId="7" fillId="5" borderId="4" xfId="9"/>
    <xf numFmtId="174" fontId="0" fillId="0" borderId="0" xfId="0" applyNumberFormat="1"/>
    <xf numFmtId="3" fontId="43" fillId="4" borderId="0" xfId="16" applyNumberFormat="1"/>
    <xf numFmtId="0" fontId="43" fillId="4" borderId="0" xfId="16" applyAlignment="1">
      <alignment horizontal="right"/>
    </xf>
    <xf numFmtId="3" fontId="6" fillId="3" borderId="0" xfId="8" applyNumberFormat="1"/>
    <xf numFmtId="0" fontId="43" fillId="4" borderId="0" xfId="16" applyAlignment="1">
      <alignment horizontal="center"/>
    </xf>
    <xf numFmtId="0" fontId="45" fillId="4" borderId="0" xfId="16" applyFont="1"/>
    <xf numFmtId="166" fontId="0" fillId="0" borderId="0" xfId="0" applyNumberFormat="1"/>
    <xf numFmtId="0" fontId="6" fillId="3" borderId="0" xfId="8"/>
    <xf numFmtId="173" fontId="43" fillId="4" borderId="0" xfId="16" applyNumberFormat="1"/>
    <xf numFmtId="3" fontId="47" fillId="5" borderId="4" xfId="9" applyNumberFormat="1" applyFont="1"/>
    <xf numFmtId="9" fontId="1" fillId="0" borderId="0" xfId="2" applyFont="1"/>
    <xf numFmtId="175" fontId="44" fillId="4" borderId="0" xfId="16" applyNumberFormat="1" applyFont="1"/>
    <xf numFmtId="173" fontId="43" fillId="4" borderId="0" xfId="14" applyNumberFormat="1" applyFont="1" applyFill="1"/>
    <xf numFmtId="0" fontId="43" fillId="4" borderId="18" xfId="16" applyBorder="1"/>
    <xf numFmtId="0" fontId="43" fillId="4" borderId="18" xfId="16" applyBorder="1" applyAlignment="1">
      <alignment horizontal="left"/>
    </xf>
    <xf numFmtId="3" fontId="44" fillId="4" borderId="18" xfId="16" applyNumberFormat="1" applyFont="1" applyBorder="1"/>
    <xf numFmtId="3" fontId="0" fillId="0" borderId="0" xfId="0" applyNumberFormat="1"/>
    <xf numFmtId="0" fontId="0" fillId="0" borderId="18" xfId="0" applyBorder="1"/>
    <xf numFmtId="3" fontId="48" fillId="4" borderId="0" xfId="16" applyNumberFormat="1" applyFont="1"/>
    <xf numFmtId="175" fontId="6" fillId="3" borderId="0" xfId="8" applyNumberFormat="1"/>
    <xf numFmtId="9" fontId="44" fillId="4" borderId="0" xfId="2" applyFont="1" applyFill="1"/>
    <xf numFmtId="3" fontId="49" fillId="4" borderId="0" xfId="16" applyNumberFormat="1" applyFont="1"/>
    <xf numFmtId="0" fontId="45" fillId="4" borderId="0" xfId="16" applyFont="1" applyAlignment="1">
      <alignment horizontal="center"/>
    </xf>
    <xf numFmtId="9" fontId="44" fillId="4" borderId="0" xfId="16" applyNumberFormat="1" applyFont="1"/>
    <xf numFmtId="173" fontId="0" fillId="0" borderId="0" xfId="0" applyNumberFormat="1"/>
    <xf numFmtId="173" fontId="6" fillId="3" borderId="0" xfId="8" applyNumberFormat="1"/>
    <xf numFmtId="0" fontId="43" fillId="0" borderId="0" xfId="16" applyFill="1"/>
    <xf numFmtId="0" fontId="50" fillId="0" borderId="0" xfId="16" applyFont="1" applyFill="1"/>
    <xf numFmtId="0" fontId="51" fillId="0" borderId="0" xfId="16" applyFont="1" applyFill="1"/>
    <xf numFmtId="0" fontId="52" fillId="0" borderId="0" xfId="16" applyFont="1" applyFill="1"/>
    <xf numFmtId="0" fontId="0" fillId="0" borderId="0" xfId="0" applyAlignment="1">
      <alignment wrapText="1"/>
    </xf>
    <xf numFmtId="0" fontId="2" fillId="0" borderId="1" xfId="3"/>
    <xf numFmtId="169" fontId="0" fillId="0" borderId="0" xfId="2" applyNumberFormat="1" applyFont="1"/>
    <xf numFmtId="3" fontId="11" fillId="17" borderId="0" xfId="0" applyNumberFormat="1" applyFont="1" applyFill="1"/>
    <xf numFmtId="0" fontId="0" fillId="0" borderId="0" xfId="0" applyAlignment="1">
      <alignment horizontal="left"/>
    </xf>
    <xf numFmtId="176" fontId="6" fillId="3" borderId="0" xfId="8" applyNumberFormat="1"/>
    <xf numFmtId="174" fontId="44" fillId="4" borderId="0" xfId="2" applyNumberFormat="1" applyFont="1" applyFill="1"/>
    <xf numFmtId="0" fontId="53" fillId="0" borderId="0" xfId="17" applyAlignment="1">
      <alignment horizontal="left" vertical="top"/>
    </xf>
    <xf numFmtId="0" fontId="19" fillId="0" borderId="0" xfId="17" applyFont="1" applyAlignment="1">
      <alignment horizontal="left" vertical="top" wrapText="1" indent="1"/>
    </xf>
    <xf numFmtId="1" fontId="54" fillId="0" borderId="22" xfId="17" applyNumberFormat="1" applyFont="1" applyBorder="1" applyAlignment="1">
      <alignment horizontal="right" vertical="top" shrinkToFit="1"/>
    </xf>
    <xf numFmtId="1" fontId="54" fillId="0" borderId="0" xfId="17" applyNumberFormat="1" applyFont="1" applyAlignment="1">
      <alignment horizontal="right" vertical="top" indent="1" shrinkToFit="1"/>
    </xf>
    <xf numFmtId="0" fontId="19" fillId="18" borderId="23" xfId="17" applyFont="1" applyFill="1" applyBorder="1" applyAlignment="1">
      <alignment horizontal="right" vertical="top" wrapText="1"/>
    </xf>
    <xf numFmtId="0" fontId="19" fillId="0" borderId="22" xfId="17" applyFont="1" applyBorder="1" applyAlignment="1">
      <alignment horizontal="right" vertical="top" wrapText="1"/>
    </xf>
    <xf numFmtId="0" fontId="19" fillId="0" borderId="0" xfId="17" applyFont="1" applyAlignment="1">
      <alignment horizontal="right" vertical="top" wrapText="1" indent="1"/>
    </xf>
    <xf numFmtId="1" fontId="54" fillId="0" borderId="24" xfId="17" applyNumberFormat="1" applyFont="1" applyBorder="1" applyAlignment="1">
      <alignment horizontal="right" shrinkToFit="1"/>
    </xf>
    <xf numFmtId="1" fontId="54" fillId="0" borderId="25" xfId="17" applyNumberFormat="1" applyFont="1" applyBorder="1" applyAlignment="1">
      <alignment horizontal="right" indent="1" shrinkToFit="1"/>
    </xf>
    <xf numFmtId="1" fontId="57" fillId="19" borderId="25" xfId="17" applyNumberFormat="1" applyFont="1" applyFill="1" applyBorder="1" applyAlignment="1">
      <alignment horizontal="right" shrinkToFit="1"/>
    </xf>
    <xf numFmtId="0" fontId="53" fillId="0" borderId="26" xfId="17" applyBorder="1" applyAlignment="1">
      <alignment horizontal="left" vertical="center" wrapText="1"/>
    </xf>
    <xf numFmtId="0" fontId="19" fillId="0" borderId="27" xfId="17" applyFont="1" applyBorder="1" applyAlignment="1">
      <alignment horizontal="right" vertical="top" wrapText="1"/>
    </xf>
    <xf numFmtId="0" fontId="19" fillId="0" borderId="28" xfId="17" applyFont="1" applyBorder="1" applyAlignment="1">
      <alignment horizontal="right" vertical="top" wrapText="1" indent="1"/>
    </xf>
    <xf numFmtId="0" fontId="19" fillId="18" borderId="28" xfId="17" applyFont="1" applyFill="1" applyBorder="1" applyAlignment="1">
      <alignment horizontal="right" vertical="top" wrapText="1"/>
    </xf>
    <xf numFmtId="0" fontId="53" fillId="0" borderId="29" xfId="17" applyBorder="1" applyAlignment="1">
      <alignment horizontal="left" wrapText="1"/>
    </xf>
    <xf numFmtId="0" fontId="19" fillId="18" borderId="0" xfId="17" applyFont="1" applyFill="1" applyAlignment="1">
      <alignment horizontal="right" vertical="top" wrapText="1"/>
    </xf>
    <xf numFmtId="0" fontId="19" fillId="0" borderId="29" xfId="17" applyFont="1" applyBorder="1" applyAlignment="1">
      <alignment horizontal="left" vertical="top" wrapText="1"/>
    </xf>
    <xf numFmtId="1" fontId="54" fillId="18" borderId="0" xfId="17" applyNumberFormat="1" applyFont="1" applyFill="1" applyAlignment="1">
      <alignment horizontal="right" vertical="top" shrinkToFit="1"/>
    </xf>
    <xf numFmtId="0" fontId="19" fillId="0" borderId="30" xfId="17" applyFont="1" applyBorder="1" applyAlignment="1">
      <alignment horizontal="left" vertical="top" wrapText="1"/>
    </xf>
    <xf numFmtId="0" fontId="19" fillId="0" borderId="31" xfId="17" applyFont="1" applyBorder="1" applyAlignment="1">
      <alignment horizontal="right" vertical="top" wrapText="1"/>
    </xf>
    <xf numFmtId="0" fontId="19" fillId="0" borderId="23" xfId="17" applyFont="1" applyBorder="1" applyAlignment="1">
      <alignment horizontal="right" vertical="top" wrapText="1" indent="1"/>
    </xf>
    <xf numFmtId="0" fontId="19" fillId="0" borderId="32" xfId="17" applyFont="1" applyBorder="1" applyAlignment="1">
      <alignment horizontal="center" vertical="top" wrapText="1"/>
    </xf>
    <xf numFmtId="0" fontId="53" fillId="0" borderId="26" xfId="17" applyBorder="1" applyAlignment="1">
      <alignment horizontal="left" wrapText="1"/>
    </xf>
    <xf numFmtId="0" fontId="53" fillId="0" borderId="0" xfId="17" applyAlignment="1">
      <alignment horizontal="left" wrapText="1"/>
    </xf>
    <xf numFmtId="0" fontId="19" fillId="0" borderId="29" xfId="17" applyFont="1" applyBorder="1" applyAlignment="1">
      <alignment horizontal="center" vertical="top" wrapText="1"/>
    </xf>
    <xf numFmtId="1" fontId="54" fillId="0" borderId="0" xfId="17" applyNumberFormat="1" applyFont="1" applyAlignment="1">
      <alignment horizontal="right" vertical="top" shrinkToFit="1"/>
    </xf>
    <xf numFmtId="0" fontId="54" fillId="18" borderId="0" xfId="17" applyFont="1" applyFill="1" applyAlignment="1">
      <alignment horizontal="right" vertical="top" wrapText="1"/>
    </xf>
    <xf numFmtId="0" fontId="19" fillId="0" borderId="0" xfId="17" applyFont="1" applyAlignment="1">
      <alignment vertical="top" wrapText="1"/>
    </xf>
    <xf numFmtId="0" fontId="53" fillId="0" borderId="33" xfId="17" applyBorder="1" applyAlignment="1">
      <alignment horizontal="left" wrapText="1"/>
    </xf>
    <xf numFmtId="0" fontId="53" fillId="0" borderId="34" xfId="17" applyBorder="1" applyAlignment="1">
      <alignment horizontal="left" wrapText="1"/>
    </xf>
    <xf numFmtId="0" fontId="53" fillId="0" borderId="35" xfId="17" applyBorder="1" applyAlignment="1">
      <alignment horizontal="left" wrapText="1"/>
    </xf>
    <xf numFmtId="0" fontId="53" fillId="18" borderId="35" xfId="17" applyFill="1" applyBorder="1" applyAlignment="1">
      <alignment horizontal="left" wrapText="1"/>
    </xf>
    <xf numFmtId="1" fontId="54" fillId="0" borderId="35" xfId="17" applyNumberFormat="1" applyFont="1" applyBorder="1" applyAlignment="1">
      <alignment horizontal="right" vertical="top" shrinkToFit="1"/>
    </xf>
    <xf numFmtId="1" fontId="54" fillId="0" borderId="27" xfId="17" applyNumberFormat="1" applyFont="1" applyBorder="1" applyAlignment="1">
      <alignment horizontal="right" vertical="top" shrinkToFit="1"/>
    </xf>
    <xf numFmtId="1" fontId="54" fillId="0" borderId="28" xfId="17" applyNumberFormat="1" applyFont="1" applyBorder="1" applyAlignment="1">
      <alignment horizontal="right" vertical="top" indent="1" shrinkToFit="1"/>
    </xf>
    <xf numFmtId="1" fontId="54" fillId="18" borderId="28" xfId="17" applyNumberFormat="1" applyFont="1" applyFill="1" applyBorder="1" applyAlignment="1">
      <alignment horizontal="right" vertical="top" shrinkToFit="1"/>
    </xf>
    <xf numFmtId="164" fontId="0" fillId="0" borderId="0" xfId="0" applyNumberFormat="1"/>
    <xf numFmtId="0" fontId="53" fillId="0" borderId="31" xfId="17" applyBorder="1" applyAlignment="1">
      <alignment horizontal="left" wrapText="1"/>
    </xf>
    <xf numFmtId="0" fontId="53" fillId="0" borderId="23" xfId="17" applyBorder="1" applyAlignment="1">
      <alignment horizontal="left" wrapText="1"/>
    </xf>
    <xf numFmtId="0" fontId="53" fillId="18" borderId="23" xfId="17" applyFill="1" applyBorder="1" applyAlignment="1">
      <alignment horizontal="left" wrapText="1"/>
    </xf>
    <xf numFmtId="1" fontId="54" fillId="0" borderId="24" xfId="17" applyNumberFormat="1" applyFont="1" applyBorder="1" applyAlignment="1">
      <alignment horizontal="right" vertical="center" shrinkToFit="1"/>
    </xf>
    <xf numFmtId="1" fontId="54" fillId="0" borderId="25" xfId="17" applyNumberFormat="1" applyFont="1" applyBorder="1" applyAlignment="1">
      <alignment horizontal="right" vertical="center" indent="1" shrinkToFit="1"/>
    </xf>
    <xf numFmtId="1" fontId="54" fillId="0" borderId="25" xfId="17" applyNumberFormat="1" applyFont="1" applyBorder="1" applyAlignment="1">
      <alignment horizontal="left" vertical="center" indent="2" shrinkToFit="1"/>
    </xf>
    <xf numFmtId="1" fontId="57" fillId="19" borderId="25" xfId="17" applyNumberFormat="1" applyFont="1" applyFill="1" applyBorder="1" applyAlignment="1">
      <alignment horizontal="left" vertical="center" indent="2" shrinkToFit="1"/>
    </xf>
    <xf numFmtId="0" fontId="53" fillId="0" borderId="32" xfId="17" applyBorder="1" applyAlignment="1">
      <alignment horizontal="left" vertical="top" wrapText="1" indent="1"/>
    </xf>
    <xf numFmtId="0" fontId="53" fillId="0" borderId="0" xfId="18" applyAlignment="1">
      <alignment horizontal="left" vertical="top"/>
    </xf>
    <xf numFmtId="1" fontId="0" fillId="0" borderId="0" xfId="0" applyNumberFormat="1" applyAlignment="1">
      <alignment horizontal="left" vertical="top"/>
    </xf>
    <xf numFmtId="0" fontId="66" fillId="0" borderId="0" xfId="18" applyFont="1" applyAlignment="1">
      <alignment horizontal="left" vertical="top"/>
    </xf>
    <xf numFmtId="0" fontId="53" fillId="17" borderId="21" xfId="18" applyFill="1" applyBorder="1" applyAlignment="1">
      <alignment horizontal="left" vertical="top"/>
    </xf>
    <xf numFmtId="9" fontId="53" fillId="0" borderId="0" xfId="2" applyFont="1" applyAlignment="1">
      <alignment horizontal="left" vertical="top"/>
    </xf>
    <xf numFmtId="9" fontId="53" fillId="17" borderId="21" xfId="18" applyNumberFormat="1" applyFill="1" applyBorder="1" applyAlignment="1">
      <alignment horizontal="left" vertical="top"/>
    </xf>
    <xf numFmtId="1" fontId="11" fillId="0" borderId="36" xfId="0" applyNumberFormat="1" applyFont="1" applyBorder="1"/>
    <xf numFmtId="1" fontId="11" fillId="0" borderId="37" xfId="0" applyNumberFormat="1" applyFont="1" applyBorder="1"/>
    <xf numFmtId="164" fontId="0" fillId="0" borderId="37" xfId="0" applyNumberFormat="1" applyBorder="1" applyAlignment="1">
      <alignment horizontal="center"/>
    </xf>
    <xf numFmtId="164" fontId="11" fillId="0" borderId="8" xfId="0" applyNumberFormat="1" applyFont="1" applyBorder="1"/>
    <xf numFmtId="1" fontId="11" fillId="0" borderId="38" xfId="0" applyNumberFormat="1" applyFont="1" applyBorder="1"/>
    <xf numFmtId="174" fontId="11" fillId="0" borderId="38" xfId="0" applyNumberFormat="1" applyFont="1" applyBorder="1"/>
    <xf numFmtId="1" fontId="11" fillId="0" borderId="19" xfId="0" applyNumberFormat="1" applyFont="1" applyBorder="1"/>
    <xf numFmtId="164" fontId="0" fillId="0" borderId="19" xfId="0" applyNumberFormat="1" applyBorder="1" applyAlignment="1">
      <alignment horizontal="center"/>
    </xf>
    <xf numFmtId="164" fontId="11" fillId="0" borderId="10" xfId="0" applyNumberFormat="1" applyFont="1" applyBorder="1"/>
    <xf numFmtId="1" fontId="0" fillId="0" borderId="38" xfId="0" applyNumberFormat="1" applyBorder="1"/>
    <xf numFmtId="1" fontId="0" fillId="0" borderId="19" xfId="0" applyNumberFormat="1" applyBorder="1"/>
    <xf numFmtId="9" fontId="1" fillId="0" borderId="38" xfId="2" applyFont="1" applyBorder="1"/>
    <xf numFmtId="9" fontId="1" fillId="0" borderId="19" xfId="2" applyFont="1" applyBorder="1"/>
    <xf numFmtId="3" fontId="0" fillId="0" borderId="38" xfId="0" applyNumberFormat="1" applyBorder="1"/>
    <xf numFmtId="3" fontId="0" fillId="0" borderId="19" xfId="0" applyNumberFormat="1" applyBorder="1"/>
    <xf numFmtId="164" fontId="0" fillId="0" borderId="15" xfId="0" applyNumberFormat="1" applyBorder="1" applyAlignment="1">
      <alignment horizontal="center"/>
    </xf>
    <xf numFmtId="164" fontId="11" fillId="0" borderId="39" xfId="0" applyNumberFormat="1" applyFont="1" applyBorder="1"/>
    <xf numFmtId="164" fontId="11" fillId="0" borderId="40" xfId="0" applyNumberFormat="1" applyFont="1" applyBorder="1"/>
    <xf numFmtId="164" fontId="11" fillId="0" borderId="41" xfId="0" applyNumberFormat="1" applyFont="1" applyBorder="1"/>
    <xf numFmtId="164" fontId="0" fillId="0" borderId="42" xfId="0" applyNumberFormat="1" applyBorder="1"/>
    <xf numFmtId="164" fontId="0" fillId="0" borderId="43" xfId="0" applyNumberFormat="1" applyBorder="1"/>
    <xf numFmtId="164" fontId="3" fillId="0" borderId="0" xfId="4" applyNumberFormat="1" applyBorder="1"/>
    <xf numFmtId="0" fontId="0" fillId="20" borderId="21" xfId="0" applyFill="1" applyBorder="1"/>
    <xf numFmtId="164" fontId="0" fillId="20" borderId="21" xfId="0" applyNumberFormat="1" applyFill="1" applyBorder="1"/>
    <xf numFmtId="164" fontId="0" fillId="0" borderId="0" xfId="0" applyNumberFormat="1" applyAlignment="1">
      <alignment horizontal="right" indent="1"/>
    </xf>
    <xf numFmtId="0" fontId="67" fillId="0" borderId="0" xfId="0" applyFont="1"/>
    <xf numFmtId="4" fontId="7" fillId="5" borderId="44" xfId="9" applyNumberFormat="1" applyBorder="1"/>
    <xf numFmtId="2" fontId="0" fillId="20" borderId="21" xfId="0" applyNumberFormat="1" applyFill="1" applyBorder="1"/>
    <xf numFmtId="174" fontId="5" fillId="2" borderId="5" xfId="7" applyNumberFormat="1" applyBorder="1"/>
    <xf numFmtId="1" fontId="8" fillId="6" borderId="5" xfId="10" applyNumberFormat="1"/>
    <xf numFmtId="9" fontId="0" fillId="0" borderId="0" xfId="2" applyFont="1"/>
    <xf numFmtId="0" fontId="7" fillId="5" borderId="4" xfId="9" applyNumberFormat="1"/>
    <xf numFmtId="2" fontId="8" fillId="6" borderId="5" xfId="10" applyNumberFormat="1"/>
    <xf numFmtId="0" fontId="0" fillId="20" borderId="21" xfId="0" applyFill="1" applyBorder="1" applyAlignment="1">
      <alignment horizontal="right"/>
    </xf>
    <xf numFmtId="169" fontId="8" fillId="6" borderId="5" xfId="2" applyNumberFormat="1" applyFont="1" applyFill="1" applyBorder="1"/>
    <xf numFmtId="2" fontId="0" fillId="21" borderId="0" xfId="0" applyNumberFormat="1" applyFill="1"/>
    <xf numFmtId="2" fontId="0" fillId="22" borderId="0" xfId="0" applyNumberFormat="1" applyFill="1"/>
    <xf numFmtId="0" fontId="0" fillId="0" borderId="7" xfId="0" applyBorder="1" applyAlignment="1">
      <alignment horizontal="left"/>
    </xf>
    <xf numFmtId="1" fontId="0" fillId="0" borderId="45" xfId="0" applyNumberFormat="1" applyBorder="1"/>
    <xf numFmtId="164" fontId="0" fillId="0" borderId="45" xfId="0" applyNumberFormat="1" applyBorder="1"/>
    <xf numFmtId="164" fontId="0" fillId="0" borderId="8" xfId="0" applyNumberFormat="1" applyBorder="1"/>
    <xf numFmtId="1" fontId="0" fillId="0" borderId="45" xfId="0" applyNumberFormat="1" applyBorder="1" applyAlignment="1">
      <alignment horizontal="right"/>
    </xf>
    <xf numFmtId="0" fontId="0" fillId="0" borderId="45" xfId="0" applyBorder="1"/>
    <xf numFmtId="0" fontId="0" fillId="21" borderId="0" xfId="0" applyFill="1"/>
    <xf numFmtId="0" fontId="0" fillId="22" borderId="0" xfId="0" applyFill="1"/>
    <xf numFmtId="164" fontId="0" fillId="0" borderId="9" xfId="0" applyNumberFormat="1" applyBorder="1"/>
    <xf numFmtId="164" fontId="0" fillId="0" borderId="10" xfId="0" applyNumberFormat="1" applyBorder="1"/>
    <xf numFmtId="0" fontId="0" fillId="0" borderId="9" xfId="0" applyBorder="1"/>
    <xf numFmtId="0" fontId="0" fillId="0" borderId="10" xfId="0" applyBorder="1"/>
    <xf numFmtId="164" fontId="4" fillId="0" borderId="3" xfId="5" applyNumberFormat="1"/>
    <xf numFmtId="0" fontId="0" fillId="0" borderId="46" xfId="0" applyBorder="1"/>
    <xf numFmtId="0" fontId="0" fillId="0" borderId="47" xfId="0" applyBorder="1"/>
    <xf numFmtId="0" fontId="0" fillId="0" borderId="48" xfId="0" applyBorder="1"/>
    <xf numFmtId="1" fontId="9" fillId="6" borderId="4" xfId="11" applyNumberFormat="1"/>
    <xf numFmtId="164" fontId="0" fillId="0" borderId="7" xfId="0" applyNumberFormat="1" applyBorder="1"/>
    <xf numFmtId="174" fontId="9" fillId="6" borderId="49" xfId="11" applyNumberFormat="1" applyBorder="1"/>
    <xf numFmtId="0" fontId="0" fillId="0" borderId="9" xfId="0" applyBorder="1" applyAlignment="1">
      <alignment horizontal="left"/>
    </xf>
    <xf numFmtId="174" fontId="9" fillId="6" borderId="50" xfId="11" applyNumberFormat="1" applyBorder="1"/>
    <xf numFmtId="169" fontId="8" fillId="6" borderId="5" xfId="2" applyNumberFormat="1" applyFont="1" applyFill="1" applyBorder="1" applyAlignment="1">
      <alignment horizontal="center"/>
    </xf>
    <xf numFmtId="174" fontId="9" fillId="6" borderId="51" xfId="11" applyNumberFormat="1" applyBorder="1"/>
    <xf numFmtId="174" fontId="9" fillId="6" borderId="4" xfId="11" applyNumberFormat="1"/>
    <xf numFmtId="164" fontId="0" fillId="0" borderId="46" xfId="0" applyNumberFormat="1" applyBorder="1"/>
    <xf numFmtId="164" fontId="0" fillId="0" borderId="47" xfId="0" applyNumberFormat="1" applyBorder="1"/>
    <xf numFmtId="164" fontId="0" fillId="0" borderId="48" xfId="0" applyNumberFormat="1" applyBorder="1"/>
    <xf numFmtId="2" fontId="9" fillId="6" borderId="49" xfId="11" applyNumberFormat="1" applyBorder="1"/>
    <xf numFmtId="174" fontId="9" fillId="6" borderId="52" xfId="11" applyNumberFormat="1" applyBorder="1"/>
    <xf numFmtId="169" fontId="8" fillId="6" borderId="15" xfId="2" applyNumberFormat="1" applyFont="1" applyFill="1" applyBorder="1"/>
    <xf numFmtId="4" fontId="7" fillId="5" borderId="51" xfId="9" applyNumberFormat="1" applyBorder="1"/>
    <xf numFmtId="164" fontId="68" fillId="0" borderId="10" xfId="0" applyNumberFormat="1" applyFont="1" applyBorder="1"/>
    <xf numFmtId="0" fontId="0" fillId="0" borderId="46" xfId="0" applyBorder="1" applyAlignment="1">
      <alignment horizontal="left"/>
    </xf>
    <xf numFmtId="1" fontId="0" fillId="0" borderId="47" xfId="0" applyNumberFormat="1" applyBorder="1"/>
    <xf numFmtId="4" fontId="7" fillId="5" borderId="53" xfId="9" applyNumberFormat="1" applyBorder="1"/>
    <xf numFmtId="0" fontId="0" fillId="17" borderId="21" xfId="0" applyFill="1" applyBorder="1"/>
    <xf numFmtId="0" fontId="0" fillId="0" borderId="8" xfId="0" applyBorder="1" applyAlignment="1">
      <alignment horizontal="right"/>
    </xf>
    <xf numFmtId="0" fontId="0" fillId="0" borderId="10" xfId="0" applyBorder="1" applyAlignment="1">
      <alignment horizontal="right"/>
    </xf>
    <xf numFmtId="164" fontId="11" fillId="0" borderId="0" xfId="0" applyNumberFormat="1" applyFont="1"/>
    <xf numFmtId="164" fontId="0" fillId="0" borderId="0" xfId="0" applyNumberFormat="1" applyAlignment="1">
      <alignment horizontal="right"/>
    </xf>
    <xf numFmtId="175" fontId="7" fillId="0" borderId="54" xfId="9" applyNumberFormat="1" applyFill="1" applyBorder="1"/>
    <xf numFmtId="175" fontId="7" fillId="5" borderId="52" xfId="9" applyNumberFormat="1" applyBorder="1"/>
    <xf numFmtId="164" fontId="0" fillId="0" borderId="8" xfId="0" applyNumberFormat="1" applyBorder="1" applyAlignment="1">
      <alignment horizontal="left"/>
    </xf>
    <xf numFmtId="177" fontId="0" fillId="0" borderId="0" xfId="0" applyNumberFormat="1"/>
    <xf numFmtId="177" fontId="7" fillId="5" borderId="4" xfId="9" applyNumberFormat="1"/>
    <xf numFmtId="1" fontId="0" fillId="13" borderId="0" xfId="0" applyNumberFormat="1" applyFill="1"/>
    <xf numFmtId="175" fontId="7" fillId="5" borderId="4" xfId="9" applyNumberFormat="1"/>
    <xf numFmtId="175" fontId="9" fillId="6" borderId="4" xfId="11" applyNumberFormat="1"/>
    <xf numFmtId="2" fontId="0" fillId="0" borderId="10" xfId="0" applyNumberFormat="1" applyBorder="1"/>
    <xf numFmtId="0" fontId="0" fillId="0" borderId="10" xfId="0" applyBorder="1" applyAlignment="1">
      <alignment horizontal="left"/>
    </xf>
    <xf numFmtId="9" fontId="11" fillId="0" borderId="0" xfId="2" applyFont="1"/>
    <xf numFmtId="9" fontId="9" fillId="6" borderId="4" xfId="11" applyNumberFormat="1"/>
    <xf numFmtId="4" fontId="7" fillId="0" borderId="53" xfId="9" applyNumberFormat="1" applyFill="1" applyBorder="1"/>
    <xf numFmtId="175" fontId="7" fillId="5" borderId="55" xfId="9" applyNumberFormat="1" applyBorder="1"/>
    <xf numFmtId="3" fontId="11" fillId="0" borderId="0" xfId="0" applyNumberFormat="1" applyFont="1"/>
    <xf numFmtId="49" fontId="69" fillId="0" borderId="0" xfId="0" applyNumberFormat="1" applyFont="1"/>
    <xf numFmtId="3" fontId="70" fillId="0" borderId="0" xfId="0" applyNumberFormat="1" applyFont="1"/>
    <xf numFmtId="178" fontId="70" fillId="0" borderId="0" xfId="0" applyNumberFormat="1" applyFont="1"/>
    <xf numFmtId="0" fontId="71" fillId="0" borderId="0" xfId="0" applyFont="1"/>
    <xf numFmtId="2" fontId="11" fillId="0" borderId="0" xfId="0" applyNumberFormat="1" applyFont="1"/>
    <xf numFmtId="0" fontId="1" fillId="0" borderId="0" xfId="2" applyNumberFormat="1" applyFont="1"/>
    <xf numFmtId="11" fontId="11" fillId="0" borderId="0" xfId="0" applyNumberFormat="1" applyFont="1"/>
    <xf numFmtId="164" fontId="10" fillId="0" borderId="0" xfId="0" applyNumberFormat="1" applyFont="1"/>
    <xf numFmtId="0" fontId="72" fillId="0" borderId="0" xfId="19" applyNumberFormat="1" applyAlignment="1" applyProtection="1"/>
    <xf numFmtId="2" fontId="9" fillId="6" borderId="4" xfId="11" applyNumberFormat="1"/>
    <xf numFmtId="169" fontId="6" fillId="3" borderId="4" xfId="8" applyNumberFormat="1" applyBorder="1"/>
    <xf numFmtId="164" fontId="0" fillId="0" borderId="0" xfId="0" applyNumberFormat="1" applyAlignment="1">
      <alignment horizontal="left"/>
    </xf>
    <xf numFmtId="1" fontId="11" fillId="0" borderId="0" xfId="0" applyNumberFormat="1" applyFont="1"/>
    <xf numFmtId="172" fontId="9" fillId="6" borderId="4" xfId="11" applyNumberFormat="1"/>
    <xf numFmtId="169" fontId="9" fillId="6" borderId="4" xfId="11" applyNumberFormat="1"/>
    <xf numFmtId="9" fontId="6" fillId="3" borderId="0" xfId="2" applyFont="1" applyFill="1" applyAlignment="1">
      <alignment horizontal="right"/>
    </xf>
    <xf numFmtId="169" fontId="7" fillId="5" borderId="4" xfId="2" applyNumberFormat="1" applyFont="1" applyFill="1" applyBorder="1"/>
    <xf numFmtId="169" fontId="9" fillId="6" borderId="4" xfId="2" applyNumberFormat="1" applyFont="1" applyFill="1" applyBorder="1"/>
    <xf numFmtId="3" fontId="9" fillId="6" borderId="4" xfId="11" applyNumberFormat="1"/>
    <xf numFmtId="169" fontId="11" fillId="0" borderId="21" xfId="2" applyNumberFormat="1" applyFont="1" applyBorder="1"/>
    <xf numFmtId="2" fontId="6" fillId="3" borderId="0" xfId="8" applyNumberFormat="1" applyAlignment="1">
      <alignment horizontal="right"/>
    </xf>
    <xf numFmtId="0" fontId="0" fillId="0" borderId="21" xfId="0" applyBorder="1"/>
    <xf numFmtId="0" fontId="0" fillId="23" borderId="21" xfId="0" applyFill="1" applyBorder="1"/>
    <xf numFmtId="179" fontId="0" fillId="0" borderId="0" xfId="2" applyNumberFormat="1" applyFont="1"/>
    <xf numFmtId="4" fontId="0" fillId="0" borderId="0" xfId="0" applyNumberFormat="1"/>
    <xf numFmtId="164" fontId="3" fillId="0" borderId="2" xfId="4" applyNumberFormat="1"/>
    <xf numFmtId="2" fontId="5" fillId="2" borderId="0" xfId="7" applyNumberFormat="1"/>
    <xf numFmtId="174" fontId="8" fillId="6" borderId="5" xfId="10" applyNumberFormat="1"/>
    <xf numFmtId="9" fontId="7" fillId="5" borderId="4" xfId="9" applyNumberFormat="1"/>
    <xf numFmtId="172" fontId="8" fillId="6" borderId="5" xfId="10" applyNumberFormat="1"/>
    <xf numFmtId="1" fontId="6" fillId="3" borderId="4" xfId="8" applyNumberFormat="1" applyBorder="1"/>
    <xf numFmtId="164" fontId="7" fillId="5" borderId="4" xfId="9" applyNumberFormat="1"/>
    <xf numFmtId="169" fontId="7" fillId="5" borderId="4" xfId="9" applyNumberFormat="1"/>
    <xf numFmtId="2" fontId="0" fillId="0" borderId="0" xfId="0" applyNumberFormat="1" applyAlignment="1">
      <alignment horizontal="center"/>
    </xf>
    <xf numFmtId="1" fontId="0" fillId="0" borderId="0" xfId="0" applyNumberFormat="1" applyAlignment="1">
      <alignment horizontal="right"/>
    </xf>
    <xf numFmtId="174" fontId="7" fillId="5" borderId="4" xfId="9" applyNumberFormat="1"/>
    <xf numFmtId="2" fontId="7" fillId="5" borderId="4" xfId="9" applyNumberFormat="1"/>
    <xf numFmtId="175" fontId="0" fillId="0" borderId="0" xfId="0" applyNumberFormat="1"/>
    <xf numFmtId="0" fontId="19" fillId="0" borderId="0" xfId="20" applyFont="1" applyAlignment="1">
      <alignment vertical="top" wrapText="1"/>
    </xf>
    <xf numFmtId="180" fontId="8" fillId="6" borderId="5" xfId="10" applyNumberFormat="1"/>
    <xf numFmtId="4" fontId="7" fillId="5" borderId="4" xfId="9" applyNumberFormat="1"/>
    <xf numFmtId="3" fontId="10" fillId="5" borderId="4" xfId="9" applyNumberFormat="1" applyFont="1"/>
    <xf numFmtId="169" fontId="1" fillId="0" borderId="0" xfId="2" applyNumberFormat="1" applyFont="1"/>
    <xf numFmtId="3" fontId="5" fillId="2" borderId="0" xfId="7" applyNumberFormat="1"/>
    <xf numFmtId="164" fontId="4" fillId="0" borderId="0" xfId="6" applyNumberFormat="1"/>
    <xf numFmtId="10" fontId="7" fillId="5" borderId="4" xfId="9" applyNumberFormat="1"/>
    <xf numFmtId="4" fontId="0" fillId="23" borderId="21" xfId="0" applyNumberFormat="1" applyFill="1" applyBorder="1"/>
    <xf numFmtId="10" fontId="0" fillId="0" borderId="0" xfId="2" applyNumberFormat="1" applyFont="1"/>
    <xf numFmtId="9" fontId="10" fillId="2" borderId="4" xfId="7" applyNumberFormat="1" applyFont="1" applyBorder="1"/>
    <xf numFmtId="169" fontId="11" fillId="0" borderId="21" xfId="2" applyNumberFormat="1" applyFont="1" applyFill="1" applyBorder="1"/>
    <xf numFmtId="10" fontId="37" fillId="13" borderId="0" xfId="2" applyNumberFormat="1" applyFont="1" applyFill="1"/>
    <xf numFmtId="2" fontId="0" fillId="13" borderId="0" xfId="0" applyNumberFormat="1" applyFill="1"/>
    <xf numFmtId="169" fontId="8" fillId="6" borderId="5" xfId="10" applyNumberFormat="1"/>
    <xf numFmtId="2" fontId="0" fillId="0" borderId="0" xfId="2" applyNumberFormat="1" applyFont="1"/>
    <xf numFmtId="2" fontId="7" fillId="13" borderId="4" xfId="9" applyNumberFormat="1" applyFill="1"/>
    <xf numFmtId="166" fontId="1" fillId="0" borderId="0" xfId="14" applyFont="1"/>
    <xf numFmtId="3" fontId="73" fillId="2" borderId="4" xfId="7" applyNumberFormat="1" applyFont="1" applyBorder="1"/>
    <xf numFmtId="164" fontId="68" fillId="0" borderId="0" xfId="0" applyNumberFormat="1" applyFont="1"/>
    <xf numFmtId="2" fontId="0" fillId="13" borderId="21" xfId="0" applyNumberFormat="1" applyFill="1" applyBorder="1"/>
    <xf numFmtId="3" fontId="0" fillId="13" borderId="0" xfId="0" applyNumberFormat="1" applyFill="1"/>
    <xf numFmtId="3" fontId="74" fillId="0" borderId="0" xfId="0" applyNumberFormat="1" applyFont="1"/>
    <xf numFmtId="2" fontId="74" fillId="0" borderId="0" xfId="0" applyNumberFormat="1" applyFont="1"/>
    <xf numFmtId="164" fontId="74" fillId="0" borderId="0" xfId="0" applyNumberFormat="1" applyFont="1"/>
    <xf numFmtId="179" fontId="11" fillId="13" borderId="0" xfId="2" applyNumberFormat="1" applyFont="1" applyFill="1"/>
    <xf numFmtId="0" fontId="11" fillId="13" borderId="0" xfId="0" applyFont="1" applyFill="1"/>
    <xf numFmtId="173" fontId="0" fillId="13" borderId="0" xfId="0" applyNumberFormat="1" applyFill="1"/>
    <xf numFmtId="173" fontId="1" fillId="13" borderId="0" xfId="14" applyNumberFormat="1" applyFont="1" applyFill="1"/>
    <xf numFmtId="0" fontId="0" fillId="13" borderId="0" xfId="0" applyFill="1"/>
    <xf numFmtId="10" fontId="11" fillId="13" borderId="0" xfId="2" applyNumberFormat="1" applyFont="1" applyFill="1"/>
    <xf numFmtId="1" fontId="7" fillId="5" borderId="4" xfId="9" applyNumberFormat="1"/>
    <xf numFmtId="174" fontId="11" fillId="13" borderId="0" xfId="0" applyNumberFormat="1" applyFont="1" applyFill="1"/>
    <xf numFmtId="0" fontId="0" fillId="0" borderId="0" xfId="0" applyAlignment="1">
      <alignment horizontal="left" vertical="top"/>
    </xf>
    <xf numFmtId="164" fontId="8" fillId="6" borderId="5" xfId="10" applyNumberFormat="1"/>
    <xf numFmtId="164" fontId="73" fillId="2" borderId="4" xfId="7" applyNumberFormat="1" applyFont="1" applyBorder="1"/>
    <xf numFmtId="164" fontId="9" fillId="6" borderId="4" xfId="11" applyNumberFormat="1"/>
    <xf numFmtId="164" fontId="2" fillId="0" borderId="1" xfId="3" applyNumberFormat="1"/>
    <xf numFmtId="2" fontId="13" fillId="0" borderId="0" xfId="21" applyNumberFormat="1" applyFont="1" applyFill="1" applyAlignment="1">
      <alignment horizontal="right"/>
    </xf>
    <xf numFmtId="169" fontId="13" fillId="0" borderId="0" xfId="21" applyNumberFormat="1" applyFont="1" applyFill="1" applyAlignment="1">
      <alignment horizontal="right"/>
    </xf>
    <xf numFmtId="0" fontId="13" fillId="0" borderId="0" xfId="21" applyNumberFormat="1" applyFont="1" applyFill="1" applyAlignment="1">
      <alignment horizontal="right"/>
    </xf>
    <xf numFmtId="169" fontId="13" fillId="0" borderId="0" xfId="21" applyNumberFormat="1" applyFont="1" applyFill="1" applyAlignment="1">
      <alignment horizontal="left"/>
    </xf>
    <xf numFmtId="1" fontId="13" fillId="0" borderId="0" xfId="21" applyNumberFormat="1" applyFont="1" applyFill="1" applyAlignment="1">
      <alignment horizontal="right"/>
    </xf>
    <xf numFmtId="2" fontId="76" fillId="0" borderId="0" xfId="21" applyNumberFormat="1" applyFont="1" applyFill="1" applyAlignment="1">
      <alignment horizontal="right"/>
    </xf>
    <xf numFmtId="174" fontId="13" fillId="0" borderId="0" xfId="21" applyNumberFormat="1" applyFont="1" applyFill="1" applyAlignment="1">
      <alignment horizontal="right"/>
    </xf>
    <xf numFmtId="172" fontId="13" fillId="0" borderId="0" xfId="21" applyNumberFormat="1" applyFont="1" applyFill="1" applyAlignment="1">
      <alignment horizontal="right"/>
    </xf>
    <xf numFmtId="0" fontId="4" fillId="0" borderId="0" xfId="6"/>
    <xf numFmtId="0" fontId="2" fillId="0" borderId="1" xfId="3" applyFill="1" applyAlignment="1">
      <alignment wrapText="1"/>
    </xf>
    <xf numFmtId="0" fontId="79" fillId="0" borderId="0" xfId="13" applyFont="1" applyAlignment="1">
      <alignment horizontal="center"/>
    </xf>
    <xf numFmtId="0" fontId="79" fillId="0" borderId="0" xfId="13" applyFont="1"/>
    <xf numFmtId="0" fontId="16" fillId="0" borderId="0" xfId="13" applyFont="1"/>
    <xf numFmtId="0" fontId="13" fillId="0" borderId="0" xfId="13" applyAlignment="1" applyProtection="1">
      <alignment horizontal="center"/>
      <protection locked="0"/>
    </xf>
    <xf numFmtId="0" fontId="4" fillId="0" borderId="0" xfId="6" applyFill="1" applyAlignment="1">
      <alignment horizontal="center" wrapText="1"/>
    </xf>
    <xf numFmtId="0" fontId="4" fillId="0" borderId="18" xfId="6" applyFill="1" applyBorder="1" applyAlignment="1">
      <alignment horizontal="center" wrapText="1"/>
    </xf>
    <xf numFmtId="0" fontId="4" fillId="0" borderId="0" xfId="6" applyFill="1" applyBorder="1" applyAlignment="1">
      <alignment horizontal="center" wrapText="1"/>
    </xf>
    <xf numFmtId="0" fontId="16" fillId="0" borderId="6" xfId="13" applyFont="1" applyBorder="1" applyAlignment="1">
      <alignment horizontal="center" wrapText="1"/>
    </xf>
    <xf numFmtId="0" fontId="16" fillId="0" borderId="6" xfId="13" applyFont="1" applyBorder="1" applyAlignment="1">
      <alignment horizontal="center" vertical="center" wrapText="1"/>
    </xf>
    <xf numFmtId="0" fontId="13" fillId="0" borderId="0" xfId="13" applyAlignment="1">
      <alignment horizontal="center" vertical="center"/>
    </xf>
    <xf numFmtId="0" fontId="13" fillId="0" borderId="45" xfId="13" applyBorder="1"/>
    <xf numFmtId="2" fontId="77" fillId="0" borderId="45" xfId="13" applyNumberFormat="1" applyFont="1" applyBorder="1" applyAlignment="1">
      <alignment horizontal="center"/>
    </xf>
    <xf numFmtId="0" fontId="13" fillId="0" borderId="45" xfId="13" applyBorder="1" applyAlignment="1">
      <alignment horizontal="center" wrapText="1"/>
    </xf>
    <xf numFmtId="2" fontId="13" fillId="0" borderId="45" xfId="13" applyNumberFormat="1" applyBorder="1" applyAlignment="1">
      <alignment horizontal="center"/>
    </xf>
    <xf numFmtId="1" fontId="13" fillId="0" borderId="45" xfId="13" applyNumberFormat="1" applyBorder="1" applyAlignment="1">
      <alignment horizontal="center"/>
    </xf>
    <xf numFmtId="0" fontId="13" fillId="0" borderId="0" xfId="13" applyAlignment="1" applyProtection="1">
      <alignment horizontal="left"/>
      <protection locked="0"/>
    </xf>
    <xf numFmtId="0" fontId="75" fillId="0" borderId="0" xfId="13" applyFont="1" applyAlignment="1" applyProtection="1">
      <alignment horizontal="left"/>
      <protection locked="0"/>
    </xf>
    <xf numFmtId="0" fontId="75" fillId="0" borderId="0" xfId="13" applyFont="1" applyAlignment="1">
      <alignment horizontal="center"/>
    </xf>
    <xf numFmtId="172" fontId="6" fillId="0" borderId="0" xfId="8" applyNumberFormat="1" applyFill="1" applyAlignment="1">
      <alignment horizontal="right"/>
    </xf>
    <xf numFmtId="2" fontId="6" fillId="0" borderId="0" xfId="22" applyNumberFormat="1" applyFill="1" applyAlignment="1">
      <alignment horizontal="right"/>
    </xf>
    <xf numFmtId="3" fontId="13" fillId="0" borderId="0" xfId="13" applyNumberFormat="1" applyAlignment="1">
      <alignment horizontal="right"/>
    </xf>
    <xf numFmtId="2" fontId="6" fillId="0" borderId="0" xfId="8" applyNumberFormat="1" applyFill="1" applyAlignment="1">
      <alignment horizontal="right"/>
    </xf>
    <xf numFmtId="171" fontId="6" fillId="0" borderId="0" xfId="8" applyNumberFormat="1" applyFill="1" applyAlignment="1">
      <alignment horizontal="right"/>
    </xf>
    <xf numFmtId="178" fontId="13" fillId="0" borderId="0" xfId="13" applyNumberFormat="1" applyAlignment="1">
      <alignment horizontal="right"/>
    </xf>
    <xf numFmtId="2" fontId="13" fillId="0" borderId="0" xfId="13" applyNumberFormat="1" applyAlignment="1">
      <alignment horizontal="right"/>
    </xf>
    <xf numFmtId="167" fontId="0" fillId="0" borderId="0" xfId="1" applyNumberFormat="1" applyFont="1"/>
    <xf numFmtId="180" fontId="8" fillId="6" borderId="5" xfId="2" applyNumberFormat="1" applyFont="1" applyFill="1" applyBorder="1"/>
    <xf numFmtId="0" fontId="16" fillId="0" borderId="0" xfId="13" applyFont="1" applyAlignment="1">
      <alignment horizontal="center" vertical="center" wrapText="1"/>
    </xf>
    <xf numFmtId="0" fontId="13" fillId="0" borderId="45" xfId="13" applyBorder="1" applyAlignment="1">
      <alignment horizontal="center"/>
    </xf>
    <xf numFmtId="174" fontId="6" fillId="3" borderId="4" xfId="8" applyNumberFormat="1" applyBorder="1"/>
    <xf numFmtId="0" fontId="6" fillId="3" borderId="18" xfId="8" applyBorder="1"/>
    <xf numFmtId="167" fontId="6" fillId="3" borderId="18" xfId="8" applyNumberFormat="1" applyBorder="1"/>
    <xf numFmtId="170" fontId="6" fillId="3" borderId="12" xfId="8" applyNumberFormat="1" applyBorder="1"/>
    <xf numFmtId="167" fontId="6" fillId="3" borderId="11" xfId="8" applyNumberFormat="1" applyBorder="1"/>
    <xf numFmtId="167" fontId="6" fillId="3" borderId="12" xfId="8" applyNumberFormat="1" applyBorder="1"/>
    <xf numFmtId="2" fontId="8" fillId="6" borderId="5" xfId="2" applyNumberFormat="1" applyFont="1" applyFill="1" applyBorder="1"/>
    <xf numFmtId="171" fontId="8" fillId="6" borderId="5" xfId="2" applyNumberFormat="1" applyFont="1" applyFill="1" applyBorder="1"/>
    <xf numFmtId="171" fontId="13" fillId="0" borderId="0" xfId="21" applyNumberFormat="1" applyFont="1" applyFill="1" applyAlignment="1">
      <alignment horizontal="right"/>
    </xf>
    <xf numFmtId="172" fontId="8" fillId="6" borderId="15" xfId="2" applyNumberFormat="1" applyFont="1" applyFill="1" applyBorder="1"/>
    <xf numFmtId="4" fontId="13" fillId="0" borderId="0" xfId="13" applyNumberFormat="1" applyAlignment="1">
      <alignment horizontal="right"/>
    </xf>
    <xf numFmtId="0" fontId="16" fillId="7" borderId="0" xfId="13" applyFont="1" applyFill="1" applyAlignment="1">
      <alignment horizontal="left" wrapText="1"/>
    </xf>
    <xf numFmtId="0" fontId="16" fillId="7" borderId="14" xfId="13" applyFont="1" applyFill="1" applyBorder="1" applyAlignment="1">
      <alignment horizontal="left" wrapText="1"/>
    </xf>
    <xf numFmtId="0" fontId="16" fillId="7" borderId="18" xfId="13" applyFont="1" applyFill="1" applyBorder="1" applyAlignment="1">
      <alignment horizontal="left" wrapText="1"/>
    </xf>
    <xf numFmtId="0" fontId="16" fillId="7" borderId="17" xfId="13" applyFont="1" applyFill="1" applyBorder="1" applyAlignment="1">
      <alignment horizontal="left" wrapText="1"/>
    </xf>
    <xf numFmtId="0" fontId="16" fillId="7" borderId="0" xfId="13" applyFont="1" applyFill="1" applyAlignment="1">
      <alignment horizontal="center" wrapText="1"/>
    </xf>
    <xf numFmtId="0" fontId="16" fillId="7" borderId="18" xfId="13" applyFont="1" applyFill="1" applyBorder="1" applyAlignment="1">
      <alignment horizontal="center" wrapText="1"/>
    </xf>
    <xf numFmtId="0" fontId="13" fillId="7" borderId="0" xfId="13" applyFill="1" applyAlignment="1">
      <alignment horizontal="center" vertical="center" wrapText="1"/>
    </xf>
    <xf numFmtId="0" fontId="13" fillId="7" borderId="18" xfId="13" applyFill="1" applyBorder="1" applyAlignment="1">
      <alignment horizontal="center" vertical="center" wrapText="1"/>
    </xf>
    <xf numFmtId="0" fontId="13" fillId="7" borderId="0" xfId="13" applyFill="1" applyAlignment="1">
      <alignment horizontal="center" wrapText="1"/>
    </xf>
    <xf numFmtId="0" fontId="13" fillId="7" borderId="18" xfId="13" applyFill="1" applyBorder="1" applyAlignment="1">
      <alignment horizontal="center" wrapText="1"/>
    </xf>
    <xf numFmtId="0" fontId="11" fillId="0" borderId="0" xfId="0" applyFont="1" applyAlignment="1">
      <alignment horizontal="center"/>
    </xf>
    <xf numFmtId="0" fontId="13" fillId="11" borderId="13" xfId="13" applyFill="1" applyBorder="1" applyAlignment="1">
      <alignment horizontal="center"/>
    </xf>
    <xf numFmtId="0" fontId="13" fillId="11" borderId="6" xfId="13" applyFill="1" applyBorder="1" applyAlignment="1">
      <alignment horizontal="center"/>
    </xf>
    <xf numFmtId="3" fontId="13" fillId="11" borderId="13" xfId="13" applyNumberFormat="1" applyFill="1" applyBorder="1" applyAlignment="1">
      <alignment horizontal="center"/>
    </xf>
    <xf numFmtId="3" fontId="13" fillId="11" borderId="6" xfId="13" applyNumberFormat="1" applyFill="1" applyBorder="1" applyAlignment="1">
      <alignment horizontal="center"/>
    </xf>
    <xf numFmtId="0" fontId="13" fillId="0" borderId="20" xfId="13" applyBorder="1" applyAlignment="1">
      <alignment horizontal="center"/>
    </xf>
    <xf numFmtId="0" fontId="16" fillId="7" borderId="11" xfId="13" applyFont="1" applyFill="1" applyBorder="1" applyAlignment="1">
      <alignment horizontal="left"/>
    </xf>
    <xf numFmtId="0" fontId="16" fillId="7" borderId="18" xfId="13" applyFont="1" applyFill="1" applyBorder="1" applyAlignment="1">
      <alignment horizontal="left"/>
    </xf>
    <xf numFmtId="0" fontId="16" fillId="7" borderId="11" xfId="13" applyFont="1" applyFill="1" applyBorder="1" applyAlignment="1">
      <alignment horizontal="center"/>
    </xf>
    <xf numFmtId="0" fontId="16" fillId="7" borderId="17" xfId="13" applyFont="1" applyFill="1" applyBorder="1" applyAlignment="1">
      <alignment horizontal="center"/>
    </xf>
    <xf numFmtId="3" fontId="13" fillId="15" borderId="13" xfId="13" applyNumberFormat="1" applyFill="1" applyBorder="1" applyAlignment="1">
      <alignment horizontal="center"/>
    </xf>
    <xf numFmtId="3" fontId="13" fillId="15" borderId="6" xfId="13" applyNumberFormat="1" applyFill="1" applyBorder="1" applyAlignment="1">
      <alignment horizontal="center"/>
    </xf>
    <xf numFmtId="0" fontId="13" fillId="0" borderId="6" xfId="13" applyBorder="1" applyAlignment="1">
      <alignment horizontal="center"/>
    </xf>
    <xf numFmtId="0" fontId="13" fillId="15" borderId="13" xfId="13" applyFill="1" applyBorder="1" applyAlignment="1">
      <alignment horizontal="center"/>
    </xf>
    <xf numFmtId="0" fontId="13" fillId="15" borderId="6" xfId="13" applyFill="1" applyBorder="1" applyAlignment="1">
      <alignment horizontal="center"/>
    </xf>
    <xf numFmtId="0" fontId="13" fillId="7" borderId="6" xfId="13" applyFill="1" applyBorder="1" applyAlignment="1">
      <alignment horizontal="center" wrapText="1"/>
    </xf>
    <xf numFmtId="0" fontId="13" fillId="7" borderId="13" xfId="13" applyFill="1" applyBorder="1" applyAlignment="1">
      <alignment horizontal="center" wrapText="1"/>
    </xf>
    <xf numFmtId="0" fontId="13" fillId="7" borderId="11" xfId="13" applyFill="1" applyBorder="1" applyAlignment="1">
      <alignment horizontal="center" wrapText="1"/>
    </xf>
    <xf numFmtId="0" fontId="19" fillId="0" borderId="0" xfId="17" applyFont="1" applyAlignment="1">
      <alignment horizontal="left" vertical="top" wrapText="1" indent="1"/>
    </xf>
    <xf numFmtId="0" fontId="19" fillId="0" borderId="28" xfId="17" applyFont="1" applyBorder="1" applyAlignment="1">
      <alignment horizontal="left" vertical="top" wrapText="1" indent="1"/>
    </xf>
    <xf numFmtId="0" fontId="60" fillId="0" borderId="0" xfId="17" applyFont="1" applyAlignment="1">
      <alignment horizontal="left" vertical="top" wrapText="1"/>
    </xf>
    <xf numFmtId="0" fontId="53" fillId="0" borderId="0" xfId="17" applyAlignment="1">
      <alignment horizontal="left" vertical="top" wrapText="1"/>
    </xf>
    <xf numFmtId="0" fontId="19" fillId="0" borderId="25" xfId="17" applyFont="1" applyBorder="1" applyAlignment="1">
      <alignment horizontal="right" wrapText="1"/>
    </xf>
    <xf numFmtId="0" fontId="53" fillId="0" borderId="23" xfId="17" applyBorder="1" applyAlignment="1">
      <alignment horizontal="left" vertical="top" wrapText="1"/>
    </xf>
    <xf numFmtId="0" fontId="53" fillId="0" borderId="0" xfId="17" applyAlignment="1">
      <alignment horizontal="left" vertical="top" wrapText="1" indent="45"/>
    </xf>
    <xf numFmtId="0" fontId="19" fillId="0" borderId="35" xfId="17" applyFont="1" applyBorder="1" applyAlignment="1">
      <alignment horizontal="left" vertical="top" wrapText="1"/>
    </xf>
    <xf numFmtId="0" fontId="63" fillId="0" borderId="0" xfId="17" applyFont="1" applyAlignment="1">
      <alignment horizontal="left" vertical="top" wrapText="1"/>
    </xf>
    <xf numFmtId="0" fontId="19" fillId="0" borderId="25" xfId="17" applyFont="1" applyBorder="1" applyAlignment="1">
      <alignment horizontal="right" vertical="center" wrapText="1"/>
    </xf>
    <xf numFmtId="0" fontId="19" fillId="0" borderId="23" xfId="17" applyFont="1" applyBorder="1" applyAlignment="1">
      <alignment horizontal="left" vertical="top" wrapText="1"/>
    </xf>
    <xf numFmtId="0" fontId="19" fillId="0" borderId="30" xfId="17" applyFont="1" applyBorder="1" applyAlignment="1">
      <alignment horizontal="left" vertical="top" wrapText="1"/>
    </xf>
    <xf numFmtId="0" fontId="19" fillId="0" borderId="29" xfId="17" applyFont="1" applyBorder="1" applyAlignment="1">
      <alignment horizontal="left" vertical="top" wrapText="1"/>
    </xf>
    <xf numFmtId="0" fontId="19" fillId="0" borderId="26" xfId="17" applyFont="1" applyBorder="1" applyAlignment="1">
      <alignment horizontal="left" vertical="top" wrapText="1"/>
    </xf>
    <xf numFmtId="0" fontId="19" fillId="0" borderId="0" xfId="17" applyFont="1" applyAlignment="1">
      <alignment horizontal="left" vertical="top" wrapText="1"/>
    </xf>
  </cellXfs>
  <cellStyles count="25">
    <cellStyle name="Bad" xfId="8" builtinId="27"/>
    <cellStyle name="Bad 2" xfId="22" xr:uid="{7A63B15E-F952-4E82-B913-CFA29EF1CF8B}"/>
    <cellStyle name="Calculation" xfId="11" builtinId="22"/>
    <cellStyle name="Comma" xfId="1" builtinId="3"/>
    <cellStyle name="Comma 2" xfId="14" xr:uid="{5AE8C570-FF4D-4F98-9527-760026D60D85}"/>
    <cellStyle name="Comma 4" xfId="15" xr:uid="{B43542FB-DBBA-4601-8B82-D1B3C2D65EA6}"/>
    <cellStyle name="External" xfId="23" xr:uid="{5661B758-C87E-433A-8D51-1C525832C175}"/>
    <cellStyle name="Good" xfId="7" builtinId="26"/>
    <cellStyle name="Heading 1" xfId="3" builtinId="16"/>
    <cellStyle name="Heading 2" xfId="4" builtinId="17"/>
    <cellStyle name="Heading 2 2 2" xfId="12" xr:uid="{7228D1BC-8C54-4472-A553-17AF1AE54FB9}"/>
    <cellStyle name="Heading 3" xfId="5" builtinId="18"/>
    <cellStyle name="Heading 4" xfId="6" builtinId="19"/>
    <cellStyle name="Hyperlink 2" xfId="19" xr:uid="{503520A0-69EE-49C9-880A-0609434801BA}"/>
    <cellStyle name="Input" xfId="9" builtinId="20"/>
    <cellStyle name="Neutral 2" xfId="16" xr:uid="{937E9747-A224-4AF0-9DBD-FA24DEAB5410}"/>
    <cellStyle name="Normal" xfId="0" builtinId="0"/>
    <cellStyle name="Normal 2" xfId="13" xr:uid="{3BA1AE41-8A8E-4941-A306-3D2F0DD92B29}"/>
    <cellStyle name="Normal 2 2" xfId="24" xr:uid="{2EA266BF-1613-49B8-8731-195F2586721D}"/>
    <cellStyle name="Normal 20" xfId="18" xr:uid="{58CF1A7D-1DBA-4257-8FC3-819425DB8ADA}"/>
    <cellStyle name="Normal 3 2" xfId="20" xr:uid="{45BF73A2-FA4F-405B-8BBB-8E58403583BA}"/>
    <cellStyle name="Normal 3 2 5" xfId="17" xr:uid="{A6F8AAC7-5A36-4DBE-B418-F942D5E1C7DC}"/>
    <cellStyle name="Output" xfId="10" builtinId="21"/>
    <cellStyle name="Percent" xfId="2" builtinId="5"/>
    <cellStyle name="Percent 2" xfId="21" xr:uid="{0874F8D4-13A0-4498-9283-3C46D9EC53B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Assumed Refinery Retirement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'Crude refineries'!$D$51</c:f>
              <c:strCache>
                <c:ptCount val="1"/>
                <c:pt idx="0">
                  <c:v>CHEVREF</c:v>
                </c:pt>
              </c:strCache>
            </c:strRef>
          </c:tx>
          <c:spPr>
            <a:solidFill>
              <a:schemeClr val="accent1"/>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refineries'!$E$51:$M$51</c:f>
              <c:numCache>
                <c:formatCode>#,##0</c:formatCode>
                <c:ptCount val="9"/>
                <c:pt idx="0">
                  <c:v>100000</c:v>
                </c:pt>
                <c:pt idx="1">
                  <c:v>0</c:v>
                </c:pt>
                <c:pt idx="2">
                  <c:v>0</c:v>
                </c:pt>
                <c:pt idx="3">
                  <c:v>0</c:v>
                </c:pt>
                <c:pt idx="4">
                  <c:v>100000</c:v>
                </c:pt>
                <c:pt idx="5">
                  <c:v>100000</c:v>
                </c:pt>
                <c:pt idx="6">
                  <c:v>100000</c:v>
                </c:pt>
                <c:pt idx="7">
                  <c:v>100000</c:v>
                </c:pt>
                <c:pt idx="8">
                  <c:v>100000</c:v>
                </c:pt>
              </c:numCache>
            </c:numRef>
          </c:val>
          <c:extLst>
            <c:ext xmlns:c16="http://schemas.microsoft.com/office/drawing/2014/chart" uri="{C3380CC4-5D6E-409C-BE32-E72D297353CC}">
              <c16:uniqueId val="{00000000-7927-4D8B-8958-77ADC11D5E9A}"/>
            </c:ext>
          </c:extLst>
        </c:ser>
        <c:ser>
          <c:idx val="1"/>
          <c:order val="1"/>
          <c:tx>
            <c:strRef>
              <c:f>'Crude refineries'!$D$52</c:f>
              <c:strCache>
                <c:ptCount val="1"/>
                <c:pt idx="0">
                  <c:v>SAPREF</c:v>
                </c:pt>
              </c:strCache>
            </c:strRef>
          </c:tx>
          <c:spPr>
            <a:solidFill>
              <a:schemeClr val="accent2"/>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refineries'!$E$52:$M$52</c:f>
              <c:numCache>
                <c:formatCode>#,##0</c:formatCode>
                <c:ptCount val="9"/>
                <c:pt idx="0">
                  <c:v>180000</c:v>
                </c:pt>
                <c:pt idx="1">
                  <c:v>180000</c:v>
                </c:pt>
                <c:pt idx="2">
                  <c:v>180000</c:v>
                </c:pt>
                <c:pt idx="3">
                  <c:v>0</c:v>
                </c:pt>
                <c:pt idx="4">
                  <c:v>0</c:v>
                </c:pt>
                <c:pt idx="5">
                  <c:v>0</c:v>
                </c:pt>
                <c:pt idx="6">
                  <c:v>0</c:v>
                </c:pt>
                <c:pt idx="7">
                  <c:v>0</c:v>
                </c:pt>
                <c:pt idx="8">
                  <c:v>0</c:v>
                </c:pt>
              </c:numCache>
            </c:numRef>
          </c:val>
          <c:extLst>
            <c:ext xmlns:c16="http://schemas.microsoft.com/office/drawing/2014/chart" uri="{C3380CC4-5D6E-409C-BE32-E72D297353CC}">
              <c16:uniqueId val="{00000001-7927-4D8B-8958-77ADC11D5E9A}"/>
            </c:ext>
          </c:extLst>
        </c:ser>
        <c:ser>
          <c:idx val="2"/>
          <c:order val="2"/>
          <c:tx>
            <c:strRef>
              <c:f>'Crude refineries'!$D$53</c:f>
              <c:strCache>
                <c:ptCount val="1"/>
                <c:pt idx="0">
                  <c:v>ENREF</c:v>
                </c:pt>
              </c:strCache>
            </c:strRef>
          </c:tx>
          <c:spPr>
            <a:solidFill>
              <a:schemeClr val="accent3"/>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refineries'!$E$53:$M$53</c:f>
              <c:numCache>
                <c:formatCode>#,##0</c:formatCode>
                <c:ptCount val="9"/>
                <c:pt idx="0">
                  <c:v>135000</c:v>
                </c:pt>
                <c:pt idx="1">
                  <c:v>135000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7927-4D8B-8958-77ADC11D5E9A}"/>
            </c:ext>
          </c:extLst>
        </c:ser>
        <c:ser>
          <c:idx val="3"/>
          <c:order val="3"/>
          <c:tx>
            <c:strRef>
              <c:f>'Crude refineries'!$D$54</c:f>
              <c:strCache>
                <c:ptCount val="1"/>
                <c:pt idx="0">
                  <c:v>NATREF</c:v>
                </c:pt>
              </c:strCache>
            </c:strRef>
          </c:tx>
          <c:spPr>
            <a:solidFill>
              <a:schemeClr val="accent4"/>
            </a:solidFill>
            <a:ln>
              <a:noFill/>
            </a:ln>
            <a:effectLst/>
          </c:spPr>
          <c:invertIfNegative val="0"/>
          <c:cat>
            <c:numRef>
              <c:f>'Crude refineries'!$E$50:$M$50</c:f>
              <c:numCache>
                <c:formatCode>General</c:formatCode>
                <c:ptCount val="9"/>
                <c:pt idx="0">
                  <c:v>2019</c:v>
                </c:pt>
                <c:pt idx="1">
                  <c:v>2020</c:v>
                </c:pt>
                <c:pt idx="2">
                  <c:v>2021</c:v>
                </c:pt>
                <c:pt idx="3">
                  <c:v>2022</c:v>
                </c:pt>
                <c:pt idx="4">
                  <c:v>2023</c:v>
                </c:pt>
                <c:pt idx="5" formatCode="#,##0">
                  <c:v>2025</c:v>
                </c:pt>
                <c:pt idx="6" formatCode="#,##0">
                  <c:v>2030</c:v>
                </c:pt>
                <c:pt idx="7">
                  <c:v>2035</c:v>
                </c:pt>
                <c:pt idx="8" formatCode="#,##0">
                  <c:v>2040</c:v>
                </c:pt>
              </c:numCache>
            </c:numRef>
          </c:cat>
          <c:val>
            <c:numRef>
              <c:f>'Crude refineries'!$E$54:$M$54</c:f>
              <c:numCache>
                <c:formatCode>#,##0</c:formatCode>
                <c:ptCount val="9"/>
                <c:pt idx="0">
                  <c:v>108000</c:v>
                </c:pt>
                <c:pt idx="1">
                  <c:v>0</c:v>
                </c:pt>
                <c:pt idx="2">
                  <c:v>108000</c:v>
                </c:pt>
                <c:pt idx="3">
                  <c:v>108000</c:v>
                </c:pt>
                <c:pt idx="4">
                  <c:v>108000</c:v>
                </c:pt>
                <c:pt idx="5">
                  <c:v>108000</c:v>
                </c:pt>
                <c:pt idx="6">
                  <c:v>108000</c:v>
                </c:pt>
                <c:pt idx="7">
                  <c:v>108000</c:v>
                </c:pt>
                <c:pt idx="8">
                  <c:v>108000</c:v>
                </c:pt>
              </c:numCache>
            </c:numRef>
          </c:val>
          <c:extLst>
            <c:ext xmlns:c16="http://schemas.microsoft.com/office/drawing/2014/chart" uri="{C3380CC4-5D6E-409C-BE32-E72D297353CC}">
              <c16:uniqueId val="{00000003-7927-4D8B-8958-77ADC11D5E9A}"/>
            </c:ext>
          </c:extLst>
        </c:ser>
        <c:dLbls>
          <c:showLegendKey val="0"/>
          <c:showVal val="0"/>
          <c:showCatName val="0"/>
          <c:showSerName val="0"/>
          <c:showPercent val="0"/>
          <c:showBubbleSize val="0"/>
        </c:dLbls>
        <c:gapWidth val="150"/>
        <c:overlap val="100"/>
        <c:axId val="622198064"/>
        <c:axId val="622198456"/>
      </c:barChart>
      <c:catAx>
        <c:axId val="6221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456"/>
        <c:crosses val="autoZero"/>
        <c:auto val="1"/>
        <c:lblAlgn val="ctr"/>
        <c:lblOffset val="100"/>
        <c:noMultiLvlLbl val="0"/>
      </c:catAx>
      <c:valAx>
        <c:axId val="622198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bb/day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98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11</xdr:col>
      <xdr:colOff>2319617</xdr:colOff>
      <xdr:row>18</xdr:row>
      <xdr:rowOff>89647</xdr:rowOff>
    </xdr:from>
    <xdr:to>
      <xdr:col>14</xdr:col>
      <xdr:colOff>201706</xdr:colOff>
      <xdr:row>23</xdr:row>
      <xdr:rowOff>123265</xdr:rowOff>
    </xdr:to>
    <xdr:cxnSp macro="">
      <xdr:nvCxnSpPr>
        <xdr:cNvPr id="2" name="Straight Arrow Connector 1">
          <a:extLst>
            <a:ext uri="{FF2B5EF4-FFF2-40B4-BE49-F238E27FC236}">
              <a16:creationId xmlns:a16="http://schemas.microsoft.com/office/drawing/2014/main" id="{5C63B1C4-5E1C-41BF-AE94-840753C5980B}"/>
            </a:ext>
          </a:extLst>
        </xdr:cNvPr>
        <xdr:cNvCxnSpPr/>
      </xdr:nvCxnSpPr>
      <xdr:spPr>
        <a:xfrm flipV="1">
          <a:off x="9139517" y="3518647"/>
          <a:ext cx="1730189" cy="98611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324971</xdr:colOff>
      <xdr:row>1</xdr:row>
      <xdr:rowOff>190500</xdr:rowOff>
    </xdr:from>
    <xdr:to>
      <xdr:col>9</xdr:col>
      <xdr:colOff>123266</xdr:colOff>
      <xdr:row>6</xdr:row>
      <xdr:rowOff>100852</xdr:rowOff>
    </xdr:to>
    <xdr:sp macro="" textlink="">
      <xdr:nvSpPr>
        <xdr:cNvPr id="3" name="TextBox 2">
          <a:extLst>
            <a:ext uri="{FF2B5EF4-FFF2-40B4-BE49-F238E27FC236}">
              <a16:creationId xmlns:a16="http://schemas.microsoft.com/office/drawing/2014/main" id="{751F5954-7096-4059-B138-6F4F49BE5136}"/>
            </a:ext>
          </a:extLst>
        </xdr:cNvPr>
        <xdr:cNvSpPr txBox="1"/>
      </xdr:nvSpPr>
      <xdr:spPr>
        <a:xfrm>
          <a:off x="2610971" y="381000"/>
          <a:ext cx="4370295" cy="862852"/>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NIR 2017 total</a:t>
          </a:r>
          <a:r>
            <a:rPr lang="en-ZA" sz="1100" baseline="0"/>
            <a:t> process emissions: 25578.84   = Secunda + Sasolburg</a:t>
          </a:r>
        </a:p>
        <a:p>
          <a:endParaRPr lang="en-ZA" sz="1100"/>
        </a:p>
      </xdr:txBody>
    </xdr:sp>
    <xdr:clientData/>
  </xdr:twoCellAnchor>
  <xdr:twoCellAnchor editAs="oneCell">
    <xdr:from>
      <xdr:col>18</xdr:col>
      <xdr:colOff>190500</xdr:colOff>
      <xdr:row>114</xdr:row>
      <xdr:rowOff>171450</xdr:rowOff>
    </xdr:from>
    <xdr:to>
      <xdr:col>26</xdr:col>
      <xdr:colOff>399218</xdr:colOff>
      <xdr:row>144</xdr:row>
      <xdr:rowOff>56438</xdr:rowOff>
    </xdr:to>
    <xdr:pic>
      <xdr:nvPicPr>
        <xdr:cNvPr id="4" name="Picture 3">
          <a:extLst>
            <a:ext uri="{FF2B5EF4-FFF2-40B4-BE49-F238E27FC236}">
              <a16:creationId xmlns:a16="http://schemas.microsoft.com/office/drawing/2014/main" id="{9CAFA976-F1DE-698B-7281-53D77A821D21}"/>
            </a:ext>
          </a:extLst>
        </xdr:cNvPr>
        <xdr:cNvPicPr>
          <a:picLocks noChangeAspect="1"/>
        </xdr:cNvPicPr>
      </xdr:nvPicPr>
      <xdr:blipFill>
        <a:blip xmlns:r="http://schemas.openxmlformats.org/officeDocument/2006/relationships" r:embed="rId1"/>
        <a:stretch>
          <a:fillRect/>
        </a:stretch>
      </xdr:blipFill>
      <xdr:spPr>
        <a:xfrm>
          <a:off x="19831050" y="22145625"/>
          <a:ext cx="6657143" cy="56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34</xdr:row>
      <xdr:rowOff>271462</xdr:rowOff>
    </xdr:from>
    <xdr:to>
      <xdr:col>14</xdr:col>
      <xdr:colOff>1323975</xdr:colOff>
      <xdr:row>48</xdr:row>
      <xdr:rowOff>23812</xdr:rowOff>
    </xdr:to>
    <xdr:graphicFrame macro="">
      <xdr:nvGraphicFramePr>
        <xdr:cNvPr id="2" name="Chart 1">
          <a:extLst>
            <a:ext uri="{FF2B5EF4-FFF2-40B4-BE49-F238E27FC236}">
              <a16:creationId xmlns:a16="http://schemas.microsoft.com/office/drawing/2014/main" id="{69B42124-DA76-467B-80B5-57113BDF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85725</xdr:colOff>
      <xdr:row>27</xdr:row>
      <xdr:rowOff>133350</xdr:rowOff>
    </xdr:from>
    <xdr:ext cx="6915150" cy="4065889"/>
    <xdr:pic>
      <xdr:nvPicPr>
        <xdr:cNvPr id="3" name="Picture 2">
          <a:extLst>
            <a:ext uri="{FF2B5EF4-FFF2-40B4-BE49-F238E27FC236}">
              <a16:creationId xmlns:a16="http://schemas.microsoft.com/office/drawing/2014/main" id="{3D0FCDC9-41C8-44E4-AE04-26394F9FDCCD}"/>
            </a:ext>
          </a:extLst>
        </xdr:cNvPr>
        <xdr:cNvPicPr>
          <a:picLocks noChangeAspect="1"/>
        </xdr:cNvPicPr>
      </xdr:nvPicPr>
      <xdr:blipFill>
        <a:blip xmlns:r="http://schemas.openxmlformats.org/officeDocument/2006/relationships" r:embed="rId2"/>
        <a:stretch>
          <a:fillRect/>
        </a:stretch>
      </xdr:blipFill>
      <xdr:spPr>
        <a:xfrm>
          <a:off x="85725" y="5238750"/>
          <a:ext cx="6915150" cy="406588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0</xdr:col>
      <xdr:colOff>66676</xdr:colOff>
      <xdr:row>0</xdr:row>
      <xdr:rowOff>142875</xdr:rowOff>
    </xdr:from>
    <xdr:to>
      <xdr:col>11</xdr:col>
      <xdr:colOff>390526</xdr:colOff>
      <xdr:row>13</xdr:row>
      <xdr:rowOff>95250</xdr:rowOff>
    </xdr:to>
    <xdr:sp macro="" textlink="">
      <xdr:nvSpPr>
        <xdr:cNvPr id="2" name="TextBox 1">
          <a:extLst>
            <a:ext uri="{FF2B5EF4-FFF2-40B4-BE49-F238E27FC236}">
              <a16:creationId xmlns:a16="http://schemas.microsoft.com/office/drawing/2014/main" id="{1DB2E450-C6AA-448B-9A5C-6F029F01603D}"/>
            </a:ext>
          </a:extLst>
        </xdr:cNvPr>
        <xdr:cNvSpPr txBox="1"/>
      </xdr:nvSpPr>
      <xdr:spPr>
        <a:xfrm>
          <a:off x="66676" y="142875"/>
          <a:ext cx="7029450"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SAPIA acquired the services of a consultant to estimate theamount of the capital investment that would be required to produce highquality fuel. This exercise has indicated that a capital expenditure of roughly$3.3 billion (approximately R26.40 billion at an exchange rate of R8.00/$1.00,Q1 2009 figures at ±40% accuracy) is required to enable the South Africanrefineries to produce fuel that is complying with the Euro 4 emissions standardand $3.7 billion (approximately R29.60 billion at an exchange rate ofR8.00/$1.00, Q1 2009 figures at ±40% accuracy) for fuel complying with theEuro 5 emissions standard. Nevertheless, contextually, the cost of migratingfrom CF1 to fuel quality compatible with Euro 5 emissions standard is notsignificantly different from that of migrating from CF1 to fuel quality compatiblewith Euro 4 emissions standard: this being R3.2 billion.       </a:t>
          </a:r>
        </a:p>
        <a:p>
          <a:endParaRPr lang="en-ZA" sz="1100"/>
        </a:p>
        <a:p>
          <a:r>
            <a:rPr lang="en-ZA" sz="1100"/>
            <a:t>STAATSKOERANT, 31 JANUARIE 2011 No. 33974 PG3GOVERNMENT NOTICEDEPARTMENT OF ENERGYNo. 49 31 January 2011PETROLEUM PRODUCTS ACT, 1977DISCUSSION DOCUMENT ON THE REVIEW OF FUEL SPECIFICATIONS AND STANDARDS FOR SOUTH Africa (edited)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6500CADC-FDD2-4976-A30D-E0F676C21B52}"/>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34D3A0DA-8571-4D57-8AED-6E2B108A620C}"/>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E03FB073-C51D-49FF-A565-F2DA1BC8EEA6}"/>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4A48D6AA-DE89-4DD6-9B9D-98F181870CE2}"/>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278F0491-BFD9-4025-93C9-BB630CD8A74C}"/>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787FB30C-E8AB-47BD-A906-9C970C8EFB22}"/>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68AE6374-1B7C-4FBE-8937-48502CD53A29}"/>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AADE3CBD-6276-4550-8BAD-114F4F266537}"/>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6E8805BC-0B6A-41D9-A831-E4AC90D0BE80}"/>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976B7112-1E65-4287-8F4A-8A8C91929E65}"/>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2EF325CB-A7DA-448E-B9AA-F073B9C602B7}"/>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2568B915-CC02-4D86-A6DE-4A1B513132DE}"/>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C214EC0D-2B8D-4579-A974-48AC7AF4B47C}"/>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036ADF89-5EFA-42DD-86B3-66520C935ED0}"/>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7732C4B-2918-4E59-9FF0-B9991A816D8D}"/>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EF68083E-2FCF-43A1-ABF5-61FE94E9D170}"/>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263675D1-FC65-4666-8CD9-CC71F8DE354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0F981851-35A2-41AE-AA50-CD4DE1ACF976}"/>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BF5C7E1D-3635-4436-AECD-AD6E3CC51292}"/>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904914E0-9E8B-4483-B85C-BE858DBDA1BC}"/>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404E11EF-821A-4BEE-BDE2-E618FB72F7EB}"/>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D63AF5DC-F021-493F-A449-9ECF0850A97E}"/>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13EAE144-E9B7-44AC-A756-D174E01A2265}"/>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6D22B2CE-15AB-4FB8-9236-5774ECABC42E}"/>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879DEF8B-2FA2-4080-BE65-526D0022A497}"/>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CA7B030F-89F7-4EB0-B020-104BA2BF3616}"/>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F3898207-32BF-4ECB-9955-2A8F08287F1D}"/>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AF1CFD04-2228-4B29-90D7-8672215CE000}"/>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1D025544-3BA1-4305-AC3A-59A6AF8927E7}"/>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7444696A-E82C-4840-94FD-0EE4E930D7D2}"/>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FE327B7-9AF9-4420-872B-FC68F3DE06B2}"/>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03856FE1-3AEB-4979-A5EC-37E0A26E6FB0}"/>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B40090E6-CF3E-4360-B90D-C6DE624BE851}"/>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017D1C3B-8137-4351-A38A-5B63A036AF3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AABD4C77-EE1F-4D21-BDA7-267AAB141327}"/>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0DFF3907-A625-4AD3-988D-577EB7F3A7EB}"/>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96ABD17F-7C27-4CF6-998E-168383042BEB}"/>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4D53D9BE-A36C-40B6-8AEB-CEBEB0500C39}"/>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312420</xdr:colOff>
      <xdr:row>29</xdr:row>
      <xdr:rowOff>101918</xdr:rowOff>
    </xdr:from>
    <xdr:to>
      <xdr:col>5</xdr:col>
      <xdr:colOff>9121</xdr:colOff>
      <xdr:row>29</xdr:row>
      <xdr:rowOff>103506</xdr:rowOff>
    </xdr:to>
    <xdr:cxnSp macro="">
      <xdr:nvCxnSpPr>
        <xdr:cNvPr id="2" name="Straight Arrow Connector 1">
          <a:extLst>
            <a:ext uri="{FF2B5EF4-FFF2-40B4-BE49-F238E27FC236}">
              <a16:creationId xmlns:a16="http://schemas.microsoft.com/office/drawing/2014/main" id="{F5F25224-D35C-40CA-B8EC-ED87AEAB92EB}"/>
            </a:ext>
          </a:extLst>
        </xdr:cNvPr>
        <xdr:cNvCxnSpPr/>
      </xdr:nvCxnSpPr>
      <xdr:spPr>
        <a:xfrm>
          <a:off x="2750820" y="5626418"/>
          <a:ext cx="306301"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309245</xdr:colOff>
      <xdr:row>23</xdr:row>
      <xdr:rowOff>103505</xdr:rowOff>
    </xdr:from>
    <xdr:to>
      <xdr:col>5</xdr:col>
      <xdr:colOff>10145</xdr:colOff>
      <xdr:row>23</xdr:row>
      <xdr:rowOff>105093</xdr:rowOff>
    </xdr:to>
    <xdr:cxnSp macro="">
      <xdr:nvCxnSpPr>
        <xdr:cNvPr id="3" name="Straight Arrow Connector 2">
          <a:extLst>
            <a:ext uri="{FF2B5EF4-FFF2-40B4-BE49-F238E27FC236}">
              <a16:creationId xmlns:a16="http://schemas.microsoft.com/office/drawing/2014/main" id="{403299DB-7EEF-44F7-8CD7-1F3C5749CB91}"/>
            </a:ext>
          </a:extLst>
        </xdr:cNvPr>
        <xdr:cNvCxnSpPr/>
      </xdr:nvCxnSpPr>
      <xdr:spPr>
        <a:xfrm>
          <a:off x="2747645" y="4485005"/>
          <a:ext cx="310500"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312421</xdr:colOff>
      <xdr:row>12</xdr:row>
      <xdr:rowOff>9526</xdr:rowOff>
    </xdr:from>
    <xdr:to>
      <xdr:col>4</xdr:col>
      <xdr:colOff>341295</xdr:colOff>
      <xdr:row>36</xdr:row>
      <xdr:rowOff>79398</xdr:rowOff>
    </xdr:to>
    <xdr:cxnSp macro="">
      <xdr:nvCxnSpPr>
        <xdr:cNvPr id="4" name="Straight Arrow Connector 3">
          <a:extLst>
            <a:ext uri="{FF2B5EF4-FFF2-40B4-BE49-F238E27FC236}">
              <a16:creationId xmlns:a16="http://schemas.microsoft.com/office/drawing/2014/main" id="{1FD60ABE-EF3D-43AE-BE1A-B3F31B36156B}"/>
            </a:ext>
          </a:extLst>
        </xdr:cNvPr>
        <xdr:cNvCxnSpPr/>
      </xdr:nvCxnSpPr>
      <xdr:spPr>
        <a:xfrm rot="5400000" flipH="1" flipV="1">
          <a:off x="444322" y="4602025"/>
          <a:ext cx="4641872" cy="2887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41275</xdr:colOff>
      <xdr:row>25</xdr:row>
      <xdr:rowOff>79375</xdr:rowOff>
    </xdr:from>
    <xdr:to>
      <xdr:col>4</xdr:col>
      <xdr:colOff>367080</xdr:colOff>
      <xdr:row>25</xdr:row>
      <xdr:rowOff>79379</xdr:rowOff>
    </xdr:to>
    <xdr:cxnSp macro="">
      <xdr:nvCxnSpPr>
        <xdr:cNvPr id="5" name="Straight Arrow Connector 4">
          <a:extLst>
            <a:ext uri="{FF2B5EF4-FFF2-40B4-BE49-F238E27FC236}">
              <a16:creationId xmlns:a16="http://schemas.microsoft.com/office/drawing/2014/main" id="{B86CDDD0-E7D0-40CF-A257-93E041ACA3F8}"/>
            </a:ext>
          </a:extLst>
        </xdr:cNvPr>
        <xdr:cNvCxnSpPr/>
      </xdr:nvCxnSpPr>
      <xdr:spPr>
        <a:xfrm rot="10800000">
          <a:off x="2479675" y="4841875"/>
          <a:ext cx="325805"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294082</xdr:colOff>
      <xdr:row>7</xdr:row>
      <xdr:rowOff>38100</xdr:rowOff>
    </xdr:from>
    <xdr:to>
      <xdr:col>8</xdr:col>
      <xdr:colOff>334646</xdr:colOff>
      <xdr:row>69</xdr:row>
      <xdr:rowOff>52722</xdr:rowOff>
    </xdr:to>
    <xdr:cxnSp macro="">
      <xdr:nvCxnSpPr>
        <xdr:cNvPr id="6" name="Straight Arrow Connector 5">
          <a:extLst>
            <a:ext uri="{FF2B5EF4-FFF2-40B4-BE49-F238E27FC236}">
              <a16:creationId xmlns:a16="http://schemas.microsoft.com/office/drawing/2014/main" id="{A518CAF6-2527-457D-BF9B-2EF0B40A2A8D}"/>
            </a:ext>
          </a:extLst>
        </xdr:cNvPr>
        <xdr:cNvCxnSpPr/>
      </xdr:nvCxnSpPr>
      <xdr:spPr>
        <a:xfrm rot="5400000" flipH="1" flipV="1">
          <a:off x="-721647" y="7264129"/>
          <a:ext cx="11825622" cy="4056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329565</xdr:colOff>
      <xdr:row>10</xdr:row>
      <xdr:rowOff>103505</xdr:rowOff>
    </xdr:from>
    <xdr:to>
      <xdr:col>9</xdr:col>
      <xdr:colOff>607805</xdr:colOff>
      <xdr:row>10</xdr:row>
      <xdr:rowOff>105093</xdr:rowOff>
    </xdr:to>
    <xdr:cxnSp macro="">
      <xdr:nvCxnSpPr>
        <xdr:cNvPr id="7" name="Straight Arrow Connector 6">
          <a:extLst>
            <a:ext uri="{FF2B5EF4-FFF2-40B4-BE49-F238E27FC236}">
              <a16:creationId xmlns:a16="http://schemas.microsoft.com/office/drawing/2014/main" id="{F2E99C9E-64B8-42D8-85DD-DCD9A4DAA4E9}"/>
            </a:ext>
          </a:extLst>
        </xdr:cNvPr>
        <xdr:cNvCxnSpPr/>
      </xdr:nvCxnSpPr>
      <xdr:spPr>
        <a:xfrm rot="10800000">
          <a:off x="5206365" y="2008505"/>
          <a:ext cx="887840"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103510</xdr:rowOff>
    </xdr:from>
    <xdr:to>
      <xdr:col>8</xdr:col>
      <xdr:colOff>329722</xdr:colOff>
      <xdr:row>7</xdr:row>
      <xdr:rowOff>105098</xdr:rowOff>
    </xdr:to>
    <xdr:cxnSp macro="">
      <xdr:nvCxnSpPr>
        <xdr:cNvPr id="8" name="Straight Arrow Connector 7">
          <a:extLst>
            <a:ext uri="{FF2B5EF4-FFF2-40B4-BE49-F238E27FC236}">
              <a16:creationId xmlns:a16="http://schemas.microsoft.com/office/drawing/2014/main" id="{34A3C55E-1ABF-4762-ABC5-C94090C2A74C}"/>
            </a:ext>
          </a:extLst>
        </xdr:cNvPr>
        <xdr:cNvCxnSpPr/>
      </xdr:nvCxnSpPr>
      <xdr:spPr>
        <a:xfrm rot="10800000">
          <a:off x="2447925" y="1437010"/>
          <a:ext cx="275859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24</xdr:row>
      <xdr:rowOff>90805</xdr:rowOff>
    </xdr:from>
    <xdr:to>
      <xdr:col>8</xdr:col>
      <xdr:colOff>323240</xdr:colOff>
      <xdr:row>24</xdr:row>
      <xdr:rowOff>90809</xdr:rowOff>
    </xdr:to>
    <xdr:cxnSp macro="">
      <xdr:nvCxnSpPr>
        <xdr:cNvPr id="9" name="Straight Arrow Connector 8">
          <a:extLst>
            <a:ext uri="{FF2B5EF4-FFF2-40B4-BE49-F238E27FC236}">
              <a16:creationId xmlns:a16="http://schemas.microsoft.com/office/drawing/2014/main" id="{929C0BBA-9033-4814-BB6D-814AEE147876}"/>
            </a:ext>
          </a:extLst>
        </xdr:cNvPr>
        <xdr:cNvCxnSpPr/>
      </xdr:nvCxnSpPr>
      <xdr:spPr>
        <a:xfrm rot="10800000">
          <a:off x="4921250" y="4662805"/>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254336</xdr:colOff>
      <xdr:row>7</xdr:row>
      <xdr:rowOff>85725</xdr:rowOff>
    </xdr:from>
    <xdr:to>
      <xdr:col>9</xdr:col>
      <xdr:colOff>287687</xdr:colOff>
      <xdr:row>69</xdr:row>
      <xdr:rowOff>41278</xdr:rowOff>
    </xdr:to>
    <xdr:cxnSp macro="">
      <xdr:nvCxnSpPr>
        <xdr:cNvPr id="10" name="Straight Arrow Connector 9">
          <a:extLst>
            <a:ext uri="{FF2B5EF4-FFF2-40B4-BE49-F238E27FC236}">
              <a16:creationId xmlns:a16="http://schemas.microsoft.com/office/drawing/2014/main" id="{0397822B-704A-43E4-A029-5309805DCC01}"/>
            </a:ext>
          </a:extLst>
        </xdr:cNvPr>
        <xdr:cNvCxnSpPr/>
      </xdr:nvCxnSpPr>
      <xdr:spPr>
        <a:xfrm rot="5400000" flipH="1" flipV="1">
          <a:off x="-125865" y="7285826"/>
          <a:ext cx="11766553" cy="33351"/>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xdr:row>
      <xdr:rowOff>100330</xdr:rowOff>
    </xdr:from>
    <xdr:to>
      <xdr:col>9</xdr:col>
      <xdr:colOff>271278</xdr:colOff>
      <xdr:row>29</xdr:row>
      <xdr:rowOff>103506</xdr:rowOff>
    </xdr:to>
    <xdr:cxnSp macro="">
      <xdr:nvCxnSpPr>
        <xdr:cNvPr id="11" name="Straight Arrow Connector 10">
          <a:extLst>
            <a:ext uri="{FF2B5EF4-FFF2-40B4-BE49-F238E27FC236}">
              <a16:creationId xmlns:a16="http://schemas.microsoft.com/office/drawing/2014/main" id="{78E18DF1-5418-4848-9FA1-F60C1AF53DDE}"/>
            </a:ext>
          </a:extLst>
        </xdr:cNvPr>
        <xdr:cNvCxnSpPr/>
      </xdr:nvCxnSpPr>
      <xdr:spPr>
        <a:xfrm rot="10800000">
          <a:off x="4876800" y="5624830"/>
          <a:ext cx="880878" cy="3176"/>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20</xdr:row>
      <xdr:rowOff>105093</xdr:rowOff>
    </xdr:from>
    <xdr:to>
      <xdr:col>9</xdr:col>
      <xdr:colOff>577745</xdr:colOff>
      <xdr:row>20</xdr:row>
      <xdr:rowOff>105887</xdr:rowOff>
    </xdr:to>
    <xdr:cxnSp macro="">
      <xdr:nvCxnSpPr>
        <xdr:cNvPr id="12" name="Straight Arrow Connector 11">
          <a:extLst>
            <a:ext uri="{FF2B5EF4-FFF2-40B4-BE49-F238E27FC236}">
              <a16:creationId xmlns:a16="http://schemas.microsoft.com/office/drawing/2014/main" id="{F8C39F0A-7C31-4610-B74A-F4C2651E0EE9}"/>
            </a:ext>
          </a:extLst>
        </xdr:cNvPr>
        <xdr:cNvCxnSpPr/>
      </xdr:nvCxnSpPr>
      <xdr:spPr>
        <a:xfrm rot="10800000">
          <a:off x="5770246" y="3915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621666</xdr:colOff>
      <xdr:row>11</xdr:row>
      <xdr:rowOff>101918</xdr:rowOff>
    </xdr:from>
    <xdr:to>
      <xdr:col>8</xdr:col>
      <xdr:colOff>334788</xdr:colOff>
      <xdr:row>11</xdr:row>
      <xdr:rowOff>103506</xdr:rowOff>
    </xdr:to>
    <xdr:cxnSp macro="">
      <xdr:nvCxnSpPr>
        <xdr:cNvPr id="13" name="Straight Arrow Connector 12">
          <a:extLst>
            <a:ext uri="{FF2B5EF4-FFF2-40B4-BE49-F238E27FC236}">
              <a16:creationId xmlns:a16="http://schemas.microsoft.com/office/drawing/2014/main" id="{DDDF8EF2-1C09-42C8-A8A8-269A217D1B78}"/>
            </a:ext>
          </a:extLst>
        </xdr:cNvPr>
        <xdr:cNvCxnSpPr/>
      </xdr:nvCxnSpPr>
      <xdr:spPr>
        <a:xfrm rot="10800000">
          <a:off x="2440941" y="2197418"/>
          <a:ext cx="2770647" cy="1588"/>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334645</xdr:colOff>
      <xdr:row>23</xdr:row>
      <xdr:rowOff>106680</xdr:rowOff>
    </xdr:from>
    <xdr:to>
      <xdr:col>5</xdr:col>
      <xdr:colOff>12237</xdr:colOff>
      <xdr:row>23</xdr:row>
      <xdr:rowOff>108268</xdr:rowOff>
    </xdr:to>
    <xdr:cxnSp macro="">
      <xdr:nvCxnSpPr>
        <xdr:cNvPr id="14" name="Straight Arrow Connector 13">
          <a:extLst>
            <a:ext uri="{FF2B5EF4-FFF2-40B4-BE49-F238E27FC236}">
              <a16:creationId xmlns:a16="http://schemas.microsoft.com/office/drawing/2014/main" id="{7836BC97-8F61-4BF9-BC5D-BC02AD33EDBD}"/>
            </a:ext>
          </a:extLst>
        </xdr:cNvPr>
        <xdr:cNvCxnSpPr/>
      </xdr:nvCxnSpPr>
      <xdr:spPr>
        <a:xfrm>
          <a:off x="2773045" y="4488180"/>
          <a:ext cx="287192" cy="1588"/>
        </a:xfrm>
        <a:prstGeom prst="straightConnector1">
          <a:avLst/>
        </a:prstGeom>
        <a:ln w="19050">
          <a:solidFill>
            <a:schemeClr val="tx1">
              <a:lumMod val="50000"/>
              <a:lumOff val="5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4</xdr:row>
      <xdr:rowOff>100330</xdr:rowOff>
    </xdr:from>
    <xdr:to>
      <xdr:col>8</xdr:col>
      <xdr:colOff>442461</xdr:colOff>
      <xdr:row>4</xdr:row>
      <xdr:rowOff>100334</xdr:rowOff>
    </xdr:to>
    <xdr:cxnSp macro="">
      <xdr:nvCxnSpPr>
        <xdr:cNvPr id="15" name="Straight Arrow Connector 14">
          <a:extLst>
            <a:ext uri="{FF2B5EF4-FFF2-40B4-BE49-F238E27FC236}">
              <a16:creationId xmlns:a16="http://schemas.microsoft.com/office/drawing/2014/main" id="{F83C27F2-2336-4271-A061-70CC395245D4}"/>
            </a:ext>
          </a:extLst>
        </xdr:cNvPr>
        <xdr:cNvCxnSpPr/>
      </xdr:nvCxnSpPr>
      <xdr:spPr>
        <a:xfrm rot="10800000">
          <a:off x="5019675" y="862330"/>
          <a:ext cx="299586"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5</xdr:row>
      <xdr:rowOff>103505</xdr:rowOff>
    </xdr:from>
    <xdr:to>
      <xdr:col>8</xdr:col>
      <xdr:colOff>457886</xdr:colOff>
      <xdr:row>5</xdr:row>
      <xdr:rowOff>103509</xdr:rowOff>
    </xdr:to>
    <xdr:cxnSp macro="">
      <xdr:nvCxnSpPr>
        <xdr:cNvPr id="16" name="Straight Arrow Connector 15">
          <a:extLst>
            <a:ext uri="{FF2B5EF4-FFF2-40B4-BE49-F238E27FC236}">
              <a16:creationId xmlns:a16="http://schemas.microsoft.com/office/drawing/2014/main" id="{9B6E0F28-CB72-4141-B9A8-7D9AD92C5DDC}"/>
            </a:ext>
          </a:extLst>
        </xdr:cNvPr>
        <xdr:cNvCxnSpPr/>
      </xdr:nvCxnSpPr>
      <xdr:spPr>
        <a:xfrm rot="10800000">
          <a:off x="5019675" y="1056005"/>
          <a:ext cx="315011" cy="4"/>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142875</xdr:colOff>
      <xdr:row>6</xdr:row>
      <xdr:rowOff>88900</xdr:rowOff>
    </xdr:from>
    <xdr:to>
      <xdr:col>8</xdr:col>
      <xdr:colOff>457886</xdr:colOff>
      <xdr:row>6</xdr:row>
      <xdr:rowOff>88904</xdr:rowOff>
    </xdr:to>
    <xdr:cxnSp macro="">
      <xdr:nvCxnSpPr>
        <xdr:cNvPr id="17" name="Straight Arrow Connector 16">
          <a:extLst>
            <a:ext uri="{FF2B5EF4-FFF2-40B4-BE49-F238E27FC236}">
              <a16:creationId xmlns:a16="http://schemas.microsoft.com/office/drawing/2014/main" id="{0B39EE89-AAE1-427F-8DC4-A7C2C6BDB538}"/>
            </a:ext>
          </a:extLst>
        </xdr:cNvPr>
        <xdr:cNvCxnSpPr/>
      </xdr:nvCxnSpPr>
      <xdr:spPr>
        <a:xfrm rot="10800000">
          <a:off x="5019675" y="1231900"/>
          <a:ext cx="315011" cy="4"/>
        </a:xfrm>
        <a:prstGeom prst="straightConnector1">
          <a:avLst/>
        </a:prstGeom>
        <a:ln w="190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617133</xdr:colOff>
      <xdr:row>44</xdr:row>
      <xdr:rowOff>86406</xdr:rowOff>
    </xdr:from>
    <xdr:to>
      <xdr:col>10</xdr:col>
      <xdr:colOff>3304</xdr:colOff>
      <xdr:row>44</xdr:row>
      <xdr:rowOff>87994</xdr:rowOff>
    </xdr:to>
    <xdr:cxnSp macro="">
      <xdr:nvCxnSpPr>
        <xdr:cNvPr id="18" name="Straight Arrow Connector 17">
          <a:extLst>
            <a:ext uri="{FF2B5EF4-FFF2-40B4-BE49-F238E27FC236}">
              <a16:creationId xmlns:a16="http://schemas.microsoft.com/office/drawing/2014/main" id="{BBC683AA-3969-418A-80FF-D29E7EA6D277}"/>
            </a:ext>
          </a:extLst>
        </xdr:cNvPr>
        <xdr:cNvCxnSpPr/>
      </xdr:nvCxnSpPr>
      <xdr:spPr>
        <a:xfrm rot="10800000">
          <a:off x="4874808" y="8468406"/>
          <a:ext cx="1224496"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7144</xdr:colOff>
      <xdr:row>33</xdr:row>
      <xdr:rowOff>127793</xdr:rowOff>
    </xdr:from>
    <xdr:to>
      <xdr:col>9</xdr:col>
      <xdr:colOff>8732</xdr:colOff>
      <xdr:row>44</xdr:row>
      <xdr:rowOff>105973</xdr:rowOff>
    </xdr:to>
    <xdr:cxnSp macro="">
      <xdr:nvCxnSpPr>
        <xdr:cNvPr id="19" name="Straight Arrow Connector 18">
          <a:extLst>
            <a:ext uri="{FF2B5EF4-FFF2-40B4-BE49-F238E27FC236}">
              <a16:creationId xmlns:a16="http://schemas.microsoft.com/office/drawing/2014/main" id="{12AB0B4E-E2F1-4326-9A00-31F779C0F02C}"/>
            </a:ext>
          </a:extLst>
        </xdr:cNvPr>
        <xdr:cNvCxnSpPr/>
      </xdr:nvCxnSpPr>
      <xdr:spPr>
        <a:xfrm rot="5400000">
          <a:off x="4457498" y="7450339"/>
          <a:ext cx="2073680" cy="1588"/>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621668</xdr:colOff>
      <xdr:row>37</xdr:row>
      <xdr:rowOff>103505</xdr:rowOff>
    </xdr:from>
    <xdr:to>
      <xdr:col>5</xdr:col>
      <xdr:colOff>773</xdr:colOff>
      <xdr:row>37</xdr:row>
      <xdr:rowOff>105093</xdr:rowOff>
    </xdr:to>
    <xdr:cxnSp macro="">
      <xdr:nvCxnSpPr>
        <xdr:cNvPr id="20" name="Straight Arrow Connector 19">
          <a:extLst>
            <a:ext uri="{FF2B5EF4-FFF2-40B4-BE49-F238E27FC236}">
              <a16:creationId xmlns:a16="http://schemas.microsoft.com/office/drawing/2014/main" id="{9C63666C-5CCE-4779-AC96-241A8BC73E58}"/>
            </a:ext>
          </a:extLst>
        </xdr:cNvPr>
        <xdr:cNvCxnSpPr/>
      </xdr:nvCxnSpPr>
      <xdr:spPr>
        <a:xfrm rot="10800000">
          <a:off x="2440943" y="7152005"/>
          <a:ext cx="607830"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36</xdr:row>
      <xdr:rowOff>106680</xdr:rowOff>
    </xdr:from>
    <xdr:to>
      <xdr:col>10</xdr:col>
      <xdr:colOff>197</xdr:colOff>
      <xdr:row>36</xdr:row>
      <xdr:rowOff>106682</xdr:rowOff>
    </xdr:to>
    <xdr:cxnSp macro="">
      <xdr:nvCxnSpPr>
        <xdr:cNvPr id="21" name="Straight Arrow Connector 20">
          <a:extLst>
            <a:ext uri="{FF2B5EF4-FFF2-40B4-BE49-F238E27FC236}">
              <a16:creationId xmlns:a16="http://schemas.microsoft.com/office/drawing/2014/main" id="{C605595C-F0F7-40D2-A394-32209EDBA069}"/>
            </a:ext>
          </a:extLst>
        </xdr:cNvPr>
        <xdr:cNvCxnSpPr/>
      </xdr:nvCxnSpPr>
      <xdr:spPr>
        <a:xfrm rot="10800000" flipV="1">
          <a:off x="5495929" y="696468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168752</xdr:colOff>
      <xdr:row>35</xdr:row>
      <xdr:rowOff>149542</xdr:rowOff>
    </xdr:from>
    <xdr:to>
      <xdr:col>4</xdr:col>
      <xdr:colOff>170340</xdr:colOff>
      <xdr:row>68</xdr:row>
      <xdr:rowOff>77008</xdr:rowOff>
    </xdr:to>
    <xdr:cxnSp macro="">
      <xdr:nvCxnSpPr>
        <xdr:cNvPr id="22" name="Straight Arrow Connector 21">
          <a:extLst>
            <a:ext uri="{FF2B5EF4-FFF2-40B4-BE49-F238E27FC236}">
              <a16:creationId xmlns:a16="http://schemas.microsoft.com/office/drawing/2014/main" id="{6ABD3979-CB6D-4DD7-BEFB-DF867DE07DDC}"/>
            </a:ext>
          </a:extLst>
        </xdr:cNvPr>
        <xdr:cNvCxnSpPr/>
      </xdr:nvCxnSpPr>
      <xdr:spPr>
        <a:xfrm rot="5400000">
          <a:off x="-499037" y="9923231"/>
          <a:ext cx="6213966" cy="1588"/>
        </a:xfrm>
        <a:prstGeom prst="straightConnector1">
          <a:avLst/>
        </a:prstGeom>
        <a:ln w="19050">
          <a:solidFill>
            <a:schemeClr val="accent4">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160024</xdr:colOff>
      <xdr:row>67</xdr:row>
      <xdr:rowOff>90805</xdr:rowOff>
    </xdr:from>
    <xdr:to>
      <xdr:col>10</xdr:col>
      <xdr:colOff>0</xdr:colOff>
      <xdr:row>67</xdr:row>
      <xdr:rowOff>92393</xdr:rowOff>
    </xdr:to>
    <xdr:cxnSp macro="">
      <xdr:nvCxnSpPr>
        <xdr:cNvPr id="23" name="Straight Arrow Connector 22">
          <a:extLst>
            <a:ext uri="{FF2B5EF4-FFF2-40B4-BE49-F238E27FC236}">
              <a16:creationId xmlns:a16="http://schemas.microsoft.com/office/drawing/2014/main" id="{20AF53D5-2D14-41A4-A910-80E0DCEC7A45}"/>
            </a:ext>
          </a:extLst>
        </xdr:cNvPr>
        <xdr:cNvCxnSpPr/>
      </xdr:nvCxnSpPr>
      <xdr:spPr>
        <a:xfrm rot="10800000">
          <a:off x="2598424" y="12854305"/>
          <a:ext cx="3497576" cy="1588"/>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283846</xdr:colOff>
      <xdr:row>46</xdr:row>
      <xdr:rowOff>105093</xdr:rowOff>
    </xdr:from>
    <xdr:to>
      <xdr:col>9</xdr:col>
      <xdr:colOff>577745</xdr:colOff>
      <xdr:row>46</xdr:row>
      <xdr:rowOff>105887</xdr:rowOff>
    </xdr:to>
    <xdr:cxnSp macro="">
      <xdr:nvCxnSpPr>
        <xdr:cNvPr id="24" name="Straight Arrow Connector 23">
          <a:extLst>
            <a:ext uri="{FF2B5EF4-FFF2-40B4-BE49-F238E27FC236}">
              <a16:creationId xmlns:a16="http://schemas.microsoft.com/office/drawing/2014/main" id="{84F198E2-7ADB-4DDE-A06D-3EC6D1137797}"/>
            </a:ext>
          </a:extLst>
        </xdr:cNvPr>
        <xdr:cNvCxnSpPr/>
      </xdr:nvCxnSpPr>
      <xdr:spPr>
        <a:xfrm rot="10800000">
          <a:off x="5770246" y="8868093"/>
          <a:ext cx="293899" cy="794"/>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271147</xdr:colOff>
      <xdr:row>55</xdr:row>
      <xdr:rowOff>82868</xdr:rowOff>
    </xdr:from>
    <xdr:to>
      <xdr:col>9</xdr:col>
      <xdr:colOff>601446</xdr:colOff>
      <xdr:row>55</xdr:row>
      <xdr:rowOff>84456</xdr:rowOff>
    </xdr:to>
    <xdr:cxnSp macro="">
      <xdr:nvCxnSpPr>
        <xdr:cNvPr id="25" name="Straight Arrow Connector 24">
          <a:extLst>
            <a:ext uri="{FF2B5EF4-FFF2-40B4-BE49-F238E27FC236}">
              <a16:creationId xmlns:a16="http://schemas.microsoft.com/office/drawing/2014/main" id="{96B2A8E8-5F84-45E2-B457-2EA6D3290C49}"/>
            </a:ext>
          </a:extLst>
        </xdr:cNvPr>
        <xdr:cNvCxnSpPr/>
      </xdr:nvCxnSpPr>
      <xdr:spPr>
        <a:xfrm rot="10800000">
          <a:off x="5757547" y="10560368"/>
          <a:ext cx="330299" cy="1588"/>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45</xdr:row>
      <xdr:rowOff>100330</xdr:rowOff>
    </xdr:from>
    <xdr:to>
      <xdr:col>9</xdr:col>
      <xdr:colOff>583405</xdr:colOff>
      <xdr:row>45</xdr:row>
      <xdr:rowOff>101918</xdr:rowOff>
    </xdr:to>
    <xdr:cxnSp macro="">
      <xdr:nvCxnSpPr>
        <xdr:cNvPr id="26" name="Straight Arrow Connector 25">
          <a:extLst>
            <a:ext uri="{FF2B5EF4-FFF2-40B4-BE49-F238E27FC236}">
              <a16:creationId xmlns:a16="http://schemas.microsoft.com/office/drawing/2014/main" id="{0D91DB71-8933-4ECB-9FA5-882CF1C5F416}"/>
            </a:ext>
          </a:extLst>
        </xdr:cNvPr>
        <xdr:cNvCxnSpPr/>
      </xdr:nvCxnSpPr>
      <xdr:spPr>
        <a:xfrm rot="10800000">
          <a:off x="5182870" y="8672830"/>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306070</xdr:colOff>
      <xdr:row>56</xdr:row>
      <xdr:rowOff>103505</xdr:rowOff>
    </xdr:from>
    <xdr:to>
      <xdr:col>9</xdr:col>
      <xdr:colOff>583405</xdr:colOff>
      <xdr:row>56</xdr:row>
      <xdr:rowOff>105093</xdr:rowOff>
    </xdr:to>
    <xdr:cxnSp macro="">
      <xdr:nvCxnSpPr>
        <xdr:cNvPr id="27" name="Straight Arrow Connector 26">
          <a:extLst>
            <a:ext uri="{FF2B5EF4-FFF2-40B4-BE49-F238E27FC236}">
              <a16:creationId xmlns:a16="http://schemas.microsoft.com/office/drawing/2014/main" id="{7E7DA548-EB94-4B3B-A05C-6C7CD84B2C03}"/>
            </a:ext>
          </a:extLst>
        </xdr:cNvPr>
        <xdr:cNvCxnSpPr/>
      </xdr:nvCxnSpPr>
      <xdr:spPr>
        <a:xfrm rot="10800000">
          <a:off x="5182870" y="10771505"/>
          <a:ext cx="886935" cy="1588"/>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9529</xdr:colOff>
      <xdr:row>37</xdr:row>
      <xdr:rowOff>100330</xdr:rowOff>
    </xdr:from>
    <xdr:to>
      <xdr:col>10</xdr:col>
      <xdr:colOff>197</xdr:colOff>
      <xdr:row>37</xdr:row>
      <xdr:rowOff>100332</xdr:rowOff>
    </xdr:to>
    <xdr:cxnSp macro="">
      <xdr:nvCxnSpPr>
        <xdr:cNvPr id="28" name="Straight Arrow Connector 27">
          <a:extLst>
            <a:ext uri="{FF2B5EF4-FFF2-40B4-BE49-F238E27FC236}">
              <a16:creationId xmlns:a16="http://schemas.microsoft.com/office/drawing/2014/main" id="{07603005-BA22-4D3F-A1D1-C2E43EFBEE42}"/>
            </a:ext>
          </a:extLst>
        </xdr:cNvPr>
        <xdr:cNvCxnSpPr/>
      </xdr:nvCxnSpPr>
      <xdr:spPr>
        <a:xfrm rot="10800000" flipV="1">
          <a:off x="5495929" y="7148830"/>
          <a:ext cx="600268" cy="2"/>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42</xdr:row>
      <xdr:rowOff>3175</xdr:rowOff>
    </xdr:from>
    <xdr:to>
      <xdr:col>9</xdr:col>
      <xdr:colOff>7995</xdr:colOff>
      <xdr:row>42</xdr:row>
      <xdr:rowOff>3175</xdr:rowOff>
    </xdr:to>
    <xdr:cxnSp macro="">
      <xdr:nvCxnSpPr>
        <xdr:cNvPr id="29" name="Straight Arrow Connector 28">
          <a:extLst>
            <a:ext uri="{FF2B5EF4-FFF2-40B4-BE49-F238E27FC236}">
              <a16:creationId xmlns:a16="http://schemas.microsoft.com/office/drawing/2014/main" id="{FB1FBB79-0652-41C6-B45D-B9A33B6F09F1}"/>
            </a:ext>
          </a:extLst>
        </xdr:cNvPr>
        <xdr:cNvCxnSpPr/>
      </xdr:nvCxnSpPr>
      <xdr:spPr>
        <a:xfrm>
          <a:off x="2712720" y="8004175"/>
          <a:ext cx="2781675" cy="0"/>
        </a:xfrm>
        <a:prstGeom prst="straightConnector1">
          <a:avLst/>
        </a:prstGeom>
        <a:ln w="19050">
          <a:solidFill>
            <a:schemeClr val="accent3">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270351</xdr:colOff>
      <xdr:row>37</xdr:row>
      <xdr:rowOff>89694</xdr:rowOff>
    </xdr:from>
    <xdr:to>
      <xdr:col>4</xdr:col>
      <xdr:colOff>271939</xdr:colOff>
      <xdr:row>41</xdr:row>
      <xdr:rowOff>148768</xdr:rowOff>
    </xdr:to>
    <xdr:cxnSp macro="">
      <xdr:nvCxnSpPr>
        <xdr:cNvPr id="30" name="Straight Arrow Connector 29">
          <a:extLst>
            <a:ext uri="{FF2B5EF4-FFF2-40B4-BE49-F238E27FC236}">
              <a16:creationId xmlns:a16="http://schemas.microsoft.com/office/drawing/2014/main" id="{7C47471A-66A6-457F-9480-55A125E08AE3}"/>
            </a:ext>
          </a:extLst>
        </xdr:cNvPr>
        <xdr:cNvCxnSpPr/>
      </xdr:nvCxnSpPr>
      <xdr:spPr>
        <a:xfrm rot="5400000">
          <a:off x="2299008" y="7547937"/>
          <a:ext cx="821074" cy="1588"/>
        </a:xfrm>
        <a:prstGeom prst="straightConnector1">
          <a:avLst/>
        </a:prstGeom>
        <a:ln w="19050">
          <a:solidFill>
            <a:schemeClr val="accent3">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170905</xdr:colOff>
      <xdr:row>42</xdr:row>
      <xdr:rowOff>94888</xdr:rowOff>
    </xdr:from>
    <xdr:to>
      <xdr:col>5</xdr:col>
      <xdr:colOff>8554</xdr:colOff>
      <xdr:row>44</xdr:row>
      <xdr:rowOff>108495</xdr:rowOff>
    </xdr:to>
    <xdr:cxnSp macro="">
      <xdr:nvCxnSpPr>
        <xdr:cNvPr id="31" name="Straight Arrow Connector 30">
          <a:extLst>
            <a:ext uri="{FF2B5EF4-FFF2-40B4-BE49-F238E27FC236}">
              <a16:creationId xmlns:a16="http://schemas.microsoft.com/office/drawing/2014/main" id="{1BB8B4C9-27B5-47B9-9E6B-7E03F67FCB6A}"/>
            </a:ext>
          </a:extLst>
        </xdr:cNvPr>
        <xdr:cNvCxnSpPr/>
      </xdr:nvCxnSpPr>
      <xdr:spPr>
        <a:xfrm rot="10800000">
          <a:off x="2609305" y="8095888"/>
          <a:ext cx="447249" cy="394607"/>
        </a:xfrm>
        <a:prstGeom prst="straightConnector1">
          <a:avLst/>
        </a:prstGeom>
        <a:ln w="19050">
          <a:solidFill>
            <a:schemeClr val="accent4">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306070</xdr:colOff>
      <xdr:row>55</xdr:row>
      <xdr:rowOff>89959</xdr:rowOff>
    </xdr:from>
    <xdr:to>
      <xdr:col>8</xdr:col>
      <xdr:colOff>296509</xdr:colOff>
      <xdr:row>55</xdr:row>
      <xdr:rowOff>89959</xdr:rowOff>
    </xdr:to>
    <xdr:cxnSp macro="">
      <xdr:nvCxnSpPr>
        <xdr:cNvPr id="32" name="Straight Arrow Connector 31">
          <a:extLst>
            <a:ext uri="{FF2B5EF4-FFF2-40B4-BE49-F238E27FC236}">
              <a16:creationId xmlns:a16="http://schemas.microsoft.com/office/drawing/2014/main" id="{5983806B-2317-4714-8DC1-830329C03178}"/>
            </a:ext>
          </a:extLst>
        </xdr:cNvPr>
        <xdr:cNvCxnSpPr/>
      </xdr:nvCxnSpPr>
      <xdr:spPr>
        <a:xfrm>
          <a:off x="2744470" y="10567459"/>
          <a:ext cx="2428839"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314538</xdr:colOff>
      <xdr:row>45</xdr:row>
      <xdr:rowOff>82550</xdr:rowOff>
    </xdr:from>
    <xdr:to>
      <xdr:col>4</xdr:col>
      <xdr:colOff>314538</xdr:colOff>
      <xdr:row>55</xdr:row>
      <xdr:rowOff>78297</xdr:rowOff>
    </xdr:to>
    <xdr:cxnSp macro="">
      <xdr:nvCxnSpPr>
        <xdr:cNvPr id="33" name="Straight Arrow Connector 32">
          <a:extLst>
            <a:ext uri="{FF2B5EF4-FFF2-40B4-BE49-F238E27FC236}">
              <a16:creationId xmlns:a16="http://schemas.microsoft.com/office/drawing/2014/main" id="{7FA01066-5252-4EA1-97FB-239265037E4C}"/>
            </a:ext>
          </a:extLst>
        </xdr:cNvPr>
        <xdr:cNvCxnSpPr/>
      </xdr:nvCxnSpPr>
      <xdr:spPr>
        <a:xfrm rot="5400000">
          <a:off x="1802564" y="9605424"/>
          <a:ext cx="1900747" cy="0"/>
        </a:xfrm>
        <a:prstGeom prst="straightConnector1">
          <a:avLst/>
        </a:prstGeom>
        <a:ln w="19050">
          <a:solidFill>
            <a:schemeClr val="tx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338881</xdr:colOff>
      <xdr:row>45</xdr:row>
      <xdr:rowOff>96096</xdr:rowOff>
    </xdr:from>
    <xdr:to>
      <xdr:col>5</xdr:col>
      <xdr:colOff>14506</xdr:colOff>
      <xdr:row>45</xdr:row>
      <xdr:rowOff>96467</xdr:rowOff>
    </xdr:to>
    <xdr:cxnSp macro="">
      <xdr:nvCxnSpPr>
        <xdr:cNvPr id="34" name="Straight Arrow Connector 33">
          <a:extLst>
            <a:ext uri="{FF2B5EF4-FFF2-40B4-BE49-F238E27FC236}">
              <a16:creationId xmlns:a16="http://schemas.microsoft.com/office/drawing/2014/main" id="{1A6C2A10-2A8E-4796-8FCD-89879D533928}"/>
            </a:ext>
          </a:extLst>
        </xdr:cNvPr>
        <xdr:cNvCxnSpPr/>
      </xdr:nvCxnSpPr>
      <xdr:spPr>
        <a:xfrm rot="10800000" flipV="1">
          <a:off x="2777281" y="8668596"/>
          <a:ext cx="285225" cy="371"/>
        </a:xfrm>
        <a:prstGeom prst="straightConnector1">
          <a:avLst/>
        </a:prstGeom>
        <a:ln w="19050">
          <a:solidFill>
            <a:schemeClr val="tx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420370</xdr:colOff>
      <xdr:row>54</xdr:row>
      <xdr:rowOff>106151</xdr:rowOff>
    </xdr:from>
    <xdr:to>
      <xdr:col>9</xdr:col>
      <xdr:colOff>260564</xdr:colOff>
      <xdr:row>54</xdr:row>
      <xdr:rowOff>107739</xdr:rowOff>
    </xdr:to>
    <xdr:cxnSp macro="">
      <xdr:nvCxnSpPr>
        <xdr:cNvPr id="35" name="Straight Arrow Connector 34">
          <a:extLst>
            <a:ext uri="{FF2B5EF4-FFF2-40B4-BE49-F238E27FC236}">
              <a16:creationId xmlns:a16="http://schemas.microsoft.com/office/drawing/2014/main" id="{E13B7498-5797-4B72-927E-430CB590197E}"/>
            </a:ext>
          </a:extLst>
        </xdr:cNvPr>
        <xdr:cNvCxnSpPr/>
      </xdr:nvCxnSpPr>
      <xdr:spPr>
        <a:xfrm>
          <a:off x="2858770" y="10393151"/>
          <a:ext cx="2888194"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405819</xdr:colOff>
      <xdr:row>46</xdr:row>
      <xdr:rowOff>106944</xdr:rowOff>
    </xdr:from>
    <xdr:to>
      <xdr:col>4</xdr:col>
      <xdr:colOff>407407</xdr:colOff>
      <xdr:row>54</xdr:row>
      <xdr:rowOff>105357</xdr:rowOff>
    </xdr:to>
    <xdr:cxnSp macro="">
      <xdr:nvCxnSpPr>
        <xdr:cNvPr id="36" name="Straight Arrow Connector 35">
          <a:extLst>
            <a:ext uri="{FF2B5EF4-FFF2-40B4-BE49-F238E27FC236}">
              <a16:creationId xmlns:a16="http://schemas.microsoft.com/office/drawing/2014/main" id="{49478AD8-2576-48A5-95C4-8B4AC3541180}"/>
            </a:ext>
          </a:extLst>
        </xdr:cNvPr>
        <xdr:cNvCxnSpPr/>
      </xdr:nvCxnSpPr>
      <xdr:spPr>
        <a:xfrm rot="5400000">
          <a:off x="2083806" y="9630357"/>
          <a:ext cx="1522413" cy="1588"/>
        </a:xfrm>
        <a:prstGeom prst="straightConnector1">
          <a:avLst/>
        </a:prstGeom>
        <a:ln w="19050">
          <a:solidFill>
            <a:schemeClr val="accent2">
              <a:lumMod val="75000"/>
            </a:schemeClr>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409787</xdr:colOff>
      <xdr:row>46</xdr:row>
      <xdr:rowOff>104564</xdr:rowOff>
    </xdr:from>
    <xdr:to>
      <xdr:col>5</xdr:col>
      <xdr:colOff>19761</xdr:colOff>
      <xdr:row>46</xdr:row>
      <xdr:rowOff>104570</xdr:rowOff>
    </xdr:to>
    <xdr:cxnSp macro="">
      <xdr:nvCxnSpPr>
        <xdr:cNvPr id="37" name="Straight Arrow Connector 36">
          <a:extLst>
            <a:ext uri="{FF2B5EF4-FFF2-40B4-BE49-F238E27FC236}">
              <a16:creationId xmlns:a16="http://schemas.microsoft.com/office/drawing/2014/main" id="{EFEAA44A-098C-4E24-AAF7-21E37C35E47E}"/>
            </a:ext>
          </a:extLst>
        </xdr:cNvPr>
        <xdr:cNvCxnSpPr/>
      </xdr:nvCxnSpPr>
      <xdr:spPr>
        <a:xfrm rot="10800000">
          <a:off x="2848187" y="8867564"/>
          <a:ext cx="219574" cy="6"/>
        </a:xfrm>
        <a:prstGeom prst="straightConnector1">
          <a:avLst/>
        </a:prstGeom>
        <a:ln w="19050">
          <a:solidFill>
            <a:schemeClr val="accent2">
              <a:lumMod val="75000"/>
            </a:schemeClr>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8467</xdr:colOff>
      <xdr:row>39</xdr:row>
      <xdr:rowOff>88900</xdr:rowOff>
    </xdr:from>
    <xdr:to>
      <xdr:col>9</xdr:col>
      <xdr:colOff>270412</xdr:colOff>
      <xdr:row>39</xdr:row>
      <xdr:rowOff>88900</xdr:rowOff>
    </xdr:to>
    <xdr:cxnSp macro="">
      <xdr:nvCxnSpPr>
        <xdr:cNvPr id="38" name="Straight Arrow Connector 37">
          <a:extLst>
            <a:ext uri="{FF2B5EF4-FFF2-40B4-BE49-F238E27FC236}">
              <a16:creationId xmlns:a16="http://schemas.microsoft.com/office/drawing/2014/main" id="{17F10249-EB66-4DB2-A129-FCC8E007C3DC}"/>
            </a:ext>
          </a:extLst>
        </xdr:cNvPr>
        <xdr:cNvCxnSpPr/>
      </xdr:nvCxnSpPr>
      <xdr:spPr>
        <a:xfrm rot="10800000">
          <a:off x="4885267" y="7518400"/>
          <a:ext cx="871545" cy="0"/>
        </a:xfrm>
        <a:prstGeom prst="straightConnector1">
          <a:avLst/>
        </a:prstGeom>
        <a:ln w="19050">
          <a:solidFill>
            <a:schemeClr val="accent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44450</xdr:colOff>
      <xdr:row>38</xdr:row>
      <xdr:rowOff>105621</xdr:rowOff>
    </xdr:from>
    <xdr:to>
      <xdr:col>8</xdr:col>
      <xdr:colOff>323240</xdr:colOff>
      <xdr:row>38</xdr:row>
      <xdr:rowOff>105625</xdr:rowOff>
    </xdr:to>
    <xdr:cxnSp macro="">
      <xdr:nvCxnSpPr>
        <xdr:cNvPr id="39" name="Straight Arrow Connector 38">
          <a:extLst>
            <a:ext uri="{FF2B5EF4-FFF2-40B4-BE49-F238E27FC236}">
              <a16:creationId xmlns:a16="http://schemas.microsoft.com/office/drawing/2014/main" id="{BA3463D4-F485-4CB9-B026-1C135BA4CF67}"/>
            </a:ext>
          </a:extLst>
        </xdr:cNvPr>
        <xdr:cNvCxnSpPr/>
      </xdr:nvCxnSpPr>
      <xdr:spPr>
        <a:xfrm rot="10800000">
          <a:off x="4921250" y="7344621"/>
          <a:ext cx="278790" cy="4"/>
        </a:xfrm>
        <a:prstGeom prst="straightConnector1">
          <a:avLst/>
        </a:prstGeom>
        <a:ln w="19050">
          <a:solidFill>
            <a:schemeClr val="tx2">
              <a:lumMod val="75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29</xdr:row>
      <xdr:rowOff>0</xdr:rowOff>
    </xdr:from>
    <xdr:to>
      <xdr:col>4</xdr:col>
      <xdr:colOff>371475</xdr:colOff>
      <xdr:row>29</xdr:row>
      <xdr:rowOff>0</xdr:rowOff>
    </xdr:to>
    <xdr:cxnSp macro="">
      <xdr:nvCxnSpPr>
        <xdr:cNvPr id="40" name="Straight Arrow Connector 39">
          <a:extLst>
            <a:ext uri="{FF2B5EF4-FFF2-40B4-BE49-F238E27FC236}">
              <a16:creationId xmlns:a16="http://schemas.microsoft.com/office/drawing/2014/main" id="{05CD77D7-6177-463E-8465-0338F538612D}"/>
            </a:ext>
          </a:extLst>
        </xdr:cNvPr>
        <xdr:cNvCxnSpPr>
          <a:cxnSpLocks/>
        </xdr:cNvCxnSpPr>
      </xdr:nvCxnSpPr>
      <xdr:spPr>
        <a:xfrm>
          <a:off x="2257425" y="5524500"/>
          <a:ext cx="5524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419100</xdr:colOff>
      <xdr:row>32</xdr:row>
      <xdr:rowOff>38100</xdr:rowOff>
    </xdr:from>
    <xdr:to>
      <xdr:col>4</xdr:col>
      <xdr:colOff>333375</xdr:colOff>
      <xdr:row>32</xdr:row>
      <xdr:rowOff>47625</xdr:rowOff>
    </xdr:to>
    <xdr:cxnSp macro="">
      <xdr:nvCxnSpPr>
        <xdr:cNvPr id="41" name="Straight Arrow Connector 40">
          <a:extLst>
            <a:ext uri="{FF2B5EF4-FFF2-40B4-BE49-F238E27FC236}">
              <a16:creationId xmlns:a16="http://schemas.microsoft.com/office/drawing/2014/main" id="{D57B98B8-41BD-4404-B22A-AB19E75863D6}"/>
            </a:ext>
          </a:extLst>
        </xdr:cNvPr>
        <xdr:cNvCxnSpPr>
          <a:cxnSpLocks/>
        </xdr:cNvCxnSpPr>
      </xdr:nvCxnSpPr>
      <xdr:spPr>
        <a:xfrm flipH="1" flipV="1">
          <a:off x="2247900" y="6134100"/>
          <a:ext cx="523875" cy="95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58</xdr:row>
      <xdr:rowOff>3174</xdr:rowOff>
    </xdr:from>
    <xdr:ext cx="481329" cy="0"/>
    <xdr:sp macro="" textlink="">
      <xdr:nvSpPr>
        <xdr:cNvPr id="2" name="Shape 2">
          <a:extLst>
            <a:ext uri="{FF2B5EF4-FFF2-40B4-BE49-F238E27FC236}">
              <a16:creationId xmlns:a16="http://schemas.microsoft.com/office/drawing/2014/main" id="{2E17FA65-4615-43C0-8F50-5CB5C7842925}"/>
            </a:ext>
          </a:extLst>
        </xdr:cNvPr>
        <xdr:cNvSpPr/>
      </xdr:nvSpPr>
      <xdr:spPr>
        <a:xfrm>
          <a:off x="0" y="110521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oneCellAnchor>
    <xdr:from>
      <xdr:col>0</xdr:col>
      <xdr:colOff>0</xdr:colOff>
      <xdr:row>59</xdr:row>
      <xdr:rowOff>3174</xdr:rowOff>
    </xdr:from>
    <xdr:ext cx="481329" cy="0"/>
    <xdr:sp macro="" textlink="">
      <xdr:nvSpPr>
        <xdr:cNvPr id="3" name="Shape 3">
          <a:extLst>
            <a:ext uri="{FF2B5EF4-FFF2-40B4-BE49-F238E27FC236}">
              <a16:creationId xmlns:a16="http://schemas.microsoft.com/office/drawing/2014/main" id="{75EF1513-DD24-486F-979B-F81301FDC637}"/>
            </a:ext>
          </a:extLst>
        </xdr:cNvPr>
        <xdr:cNvSpPr/>
      </xdr:nvSpPr>
      <xdr:spPr>
        <a:xfrm>
          <a:off x="0" y="11242674"/>
          <a:ext cx="481329" cy="0"/>
        </a:xfrm>
        <a:custGeom>
          <a:avLst/>
          <a:gdLst/>
          <a:ahLst/>
          <a:cxnLst/>
          <a:rect l="0" t="0" r="0" b="0"/>
          <a:pathLst>
            <a:path w="468630">
              <a:moveTo>
                <a:pt x="0" y="0"/>
              </a:moveTo>
              <a:lnTo>
                <a:pt x="468008" y="0"/>
              </a:lnTo>
            </a:path>
          </a:pathLst>
        </a:custGeom>
        <a:ln w="6350">
          <a:solidFill>
            <a:srgbClr val="007DB6"/>
          </a:solidFill>
        </a:ln>
      </xdr:spPr>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476250</xdr:colOff>
      <xdr:row>73</xdr:row>
      <xdr:rowOff>38100</xdr:rowOff>
    </xdr:from>
    <xdr:ext cx="10772775" cy="1419225"/>
    <xdr:pic>
      <xdr:nvPicPr>
        <xdr:cNvPr id="2" name="Picture 1">
          <a:extLst>
            <a:ext uri="{FF2B5EF4-FFF2-40B4-BE49-F238E27FC236}">
              <a16:creationId xmlns:a16="http://schemas.microsoft.com/office/drawing/2014/main" id="{15BCFFED-D4A8-4D78-9C1D-01CE9623D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13944600"/>
          <a:ext cx="1077277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xdr:row>
      <xdr:rowOff>0</xdr:rowOff>
    </xdr:from>
    <xdr:ext cx="5090548" cy="3360711"/>
    <xdr:pic>
      <xdr:nvPicPr>
        <xdr:cNvPr id="3" name="Picture 2">
          <a:extLst>
            <a:ext uri="{FF2B5EF4-FFF2-40B4-BE49-F238E27FC236}">
              <a16:creationId xmlns:a16="http://schemas.microsoft.com/office/drawing/2014/main" id="{3294E956-8053-469B-AB1D-8BC19CD4C5D7}"/>
            </a:ext>
          </a:extLst>
        </xdr:cNvPr>
        <xdr:cNvPicPr>
          <a:picLocks noChangeAspect="1"/>
        </xdr:cNvPicPr>
      </xdr:nvPicPr>
      <xdr:blipFill>
        <a:blip xmlns:r="http://schemas.openxmlformats.org/officeDocument/2006/relationships" r:embed="rId2"/>
        <a:stretch>
          <a:fillRect/>
        </a:stretch>
      </xdr:blipFill>
      <xdr:spPr>
        <a:xfrm>
          <a:off x="14020800" y="190500"/>
          <a:ext cx="5090548" cy="3360711"/>
        </a:xfrm>
        <a:prstGeom prst="rect">
          <a:avLst/>
        </a:prstGeom>
      </xdr:spPr>
    </xdr:pic>
    <xdr:clientData/>
  </xdr:oneCellAnchor>
  <xdr:oneCellAnchor>
    <xdr:from>
      <xdr:col>1</xdr:col>
      <xdr:colOff>57150</xdr:colOff>
      <xdr:row>0</xdr:row>
      <xdr:rowOff>85725</xdr:rowOff>
    </xdr:from>
    <xdr:ext cx="13136596" cy="7068536"/>
    <xdr:pic>
      <xdr:nvPicPr>
        <xdr:cNvPr id="4" name="Picture 3">
          <a:extLst>
            <a:ext uri="{FF2B5EF4-FFF2-40B4-BE49-F238E27FC236}">
              <a16:creationId xmlns:a16="http://schemas.microsoft.com/office/drawing/2014/main" id="{A3943F92-5430-463A-A668-90BF989EB9D3}"/>
            </a:ext>
          </a:extLst>
        </xdr:cNvPr>
        <xdr:cNvPicPr>
          <a:picLocks noChangeAspect="1"/>
        </xdr:cNvPicPr>
      </xdr:nvPicPr>
      <xdr:blipFill>
        <a:blip xmlns:r="http://schemas.openxmlformats.org/officeDocument/2006/relationships" r:embed="rId3"/>
        <a:stretch>
          <a:fillRect/>
        </a:stretch>
      </xdr:blipFill>
      <xdr:spPr>
        <a:xfrm>
          <a:off x="666750" y="85725"/>
          <a:ext cx="13136596" cy="706853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1433536/Google%20Drive/SATIM/Model%20Files/DMD_PRJ%20-%20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888E3125F2D\Mydata\D\Modelling%20Group\_03_SECTORS\+FUELS\Oil%20&amp;%20Gas\SASOL\SASOL%202018%20NIR%202017%20v1.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vate/tmp/SATIM/TCH_SUP2.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Models\SATIMGE_Veda\Archive\OldSUP_v00.xlsx" TargetMode="External"/><Relationship Id="rId1" Type="http://schemas.openxmlformats.org/officeDocument/2006/relationships/externalLinkPath" Target="Archive/OldSUP_v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ydata/D/GoogleDrive-ERC/1.Projects/DEFF-DEA/NDC-2020/A.3_NDC_2020%20%5bmodel%20calibration%5d/satim%20petrol-diesel%20%20check%20v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nswerTIMESv6/Answer_Databases/WB/SATIM_20140819runs-copy/TCH_PWR-WA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odels/SATIMGE/SATIM/DataSpreadsheets/Def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SOL NIR 2017"/>
      <sheetName val="SASOL Commodities"/>
      <sheetName val="NERSA2017"/>
      <sheetName val="GAS 2000-2029 CY"/>
      <sheetName val="SASOL CC 2019 report"/>
      <sheetName val="FTS-Unallocated"/>
      <sheetName val="Secunda Emissions 2019 etc"/>
      <sheetName val="Calorific values"/>
    </sheetNames>
    <sheetDataSet>
      <sheetData sheetId="0">
        <row r="11">
          <cell r="U11">
            <v>30.761111</v>
          </cell>
        </row>
      </sheetData>
      <sheetData sheetId="1">
        <row r="10">
          <cell r="D10">
            <v>3809</v>
          </cell>
        </row>
      </sheetData>
      <sheetData sheetId="2"/>
      <sheetData sheetId="3"/>
      <sheetData sheetId="4">
        <row r="97">
          <cell r="E97">
            <v>296</v>
          </cell>
        </row>
        <row r="98">
          <cell r="E98">
            <v>23</v>
          </cell>
        </row>
      </sheetData>
      <sheetData sheetId="5"/>
      <sheetData sheetId="6"/>
      <sheetData sheetId="7">
        <row r="8">
          <cell r="B8">
            <v>41</v>
          </cell>
        </row>
        <row r="18">
          <cell r="B18">
            <v>24.3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Liq Fuel Prices"/>
      <sheetName val="Coal price"/>
      <sheetName val="Oil price"/>
      <sheetName val="Gas Price"/>
      <sheetName val="Fugitive emissions"/>
      <sheetName val="Distribution"/>
      <sheetName val="SUP"/>
      <sheetName val="ITEMS_STech"/>
      <sheetName val="ITEMS_Comm"/>
      <sheetName val="TS ZTech"/>
      <sheetName val="TID ZTech"/>
      <sheetName val="Crude refineries"/>
      <sheetName val="Cleaner Fuels Phase-2"/>
      <sheetName val="GTL and CTL"/>
      <sheetName val="SummaryRef"/>
      <sheetName val="RefineriesRES"/>
      <sheetName val="SasolRES2012"/>
      <sheetName val="SasolRES-2017"/>
      <sheetName val="GAS 2000-2029 CY"/>
      <sheetName val="SASOL CC 2019 report"/>
      <sheetName val="Secunda Emissions 2019"/>
      <sheetName val="RefineriesData"/>
      <sheetName val="Aviation Synfuel Data"/>
      <sheetName val="Aviation Synfuel-Items"/>
      <sheetName val="Aviation Synfuel-TSData"/>
      <sheetName val="Aviation Synfuel-TIDData"/>
      <sheetName val="Hydrogen-Other"/>
      <sheetName val="Hydrogen-ELT"/>
      <sheetName val="H2Storage"/>
      <sheetName val="H2Storage-Items"/>
      <sheetName val="H2Storage-TSData"/>
      <sheetName val="H2Storage-TIDData"/>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HGN-TSData xtras"/>
      <sheetName val="HGN-TIDData xtras"/>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cell r="AZ14">
            <v>1E-3</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cell r="AY18">
            <v>56.1</v>
          </cell>
          <cell r="AZ18">
            <v>1E-3</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row r="17">
          <cell r="A17">
            <v>2.54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39">
          <cell r="D39">
            <v>120.1</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l.comparison"/>
      <sheetName val="FCS2018"/>
      <sheetName val="SATIM"/>
      <sheetName val="SAPIAAR2018"/>
      <sheetName val="NIR2017"/>
      <sheetName val="DoE.Petrol"/>
      <sheetName val="DoE.Diesel"/>
      <sheetName val="units"/>
      <sheetName val="scrap"/>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B2">
            <v>38.6</v>
          </cell>
        </row>
        <row r="3">
          <cell r="B3">
            <v>34.659999999999997</v>
          </cell>
        </row>
      </sheetData>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lator"/>
    </sheetNames>
    <sheetDataSet>
      <sheetData sheetId="0" refreshError="1">
        <row r="4">
          <cell r="L4">
            <v>1.7734731669022814</v>
          </cell>
          <cell r="O4">
            <v>1.3925713075799215</v>
          </cell>
          <cell r="P4">
            <v>1.3094103081137336</v>
          </cell>
          <cell r="R4">
            <v>1.1636030437253695</v>
          </cell>
          <cell r="S4">
            <v>1.0978875034592741</v>
          </cell>
          <cell r="T4">
            <v>1.0377447099466544</v>
          </cell>
          <cell r="U4">
            <v>1</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37C42C60-72EA-4A05-A5B8-82C1CA3BBFC2}" userId="144eb91ed0ec6402" providerId="Windows Live"/>
  <person displayName="Bruno Merven" id="{1776318E-A1B5-4EFE-AEFC-BA836577FC2B}" userId="S::01405439@wf.uct.ac.za::c7f06137-2c3b-4c5c-8f38-fe1abbc96860" providerId="AD"/>
  <person displayName="Fadiel Ahjum" id="{DBD70968-B063-47F0-8BFC-E121A98D835D}" userId="S::01433536@wf.uct.ac.za::efa8459c-771a-4734-8d17-0dd081898e3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8" dT="2020-07-22T08:45:14.01" personId="{DBD70968-B063-47F0-8BFC-E121A98D835D}" id="{A69B9C3F-DE53-46BB-A6DE-FB64C1C612BE}">
    <text>https://www.thermexcel.com/english/tables/vapeau1.htm</text>
  </threadedComment>
  <threadedComment ref="D28" dT="2020-07-22T11:41:41.63" personId="{DBD70968-B063-47F0-8BFC-E121A98D835D}" id="{CA55AE9D-3F78-459D-A51E-EB6326A04E43}" parentId="{A69B9C3F-DE53-46BB-A6DE-FB64C1C612BE}">
    <text>2,627 previous value</text>
  </threadedComment>
  <threadedComment ref="H28" dT="2020-07-22T08:54:29.65" personId="{DBD70968-B063-47F0-8BFC-E121A98D835D}" id="{576E9B21-A0D8-44C7-9CEE-CFF85E44D765}">
    <text>https://www.environment.gov.za/sites/default/files/docs/publications/calculationofcountryspecificemissionfactors.pdf</text>
  </threadedComment>
  <threadedComment ref="H29" dT="2020-07-22T08:54:49.68" personId="{DBD70968-B063-47F0-8BFC-E121A98D835D}" id="{22A30907-D0F2-41F6-AC00-ED2ADD3B7E39}">
    <text>https://www.environment.gov.za/sites/default/files/docs/publications/calculationofcountryspecificemissionfactors.pdf</text>
  </threadedComment>
  <threadedComment ref="H30" dT="2020-07-22T08:53:33.19" personId="{DBD70968-B063-47F0-8BFC-E121A98D835D}" id="{2C26E7A1-E766-45D9-88F6-C8F4616331BF}">
    <text>http://mhps.co.za/en/references-sasol-ii-iii.html</text>
  </threadedComment>
  <threadedComment ref="H30" dT="2020-07-22T10:44:59.15" personId="{DBD70968-B063-47F0-8BFC-E121A98D835D}" id="{4A29AEA9-A5AB-4A62-8183-D75F3A1D0E1F}" parentId="{2C26E7A1-E766-45D9-88F6-C8F4616331BF}">
    <text>Also as reported in SRK (2018)</text>
  </threadedComment>
  <threadedComment ref="D36" dT="2020-07-30T08:30:57.74" personId="{37C42C60-72EA-4A05-A5B8-82C1CA3BBFC2}" id="{5BA8580B-D1BD-47E8-ACC9-259B8A3BC9E7}">
    <text>adjusted this to get actual estimated emissions from elc production.</text>
  </threadedComment>
  <threadedComment ref="D67" dT="2020-07-30T08:10:26.33" personId="{37C42C60-72EA-4A05-A5B8-82C1CA3BBFC2}" id="{236D8970-8C7A-478A-B8FE-19D009638052}">
    <text>this is what was consumed the rest was exported.</text>
  </threadedComment>
  <threadedComment ref="D118" dT="2023-09-04T15:07:25.37" personId="{1776318E-A1B5-4EFE-AEFC-BA836577FC2B}" id="{3D3312A3-293E-4BE3-ACFE-B8655D774055}">
    <text>Old SATIM number adjusted to 2022 Rands</text>
  </threadedComment>
  <threadedComment ref="N180" dT="2023-08-24T13:57:28.47" personId="{1776318E-A1B5-4EFE-AEFC-BA836577FC2B}" id="{EED7492F-C915-4EE0-BCC5-98CAA9C51C4F}">
    <text xml:space="preserve">Most of LPG assumed to be used for process heat as per https://www.news24.com/fin24/companies/scramble-to-secure-wcape-lpg-supply-as-corporate-fight-becomes-untenable-20230620
</text>
    <extLst>
      <x:ext xmlns:xltc2="http://schemas.microsoft.com/office/spreadsheetml/2020/threadedcomments2" uri="{F7C98A9C-CBB3-438F-8F68-D28B6AF4A901}">
        <xltc2:checksum>3813517805</xltc2:checksum>
        <xltc2:hyperlink startIndex="55" length="120" url="https://www.news24.com/fin24/companies/scramble-to-secure-wcape-lpg-supply-as-corporate-fight-becomes-untenable-20230620"/>
      </x:ext>
    </extLst>
  </threadedComment>
  <threadedComment ref="D232" dT="2023-09-04T15:59:37.53" personId="{1776318E-A1B5-4EFE-AEFC-BA836577FC2B}" id="{2F164331-BF95-48AF-8845-F99DB162C057}">
    <text>Crude also an input but factored in as auxiliary - so this is the main input fuel efficiency.</text>
  </threadedComment>
  <threadedComment ref="E272" dT="2020-07-24T15:25:23.37" personId="{DBD70968-B063-47F0-8BFC-E121A98D835D}" id="{DDDB867F-32D5-4EA0-ADC8-4BDAA999081B}">
    <text>ktCO2 NIR 2017 DEFF (2020)</text>
  </threadedComment>
</ThreadedComments>
</file>

<file path=xl/threadedComments/threadedComment2.xml><?xml version="1.0" encoding="utf-8"?>
<ThreadedComments xmlns="http://schemas.microsoft.com/office/spreadsheetml/2018/threadedcomments" xmlns:x="http://schemas.openxmlformats.org/spreadsheetml/2006/main">
  <threadedComment ref="AB12" dT="2023-09-04T09:16:58.02" personId="{1776318E-A1B5-4EFE-AEFC-BA836577FC2B}" id="{4272113D-9EE2-400A-9E53-88AE0C1B8735}">
    <text>Not energy</text>
  </threadedComment>
  <threadedComment ref="AB16" dT="2023-09-04T09:17:26.95" personId="{1776318E-A1B5-4EFE-AEFC-BA836577FC2B}" id="{971BF19B-994A-40FE-A76F-43263574341C}">
    <text>Used on site</text>
  </threadedComment>
  <threadedComment ref="AC18" dT="2023-09-04T09:18:48.68" personId="{1776318E-A1B5-4EFE-AEFC-BA836577FC2B}" id="{D700F541-A46A-42ED-995B-62B1823B4643}">
    <text>Used on site</text>
  </threadedComment>
  <threadedComment ref="S19" dT="2023-09-04T13:06:11.39" personId="{1776318E-A1B5-4EFE-AEFC-BA836577FC2B}" id="{E74670B9-3AA9-4D2F-9054-A0A4C40B1DE9}">
    <text>Need better value here</text>
  </threadedComment>
  <threadedComment ref="Q25" dT="2023-09-04T13:06:11.39" personId="{1776318E-A1B5-4EFE-AEFC-BA836577FC2B}" id="{50884663-713A-4351-A824-DEB382107446}">
    <text>Need better value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D9" dT="2020-07-09T16:40:14.01" personId="{DBD70968-B063-47F0-8BFC-E121A98D835D}" id="{849F80A5-4693-4EDD-9170-2CE7AAFEC55E}">
    <text>Calculated from eskom CDM data</text>
  </threadedComment>
  <threadedComment ref="R24" dT="2020-07-09T16:50:54.23" personId="{DBD70968-B063-47F0-8BFC-E121A98D835D}" id="{0CA8B6FC-8218-4DA3-A660-A7C0D5A7B1F8}">
    <text>sasol cc report 2017</text>
  </threadedComment>
</ThreadedComments>
</file>

<file path=xl/threadedComments/threadedComment4.xml><?xml version="1.0" encoding="utf-8"?>
<ThreadedComments xmlns="http://schemas.microsoft.com/office/spreadsheetml/2018/threadedcomments" xmlns:x="http://schemas.openxmlformats.org/spreadsheetml/2006/main">
  <threadedComment ref="T50" dT="2020-07-23T08:38:19.38" personId="{DBD70968-B063-47F0-8BFC-E121A98D835D}" id="{CAA8026D-EB4C-408C-BD8C-E74A5F11AF4E}">
    <text>adjusted to match sasol total CO2 direct emissions for 2017 in CC report (2017)</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sas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2097-B575-4500-BA8A-A608BAC2985E}">
  <sheetPr codeName="Sheet1">
    <tabColor theme="4"/>
  </sheetPr>
  <dimension ref="B1:G19"/>
  <sheetViews>
    <sheetView workbookViewId="0">
      <selection activeCell="D16" activeCellId="2" sqref="D5:G5 D11:G11 D16:G16"/>
    </sheetView>
  </sheetViews>
  <sheetFormatPr defaultRowHeight="15" x14ac:dyDescent="0.25"/>
  <cols>
    <col min="2" max="2" width="27.85546875" bestFit="1" customWidth="1"/>
    <col min="3" max="3" width="69" bestFit="1" customWidth="1"/>
  </cols>
  <sheetData>
    <row r="1" spans="2:7" ht="18" thickBot="1" x14ac:dyDescent="0.35">
      <c r="B1" s="1" t="s">
        <v>7</v>
      </c>
      <c r="C1" s="1"/>
      <c r="D1" s="1"/>
      <c r="E1" s="1"/>
      <c r="F1" s="2"/>
      <c r="G1" s="2"/>
    </row>
    <row r="2" spans="2:7" ht="15.75" thickTop="1" x14ac:dyDescent="0.25">
      <c r="B2" s="2"/>
      <c r="C2" s="2"/>
      <c r="D2" s="2"/>
      <c r="E2" s="2"/>
      <c r="F2" s="2"/>
      <c r="G2" s="2"/>
    </row>
    <row r="3" spans="2:7" x14ac:dyDescent="0.25">
      <c r="B3" s="3" t="s">
        <v>0</v>
      </c>
      <c r="C3" s="4"/>
      <c r="D3" s="4"/>
      <c r="E3" s="4"/>
      <c r="F3" s="4"/>
      <c r="G3" s="4"/>
    </row>
    <row r="4" spans="2:7" x14ac:dyDescent="0.25">
      <c r="B4" s="5" t="s">
        <v>1</v>
      </c>
      <c r="C4" s="5" t="s">
        <v>2</v>
      </c>
      <c r="D4" s="5" t="s">
        <v>3</v>
      </c>
      <c r="E4" s="5" t="s">
        <v>4</v>
      </c>
      <c r="F4" s="5" t="s">
        <v>5</v>
      </c>
      <c r="G4" s="5" t="s">
        <v>6</v>
      </c>
    </row>
    <row r="5" spans="2:7" x14ac:dyDescent="0.25">
      <c r="B5" t="s">
        <v>857</v>
      </c>
    </row>
    <row r="6" spans="2:7" x14ac:dyDescent="0.25">
      <c r="B6" t="s">
        <v>114</v>
      </c>
      <c r="C6" t="s">
        <v>847</v>
      </c>
      <c r="D6" t="s">
        <v>409</v>
      </c>
      <c r="E6" t="s">
        <v>466</v>
      </c>
      <c r="F6" t="s">
        <v>860</v>
      </c>
      <c r="G6" t="s">
        <v>861</v>
      </c>
    </row>
    <row r="7" spans="2:7" x14ac:dyDescent="0.25">
      <c r="B7" t="s">
        <v>848</v>
      </c>
      <c r="C7" t="s">
        <v>846</v>
      </c>
      <c r="D7" t="s">
        <v>409</v>
      </c>
      <c r="E7" t="s">
        <v>466</v>
      </c>
      <c r="F7" t="s">
        <v>860</v>
      </c>
      <c r="G7" t="s">
        <v>861</v>
      </c>
    </row>
    <row r="8" spans="2:7" x14ac:dyDescent="0.25">
      <c r="B8" t="s">
        <v>117</v>
      </c>
      <c r="C8" t="s">
        <v>824</v>
      </c>
      <c r="D8" t="s">
        <v>409</v>
      </c>
      <c r="E8" t="s">
        <v>466</v>
      </c>
      <c r="F8" t="s">
        <v>860</v>
      </c>
      <c r="G8" t="s">
        <v>861</v>
      </c>
    </row>
    <row r="9" spans="2:7" x14ac:dyDescent="0.25">
      <c r="B9" t="s">
        <v>827</v>
      </c>
      <c r="C9" t="s">
        <v>826</v>
      </c>
      <c r="D9" t="s">
        <v>409</v>
      </c>
      <c r="E9" t="s">
        <v>466</v>
      </c>
      <c r="F9" t="s">
        <v>860</v>
      </c>
      <c r="G9" t="s">
        <v>861</v>
      </c>
    </row>
    <row r="10" spans="2:7" x14ac:dyDescent="0.25">
      <c r="B10" t="s">
        <v>710</v>
      </c>
      <c r="C10" t="s">
        <v>832</v>
      </c>
      <c r="D10" t="s">
        <v>409</v>
      </c>
      <c r="E10" t="s">
        <v>466</v>
      </c>
      <c r="F10" t="s">
        <v>860</v>
      </c>
      <c r="G10" t="s">
        <v>861</v>
      </c>
    </row>
    <row r="11" spans="2:7" x14ac:dyDescent="0.25">
      <c r="B11" t="s">
        <v>858</v>
      </c>
    </row>
    <row r="12" spans="2:7" x14ac:dyDescent="0.25">
      <c r="B12" t="s">
        <v>836</v>
      </c>
      <c r="C12" t="s">
        <v>835</v>
      </c>
      <c r="D12" t="s">
        <v>409</v>
      </c>
      <c r="E12" t="s">
        <v>466</v>
      </c>
      <c r="F12" t="s">
        <v>860</v>
      </c>
      <c r="G12" t="s">
        <v>861</v>
      </c>
    </row>
    <row r="13" spans="2:7" x14ac:dyDescent="0.25">
      <c r="B13" t="s">
        <v>829</v>
      </c>
      <c r="C13" t="s">
        <v>828</v>
      </c>
      <c r="D13" t="s">
        <v>409</v>
      </c>
      <c r="E13" t="s">
        <v>466</v>
      </c>
      <c r="F13" t="s">
        <v>860</v>
      </c>
      <c r="G13" t="s">
        <v>861</v>
      </c>
    </row>
    <row r="14" spans="2:7" x14ac:dyDescent="0.25">
      <c r="B14" t="s">
        <v>831</v>
      </c>
      <c r="C14" t="s">
        <v>830</v>
      </c>
      <c r="D14" t="s">
        <v>409</v>
      </c>
      <c r="E14" t="s">
        <v>466</v>
      </c>
      <c r="F14" t="s">
        <v>860</v>
      </c>
      <c r="G14" t="s">
        <v>861</v>
      </c>
    </row>
    <row r="15" spans="2:7" x14ac:dyDescent="0.25">
      <c r="B15" t="s">
        <v>131</v>
      </c>
      <c r="C15" t="s">
        <v>838</v>
      </c>
      <c r="D15" t="s">
        <v>409</v>
      </c>
      <c r="E15" t="s">
        <v>466</v>
      </c>
      <c r="F15" t="s">
        <v>860</v>
      </c>
      <c r="G15" t="s">
        <v>861</v>
      </c>
    </row>
    <row r="16" spans="2:7" x14ac:dyDescent="0.25">
      <c r="B16" t="s">
        <v>859</v>
      </c>
    </row>
    <row r="17" spans="2:7" x14ac:dyDescent="0.25">
      <c r="B17" t="s">
        <v>707</v>
      </c>
      <c r="C17" t="s">
        <v>798</v>
      </c>
      <c r="D17" t="s">
        <v>409</v>
      </c>
      <c r="E17" t="s">
        <v>466</v>
      </c>
      <c r="F17" t="s">
        <v>860</v>
      </c>
      <c r="G17" t="s">
        <v>861</v>
      </c>
    </row>
    <row r="18" spans="2:7" x14ac:dyDescent="0.25">
      <c r="B18" t="s">
        <v>839</v>
      </c>
      <c r="C18" t="s">
        <v>797</v>
      </c>
      <c r="D18" t="s">
        <v>409</v>
      </c>
      <c r="E18" t="s">
        <v>466</v>
      </c>
      <c r="F18" t="s">
        <v>860</v>
      </c>
      <c r="G18" t="s">
        <v>861</v>
      </c>
    </row>
    <row r="19" spans="2:7" x14ac:dyDescent="0.25">
      <c r="B19" t="s">
        <v>840</v>
      </c>
      <c r="C19" t="s">
        <v>796</v>
      </c>
      <c r="D19" t="s">
        <v>409</v>
      </c>
      <c r="E19" t="s">
        <v>466</v>
      </c>
      <c r="F19" t="s">
        <v>860</v>
      </c>
      <c r="G19" t="s">
        <v>861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BBE9-9308-4FFD-BB00-E17E76664377}">
  <sheetPr codeName="Sheet8">
    <tabColor theme="9"/>
  </sheetPr>
  <dimension ref="A1:T95"/>
  <sheetViews>
    <sheetView workbookViewId="0"/>
  </sheetViews>
  <sheetFormatPr defaultRowHeight="12.75" x14ac:dyDescent="0.25"/>
  <cols>
    <col min="1" max="1" width="17.7109375" style="261" customWidth="1"/>
    <col min="2" max="2" width="9.140625" style="261"/>
    <col min="3" max="3" width="11.140625" style="261" bestFit="1" customWidth="1"/>
    <col min="4" max="5" width="9.140625" style="261"/>
    <col min="6" max="6" width="10.42578125" style="261" bestFit="1" customWidth="1"/>
    <col min="7" max="14" width="9.140625" style="261"/>
    <col min="15" max="15" width="16.42578125" style="261" customWidth="1"/>
    <col min="16" max="16" width="19.7109375" style="261" customWidth="1"/>
    <col min="17" max="16384" width="9.140625" style="261"/>
  </cols>
  <sheetData>
    <row r="1" spans="1:1" ht="15.75" x14ac:dyDescent="0.25">
      <c r="A1" s="263" t="s">
        <v>454</v>
      </c>
    </row>
    <row r="45" spans="14:20" x14ac:dyDescent="0.25">
      <c r="N45" s="261" t="s">
        <v>453</v>
      </c>
      <c r="O45" s="261" t="s">
        <v>452</v>
      </c>
      <c r="Q45" s="261" t="s">
        <v>451</v>
      </c>
      <c r="R45" s="261" t="s">
        <v>450</v>
      </c>
      <c r="S45" s="261" t="s">
        <v>449</v>
      </c>
      <c r="T45" s="261" t="s">
        <v>448</v>
      </c>
    </row>
    <row r="46" spans="14:20" x14ac:dyDescent="0.25">
      <c r="N46" s="261">
        <v>1</v>
      </c>
      <c r="O46" s="261" t="s">
        <v>447</v>
      </c>
      <c r="P46" s="261" t="s">
        <v>446</v>
      </c>
      <c r="Q46" s="261" t="s">
        <v>428</v>
      </c>
      <c r="R46" s="261">
        <v>6</v>
      </c>
    </row>
    <row r="47" spans="14:20" x14ac:dyDescent="0.25">
      <c r="N47" s="261">
        <v>2</v>
      </c>
      <c r="O47" s="261" t="s">
        <v>445</v>
      </c>
      <c r="P47" s="261" t="s">
        <v>437</v>
      </c>
      <c r="Q47" s="261" t="s">
        <v>436</v>
      </c>
      <c r="R47" s="261">
        <v>1</v>
      </c>
    </row>
    <row r="48" spans="14:20" x14ac:dyDescent="0.25">
      <c r="N48" s="261" t="s">
        <v>444</v>
      </c>
      <c r="O48" s="261" t="s">
        <v>443</v>
      </c>
      <c r="P48" s="261" t="s">
        <v>442</v>
      </c>
      <c r="Q48" s="261" t="s">
        <v>428</v>
      </c>
      <c r="R48" s="261">
        <v>8</v>
      </c>
      <c r="S48" s="265">
        <f>R48/SUM($R$48:$R$50)</f>
        <v>0.34782608695652173</v>
      </c>
      <c r="T48" s="266">
        <f>S48</f>
        <v>0.34782608695652173</v>
      </c>
    </row>
    <row r="49" spans="1:20" x14ac:dyDescent="0.25">
      <c r="E49" s="261">
        <f>9+22</f>
        <v>31</v>
      </c>
      <c r="N49" s="261" t="s">
        <v>441</v>
      </c>
      <c r="O49" s="261" t="s">
        <v>440</v>
      </c>
      <c r="P49" s="261" t="s">
        <v>439</v>
      </c>
      <c r="Q49" s="261" t="s">
        <v>428</v>
      </c>
      <c r="R49" s="261">
        <v>9</v>
      </c>
      <c r="S49" s="265">
        <f>R49/SUM($R$48:$R$50)</f>
        <v>0.39130434782608697</v>
      </c>
      <c r="T49" s="266">
        <f>S49</f>
        <v>0.39130434782608697</v>
      </c>
    </row>
    <row r="50" spans="1:20" x14ac:dyDescent="0.25">
      <c r="N50" s="261">
        <v>4</v>
      </c>
      <c r="O50" s="261" t="s">
        <v>438</v>
      </c>
      <c r="P50" s="261" t="s">
        <v>437</v>
      </c>
      <c r="Q50" s="261" t="s">
        <v>436</v>
      </c>
      <c r="R50" s="261">
        <v>6</v>
      </c>
      <c r="S50" s="265">
        <f>R50/SUM($R$48:$R$50)</f>
        <v>0.2608695652173913</v>
      </c>
      <c r="T50" s="264">
        <f>1-SUM(T48:T49)</f>
        <v>0.26086956521739135</v>
      </c>
    </row>
    <row r="51" spans="1:20" x14ac:dyDescent="0.25">
      <c r="N51" s="261" t="s">
        <v>431</v>
      </c>
      <c r="O51" s="261" t="s">
        <v>430</v>
      </c>
      <c r="P51" s="261" t="s">
        <v>435</v>
      </c>
      <c r="Q51" s="261" t="s">
        <v>428</v>
      </c>
      <c r="R51" s="261">
        <v>2</v>
      </c>
    </row>
    <row r="52" spans="1:20" ht="15" x14ac:dyDescent="0.25">
      <c r="N52" s="261" t="s">
        <v>434</v>
      </c>
      <c r="O52" s="261" t="s">
        <v>430</v>
      </c>
      <c r="P52" s="261" t="s">
        <v>433</v>
      </c>
      <c r="Q52" s="261" t="s">
        <v>428</v>
      </c>
      <c r="R52" s="261">
        <v>22</v>
      </c>
      <c r="T52" t="s">
        <v>432</v>
      </c>
    </row>
    <row r="53" spans="1:20" ht="15" x14ac:dyDescent="0.25">
      <c r="N53" s="261" t="s">
        <v>431</v>
      </c>
      <c r="O53" s="261" t="s">
        <v>430</v>
      </c>
      <c r="P53" s="261" t="s">
        <v>429</v>
      </c>
      <c r="Q53" s="261" t="s">
        <v>428</v>
      </c>
      <c r="R53" s="261">
        <v>3</v>
      </c>
      <c r="T53" t="s">
        <v>427</v>
      </c>
    </row>
    <row r="55" spans="1:20" ht="15.75" x14ac:dyDescent="0.25">
      <c r="A55" s="263" t="s">
        <v>426</v>
      </c>
      <c r="N55" s="261" t="s">
        <v>425</v>
      </c>
      <c r="R55" s="261">
        <f>SUM(R47:R53)</f>
        <v>51</v>
      </c>
    </row>
    <row r="56" spans="1:20" x14ac:dyDescent="0.25">
      <c r="A56" s="261" t="s">
        <v>424</v>
      </c>
      <c r="N56" s="261" t="s">
        <v>418</v>
      </c>
      <c r="R56" s="261">
        <f>R55-R50-R47</f>
        <v>44</v>
      </c>
    </row>
    <row r="57" spans="1:20" x14ac:dyDescent="0.25">
      <c r="A57" s="261" t="s">
        <v>423</v>
      </c>
      <c r="C57" s="261" t="s">
        <v>422</v>
      </c>
      <c r="N57" s="261" t="s">
        <v>418</v>
      </c>
      <c r="O57" s="261" t="s">
        <v>421</v>
      </c>
      <c r="R57" s="261">
        <f>R48+R49</f>
        <v>17</v>
      </c>
    </row>
    <row r="58" spans="1:20" x14ac:dyDescent="0.25">
      <c r="C58" s="261">
        <v>103164727</v>
      </c>
      <c r="N58" s="261" t="s">
        <v>418</v>
      </c>
      <c r="O58" s="261" t="s">
        <v>420</v>
      </c>
      <c r="R58" s="261">
        <f>R52+R53</f>
        <v>25</v>
      </c>
    </row>
    <row r="59" spans="1:20" x14ac:dyDescent="0.25">
      <c r="C59" s="261" t="s">
        <v>419</v>
      </c>
      <c r="N59" s="261" t="s">
        <v>418</v>
      </c>
      <c r="O59" s="261" t="s">
        <v>417</v>
      </c>
      <c r="R59" s="261">
        <f>R51</f>
        <v>2</v>
      </c>
    </row>
    <row r="60" spans="1:20" x14ac:dyDescent="0.25">
      <c r="C60" s="261" t="s">
        <v>416</v>
      </c>
      <c r="D60" s="261">
        <v>94521</v>
      </c>
      <c r="E60" s="261" t="s">
        <v>406</v>
      </c>
      <c r="F60" s="261">
        <f>D60*3.6</f>
        <v>340275.60000000003</v>
      </c>
      <c r="G60" s="261" t="s">
        <v>410</v>
      </c>
      <c r="H60" s="261">
        <f>F60*0.000001</f>
        <v>0.34027560000000001</v>
      </c>
      <c r="I60" s="261" t="s">
        <v>409</v>
      </c>
    </row>
    <row r="61" spans="1:20" x14ac:dyDescent="0.25">
      <c r="C61" s="261" t="s">
        <v>415</v>
      </c>
      <c r="D61" s="261">
        <v>2446</v>
      </c>
      <c r="E61" s="261" t="s">
        <v>406</v>
      </c>
      <c r="F61" s="261">
        <f>D61*3.6</f>
        <v>8805.6</v>
      </c>
      <c r="G61" s="261" t="s">
        <v>410</v>
      </c>
      <c r="H61" s="261">
        <f>F61*0.000001</f>
        <v>8.8056000000000002E-3</v>
      </c>
      <c r="I61" s="261" t="s">
        <v>409</v>
      </c>
    </row>
    <row r="62" spans="1:20" x14ac:dyDescent="0.25">
      <c r="C62" s="261" t="s">
        <v>414</v>
      </c>
      <c r="D62" s="261">
        <v>84661823</v>
      </c>
      <c r="E62" s="261" t="s">
        <v>406</v>
      </c>
      <c r="F62" s="261">
        <f>D62*3.6</f>
        <v>304782562.80000001</v>
      </c>
      <c r="G62" s="261" t="s">
        <v>410</v>
      </c>
      <c r="H62" s="261">
        <f>F62*0.000001</f>
        <v>304.78256279999999</v>
      </c>
      <c r="I62" s="261" t="s">
        <v>409</v>
      </c>
    </row>
    <row r="63" spans="1:20" x14ac:dyDescent="0.25">
      <c r="C63" s="261" t="s">
        <v>413</v>
      </c>
      <c r="D63" s="261">
        <v>18405938</v>
      </c>
      <c r="E63" s="261" t="s">
        <v>406</v>
      </c>
      <c r="F63" s="261">
        <f>D63*3.6</f>
        <v>66261376.800000004</v>
      </c>
      <c r="G63" s="261" t="s">
        <v>410</v>
      </c>
      <c r="H63" s="261">
        <f>F63*0.000001</f>
        <v>66.261376800000008</v>
      </c>
      <c r="I63" s="261" t="s">
        <v>409</v>
      </c>
    </row>
    <row r="67" spans="3:9" x14ac:dyDescent="0.25">
      <c r="C67" s="261" t="s">
        <v>412</v>
      </c>
    </row>
    <row r="68" spans="3:9" x14ac:dyDescent="0.25">
      <c r="C68" s="261" t="s">
        <v>310</v>
      </c>
      <c r="D68" s="261">
        <v>0</v>
      </c>
      <c r="E68" s="261" t="s">
        <v>406</v>
      </c>
    </row>
    <row r="69" spans="3:9" x14ac:dyDescent="0.25">
      <c r="C69" s="261" t="s">
        <v>411</v>
      </c>
      <c r="D69" s="261">
        <v>75393332</v>
      </c>
      <c r="E69" s="261" t="s">
        <v>406</v>
      </c>
      <c r="F69" s="261">
        <f>D69*3.6</f>
        <v>271415995.19999999</v>
      </c>
      <c r="G69" s="261" t="s">
        <v>410</v>
      </c>
      <c r="H69" s="261">
        <f>F69*0.000001</f>
        <v>271.4159952</v>
      </c>
      <c r="I69" s="261" t="s">
        <v>409</v>
      </c>
    </row>
    <row r="70" spans="3:9" x14ac:dyDescent="0.25">
      <c r="C70" s="261" t="s">
        <v>408</v>
      </c>
      <c r="D70" s="261">
        <v>0</v>
      </c>
      <c r="E70" s="261" t="s">
        <v>406</v>
      </c>
    </row>
    <row r="73" spans="3:9" x14ac:dyDescent="0.25">
      <c r="C73" s="261" t="s">
        <v>407</v>
      </c>
    </row>
    <row r="84" spans="1:7" x14ac:dyDescent="0.25">
      <c r="D84" s="261">
        <v>17271234</v>
      </c>
      <c r="E84" s="261" t="s">
        <v>406</v>
      </c>
    </row>
    <row r="85" spans="1:7" x14ac:dyDescent="0.25">
      <c r="D85" s="261">
        <v>8002743</v>
      </c>
      <c r="E85" s="261" t="s">
        <v>406</v>
      </c>
    </row>
    <row r="86" spans="1:7" x14ac:dyDescent="0.25">
      <c r="D86" s="261">
        <v>9268491</v>
      </c>
      <c r="E86" s="261" t="s">
        <v>406</v>
      </c>
    </row>
    <row r="87" spans="1:7" x14ac:dyDescent="0.25">
      <c r="D87" s="261">
        <v>0</v>
      </c>
      <c r="E87" s="261" t="s">
        <v>406</v>
      </c>
    </row>
    <row r="88" spans="1:7" x14ac:dyDescent="0.25">
      <c r="D88" s="261">
        <v>0</v>
      </c>
      <c r="E88" s="261" t="s">
        <v>406</v>
      </c>
    </row>
    <row r="94" spans="1:7" ht="15" x14ac:dyDescent="0.25">
      <c r="A94" s="252" t="s">
        <v>405</v>
      </c>
      <c r="B94" s="252" t="s">
        <v>194</v>
      </c>
      <c r="C94" s="176">
        <v>261403</v>
      </c>
      <c r="D94" s="252"/>
    </row>
    <row r="95" spans="1:7" ht="15" x14ac:dyDescent="0.25">
      <c r="A95" s="252" t="s">
        <v>405</v>
      </c>
      <c r="B95" s="252" t="s">
        <v>194</v>
      </c>
      <c r="C95" s="176">
        <f>F95*RefineriesData!D24/1000</f>
        <v>287120.47416000004</v>
      </c>
      <c r="D95" s="252" t="s">
        <v>308</v>
      </c>
      <c r="E95" s="261" t="s">
        <v>404</v>
      </c>
      <c r="F95" s="262">
        <v>13777374</v>
      </c>
      <c r="G95" s="261" t="s">
        <v>403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A96F-55AC-404F-A376-7B8F4D037D83}">
  <sheetPr codeName="Sheet10">
    <tabColor theme="4"/>
  </sheetPr>
  <dimension ref="A1:BH117"/>
  <sheetViews>
    <sheetView zoomScale="90" zoomScaleNormal="90" workbookViewId="0">
      <pane xSplit="5" ySplit="8" topLeftCell="F48" activePane="bottomRight" state="frozen"/>
      <selection pane="topRight" activeCell="F1" sqref="F1"/>
      <selection pane="bottomLeft" activeCell="A9" sqref="A9"/>
      <selection pane="bottomRight" activeCell="O50" sqref="O50"/>
    </sheetView>
  </sheetViews>
  <sheetFormatPr defaultColWidth="11.42578125" defaultRowHeight="12.75" x14ac:dyDescent="0.2"/>
  <cols>
    <col min="1" max="1" width="47" style="117" customWidth="1"/>
    <col min="2" max="2" width="17.28515625" style="117" customWidth="1"/>
    <col min="3" max="3" width="14.28515625" style="117" customWidth="1"/>
    <col min="4" max="8" width="10" style="117" customWidth="1"/>
    <col min="9" max="9" width="12.140625" style="117" customWidth="1"/>
    <col min="10" max="10" width="10" style="117" customWidth="1"/>
    <col min="11" max="14" width="7.28515625" style="117" customWidth="1"/>
    <col min="15" max="17" width="10" style="117" customWidth="1"/>
    <col min="18" max="20" width="9.7109375" style="117" customWidth="1"/>
    <col min="21" max="21" width="10" style="117" customWidth="1"/>
    <col min="22" max="29" width="8.28515625" style="117" customWidth="1"/>
    <col min="30" max="30" width="10" style="117" customWidth="1"/>
    <col min="31" max="31" width="7.7109375" style="117" customWidth="1"/>
    <col min="32" max="38" width="7.28515625" style="117" customWidth="1"/>
    <col min="39" max="39" width="8.42578125" style="117" customWidth="1"/>
    <col min="40" max="45" width="7.28515625" style="117" customWidth="1"/>
    <col min="46" max="16384" width="11.42578125" style="117"/>
  </cols>
  <sheetData>
    <row r="1" spans="1:60" ht="20.25" thickBot="1" x14ac:dyDescent="0.35">
      <c r="B1" s="444" t="s">
        <v>820</v>
      </c>
      <c r="C1" s="445"/>
      <c r="D1" s="445"/>
      <c r="E1" s="445"/>
      <c r="F1" s="447"/>
      <c r="G1" s="445"/>
      <c r="H1" s="445"/>
      <c r="I1" s="445"/>
      <c r="P1" s="446"/>
      <c r="U1" s="445"/>
      <c r="V1" s="445"/>
      <c r="W1" s="445"/>
      <c r="X1" s="445"/>
      <c r="Y1" s="445"/>
      <c r="Z1" s="445"/>
      <c r="AA1" s="445"/>
      <c r="AB1" s="445"/>
      <c r="AC1" s="445"/>
      <c r="AD1" s="445"/>
    </row>
    <row r="2" spans="1:60" ht="13.5" thickTop="1" x14ac:dyDescent="0.2">
      <c r="A2" s="97"/>
      <c r="B2" s="448"/>
      <c r="C2" s="448"/>
      <c r="D2" s="448"/>
      <c r="E2" s="448"/>
      <c r="F2" s="97"/>
      <c r="G2" s="448"/>
      <c r="H2" s="448"/>
      <c r="I2" s="448"/>
      <c r="J2" s="448"/>
      <c r="K2" s="448"/>
      <c r="L2" s="448"/>
      <c r="M2" s="448"/>
      <c r="N2" s="448"/>
      <c r="O2" s="97"/>
      <c r="P2" s="448"/>
      <c r="Q2" s="448"/>
      <c r="R2" s="448"/>
      <c r="S2" s="448"/>
      <c r="T2" s="448"/>
      <c r="U2" s="448"/>
      <c r="V2" s="448"/>
      <c r="W2" s="448"/>
      <c r="X2" s="448"/>
      <c r="Y2" s="448"/>
      <c r="Z2" s="448"/>
      <c r="AA2" s="448"/>
      <c r="AB2" s="448"/>
      <c r="AC2" s="448"/>
      <c r="AD2" s="448"/>
    </row>
    <row r="3" spans="1:60" ht="15" x14ac:dyDescent="0.25">
      <c r="A3" s="4"/>
      <c r="B3" s="4"/>
      <c r="C3" s="4"/>
      <c r="D3" s="4"/>
      <c r="E3" s="4" t="s">
        <v>819</v>
      </c>
      <c r="F3" s="4"/>
      <c r="G3" s="4"/>
      <c r="H3" s="4"/>
      <c r="I3" s="4"/>
      <c r="J3" s="4"/>
      <c r="K3" s="4"/>
      <c r="L3" s="4"/>
      <c r="M3" s="4"/>
      <c r="N3" s="4"/>
      <c r="O3" s="4"/>
      <c r="P3" s="4"/>
      <c r="Q3" s="4"/>
      <c r="R3" s="4"/>
      <c r="S3" s="4"/>
      <c r="T3" s="4"/>
      <c r="U3" s="4"/>
      <c r="V3" s="4"/>
      <c r="W3" s="4"/>
      <c r="X3" s="4"/>
      <c r="Y3" s="4"/>
      <c r="Z3" s="4"/>
      <c r="AA3" s="4"/>
      <c r="AB3" s="4"/>
      <c r="AC3" s="4"/>
      <c r="AD3" s="4"/>
      <c r="AE3" s="449" t="s">
        <v>468</v>
      </c>
      <c r="AF3" s="4"/>
      <c r="AG3" s="4"/>
      <c r="AH3" s="4"/>
      <c r="AI3" s="4"/>
      <c r="AJ3" s="4"/>
      <c r="AK3" s="4"/>
      <c r="AL3" s="4"/>
      <c r="AM3" s="4"/>
      <c r="AN3" s="4"/>
      <c r="AO3" s="4"/>
      <c r="AP3" s="4"/>
      <c r="AQ3" s="4"/>
      <c r="AR3" s="4"/>
      <c r="AS3" s="4"/>
      <c r="AT3" s="4"/>
      <c r="AU3" s="4"/>
      <c r="AV3" s="4"/>
      <c r="AW3" s="4"/>
      <c r="AX3" s="4"/>
      <c r="AY3" s="4"/>
      <c r="AZ3" s="4"/>
      <c r="BA3" s="4"/>
      <c r="BB3" s="4"/>
      <c r="BC3" s="4"/>
      <c r="BD3" s="4"/>
      <c r="BE3" s="4"/>
      <c r="BF3" s="4"/>
    </row>
    <row r="4" spans="1:60" ht="42.75" customHeight="1" x14ac:dyDescent="0.25">
      <c r="A4" s="450" t="s">
        <v>2</v>
      </c>
      <c r="B4" s="449" t="s">
        <v>1</v>
      </c>
      <c r="C4" s="449" t="s">
        <v>818</v>
      </c>
      <c r="D4" s="449" t="s">
        <v>817</v>
      </c>
      <c r="E4" s="449" t="s">
        <v>816</v>
      </c>
      <c r="F4" s="449" t="s">
        <v>465</v>
      </c>
      <c r="G4" s="449" t="s">
        <v>917</v>
      </c>
      <c r="H4" s="449" t="s">
        <v>863</v>
      </c>
      <c r="I4" s="443" t="s">
        <v>864</v>
      </c>
      <c r="J4" s="449" t="s">
        <v>496</v>
      </c>
      <c r="K4" s="449" t="s">
        <v>915</v>
      </c>
      <c r="L4" s="451" t="s">
        <v>916</v>
      </c>
      <c r="M4" s="449" t="s">
        <v>913</v>
      </c>
      <c r="N4" s="451" t="s">
        <v>914</v>
      </c>
      <c r="O4" s="449" t="s">
        <v>815</v>
      </c>
      <c r="P4" s="449" t="s">
        <v>489</v>
      </c>
      <c r="Q4" s="449" t="s">
        <v>461</v>
      </c>
      <c r="R4" s="449" t="s">
        <v>814</v>
      </c>
      <c r="S4" s="449" t="s">
        <v>876</v>
      </c>
      <c r="T4" s="449" t="s">
        <v>877</v>
      </c>
      <c r="U4" s="450" t="s">
        <v>862</v>
      </c>
      <c r="V4" s="450" t="str">
        <f>"AFA~UP~"&amp;V6</f>
        <v>AFA~UP~2017</v>
      </c>
      <c r="W4" s="450" t="str">
        <f t="shared" ref="W4:Z4" si="0">"AFA~UP~"&amp;W6</f>
        <v>AFA~UP~2018</v>
      </c>
      <c r="X4" s="450" t="str">
        <f t="shared" si="0"/>
        <v>AFA~UP~2019</v>
      </c>
      <c r="Y4" s="450" t="str">
        <f t="shared" si="0"/>
        <v>AFA~UP~2020</v>
      </c>
      <c r="Z4" s="450" t="str">
        <f t="shared" si="0"/>
        <v>AFA~UP~2021</v>
      </c>
      <c r="AA4" s="450" t="str">
        <f t="shared" ref="AA4:AB4" si="1">"AFA~UP~"&amp;AA6</f>
        <v>AFA~UP~2022</v>
      </c>
      <c r="AB4" s="450" t="str">
        <f t="shared" si="1"/>
        <v>AFA~UP~2023</v>
      </c>
      <c r="AC4" s="450" t="str">
        <f t="shared" ref="AC4" si="2">"AFA~UP~"&amp;AC6</f>
        <v>AFA~UP~2024</v>
      </c>
      <c r="AD4" s="451" t="s">
        <v>878</v>
      </c>
      <c r="AE4" s="449" t="str">
        <f t="shared" ref="AE4:BF4" si="3">$AE$3&amp;"~"&amp;AE6</f>
        <v>RESID~2017</v>
      </c>
      <c r="AF4" s="449" t="str">
        <f t="shared" si="3"/>
        <v>RESID~2018</v>
      </c>
      <c r="AG4" s="449" t="str">
        <f t="shared" si="3"/>
        <v>RESID~2019</v>
      </c>
      <c r="AH4" s="449" t="str">
        <f t="shared" si="3"/>
        <v>RESID~2020</v>
      </c>
      <c r="AI4" s="449" t="str">
        <f t="shared" si="3"/>
        <v>RESID~2021</v>
      </c>
      <c r="AJ4" s="449" t="str">
        <f t="shared" si="3"/>
        <v>RESID~2022</v>
      </c>
      <c r="AK4" s="449" t="str">
        <f t="shared" si="3"/>
        <v>RESID~2023</v>
      </c>
      <c r="AL4" s="449" t="str">
        <f t="shared" si="3"/>
        <v>RESID~2024</v>
      </c>
      <c r="AM4" s="449" t="str">
        <f t="shared" si="3"/>
        <v>RESID~2025</v>
      </c>
      <c r="AN4" s="449" t="str">
        <f t="shared" si="3"/>
        <v>RESID~2026</v>
      </c>
      <c r="AO4" s="449" t="str">
        <f t="shared" si="3"/>
        <v>RESID~2027</v>
      </c>
      <c r="AP4" s="449" t="str">
        <f t="shared" si="3"/>
        <v>RESID~2028</v>
      </c>
      <c r="AQ4" s="449" t="str">
        <f t="shared" si="3"/>
        <v>RESID~2029</v>
      </c>
      <c r="AR4" s="449" t="str">
        <f t="shared" si="3"/>
        <v>RESID~2030</v>
      </c>
      <c r="AS4" s="449" t="str">
        <f t="shared" si="3"/>
        <v>RESID~2031</v>
      </c>
      <c r="AT4" s="449" t="str">
        <f t="shared" si="3"/>
        <v>RESID~2032</v>
      </c>
      <c r="AU4" s="449" t="str">
        <f t="shared" si="3"/>
        <v>RESID~2033</v>
      </c>
      <c r="AV4" s="449" t="str">
        <f t="shared" si="3"/>
        <v>RESID~2034</v>
      </c>
      <c r="AW4" s="449" t="str">
        <f t="shared" si="3"/>
        <v>RESID~2035</v>
      </c>
      <c r="AX4" s="449" t="str">
        <f t="shared" si="3"/>
        <v>RESID~2036</v>
      </c>
      <c r="AY4" s="449" t="str">
        <f t="shared" si="3"/>
        <v>RESID~2037</v>
      </c>
      <c r="AZ4" s="449" t="str">
        <f t="shared" si="3"/>
        <v>RESID~2038</v>
      </c>
      <c r="BA4" s="449" t="str">
        <f t="shared" si="3"/>
        <v>RESID~2039</v>
      </c>
      <c r="BB4" s="449" t="str">
        <f t="shared" si="3"/>
        <v>RESID~2040</v>
      </c>
      <c r="BC4" s="449" t="str">
        <f t="shared" si="3"/>
        <v>RESID~2045</v>
      </c>
      <c r="BD4" s="449" t="str">
        <f t="shared" si="3"/>
        <v>RESID~2050</v>
      </c>
      <c r="BE4" s="449" t="str">
        <f t="shared" si="3"/>
        <v>RESID~2060</v>
      </c>
      <c r="BF4" s="449" t="str">
        <f t="shared" si="3"/>
        <v>RESID~2070</v>
      </c>
    </row>
    <row r="5" spans="1:60" ht="38.25" x14ac:dyDescent="0.2">
      <c r="A5" s="452" t="s">
        <v>813</v>
      </c>
      <c r="B5" s="452" t="s">
        <v>812</v>
      </c>
      <c r="C5" s="452" t="s">
        <v>811</v>
      </c>
      <c r="D5" s="452" t="s">
        <v>810</v>
      </c>
      <c r="E5" s="452" t="s">
        <v>809</v>
      </c>
      <c r="F5" s="452" t="s">
        <v>90</v>
      </c>
      <c r="G5" s="453" t="s">
        <v>805</v>
      </c>
      <c r="H5" s="453" t="s">
        <v>805</v>
      </c>
      <c r="I5" s="453" t="s">
        <v>865</v>
      </c>
      <c r="J5" s="452" t="s">
        <v>803</v>
      </c>
      <c r="K5" s="452" t="s">
        <v>242</v>
      </c>
      <c r="L5" s="452" t="s">
        <v>589</v>
      </c>
      <c r="M5" s="452" t="s">
        <v>242</v>
      </c>
      <c r="N5" s="452" t="s">
        <v>589</v>
      </c>
      <c r="O5" s="453" t="s">
        <v>804</v>
      </c>
      <c r="P5" s="452" t="s">
        <v>808</v>
      </c>
      <c r="Q5" s="453" t="s">
        <v>460</v>
      </c>
      <c r="R5" s="452"/>
      <c r="S5" s="452"/>
      <c r="T5" s="452"/>
      <c r="U5" s="453" t="s">
        <v>806</v>
      </c>
      <c r="V5" s="453" t="s">
        <v>807</v>
      </c>
      <c r="W5" s="453" t="s">
        <v>807</v>
      </c>
      <c r="X5" s="453" t="s">
        <v>807</v>
      </c>
      <c r="Y5" s="453" t="s">
        <v>807</v>
      </c>
      <c r="Z5" s="453" t="s">
        <v>807</v>
      </c>
      <c r="AA5" s="453" t="s">
        <v>807</v>
      </c>
      <c r="AB5" s="453" t="s">
        <v>807</v>
      </c>
      <c r="AC5" s="453" t="s">
        <v>807</v>
      </c>
      <c r="AD5" s="472"/>
      <c r="AE5" s="454"/>
      <c r="AF5" s="454"/>
      <c r="AG5" s="454"/>
      <c r="AH5" s="454"/>
      <c r="AI5" s="454"/>
      <c r="AJ5" s="454"/>
      <c r="AK5" s="454"/>
      <c r="AL5" s="454"/>
      <c r="AM5" s="454"/>
      <c r="AN5" s="454"/>
      <c r="AO5" s="454"/>
      <c r="AP5" s="454"/>
      <c r="AQ5" s="454"/>
      <c r="AR5" s="454"/>
      <c r="AS5" s="454"/>
      <c r="AT5" s="454"/>
      <c r="AU5" s="454"/>
      <c r="AV5" s="454"/>
      <c r="AW5" s="454"/>
      <c r="AX5" s="454"/>
      <c r="AY5" s="454"/>
      <c r="AZ5" s="454"/>
      <c r="BA5" s="454"/>
      <c r="BB5" s="454"/>
      <c r="BC5" s="454"/>
      <c r="BD5" s="454"/>
      <c r="BE5" s="454"/>
      <c r="BF5" s="454"/>
    </row>
    <row r="6" spans="1:60" ht="26.25" thickBot="1" x14ac:dyDescent="0.25">
      <c r="A6" s="455" t="s">
        <v>802</v>
      </c>
      <c r="B6" s="456"/>
      <c r="C6" s="456"/>
      <c r="D6" s="456"/>
      <c r="E6" s="456"/>
      <c r="F6" s="457" t="s">
        <v>801</v>
      </c>
      <c r="G6" s="458"/>
      <c r="H6" s="458"/>
      <c r="I6" s="458"/>
      <c r="J6" s="458" t="s">
        <v>498</v>
      </c>
      <c r="K6" s="456" t="s">
        <v>800</v>
      </c>
      <c r="L6" s="456"/>
      <c r="M6" s="456" t="s">
        <v>800</v>
      </c>
      <c r="N6" s="456"/>
      <c r="O6" s="458"/>
      <c r="P6" s="457" t="s">
        <v>488</v>
      </c>
      <c r="Q6" s="458" t="s">
        <v>498</v>
      </c>
      <c r="R6" s="458" t="s">
        <v>488</v>
      </c>
      <c r="S6" s="458"/>
      <c r="T6" s="458"/>
      <c r="U6" s="458"/>
      <c r="V6" s="473">
        <v>2017</v>
      </c>
      <c r="W6" s="473">
        <v>2018</v>
      </c>
      <c r="X6" s="473">
        <v>2019</v>
      </c>
      <c r="Y6" s="473">
        <v>2020</v>
      </c>
      <c r="Z6" s="473">
        <v>2021</v>
      </c>
      <c r="AA6" s="473">
        <v>2022</v>
      </c>
      <c r="AB6" s="473">
        <v>2023</v>
      </c>
      <c r="AC6" s="473">
        <v>2024</v>
      </c>
      <c r="AD6" s="458"/>
      <c r="AE6" s="459">
        <v>2017</v>
      </c>
      <c r="AF6" s="459">
        <v>2018</v>
      </c>
      <c r="AG6" s="459">
        <v>2019</v>
      </c>
      <c r="AH6" s="459">
        <v>2020</v>
      </c>
      <c r="AI6" s="459">
        <v>2021</v>
      </c>
      <c r="AJ6" s="459">
        <v>2022</v>
      </c>
      <c r="AK6" s="459">
        <v>2023</v>
      </c>
      <c r="AL6" s="459">
        <v>2024</v>
      </c>
      <c r="AM6" s="459">
        <v>2025</v>
      </c>
      <c r="AN6" s="459">
        <v>2026</v>
      </c>
      <c r="AO6" s="459">
        <v>2027</v>
      </c>
      <c r="AP6" s="459">
        <v>2028</v>
      </c>
      <c r="AQ6" s="459">
        <v>2029</v>
      </c>
      <c r="AR6" s="459">
        <f t="shared" ref="AR6:BB6" si="4">AQ6+1</f>
        <v>2030</v>
      </c>
      <c r="AS6" s="459">
        <f t="shared" si="4"/>
        <v>2031</v>
      </c>
      <c r="AT6" s="459">
        <f t="shared" si="4"/>
        <v>2032</v>
      </c>
      <c r="AU6" s="459">
        <f t="shared" si="4"/>
        <v>2033</v>
      </c>
      <c r="AV6" s="459">
        <f t="shared" si="4"/>
        <v>2034</v>
      </c>
      <c r="AW6" s="459">
        <f t="shared" si="4"/>
        <v>2035</v>
      </c>
      <c r="AX6" s="459">
        <f t="shared" si="4"/>
        <v>2036</v>
      </c>
      <c r="AY6" s="459">
        <f t="shared" si="4"/>
        <v>2037</v>
      </c>
      <c r="AZ6" s="459">
        <f t="shared" si="4"/>
        <v>2038</v>
      </c>
      <c r="BA6" s="459">
        <f t="shared" si="4"/>
        <v>2039</v>
      </c>
      <c r="BB6" s="459">
        <f t="shared" si="4"/>
        <v>2040</v>
      </c>
      <c r="BC6" s="459">
        <f>BB6+5</f>
        <v>2045</v>
      </c>
      <c r="BD6" s="459">
        <f>BC6+5</f>
        <v>2050</v>
      </c>
      <c r="BE6" s="459">
        <v>2060</v>
      </c>
      <c r="BF6" s="459">
        <v>2070</v>
      </c>
    </row>
    <row r="7" spans="1:60" ht="15" x14ac:dyDescent="0.25">
      <c r="A7" s="461" t="s">
        <v>847</v>
      </c>
      <c r="B7" s="462" t="s">
        <v>114</v>
      </c>
      <c r="C7" s="462"/>
      <c r="D7" s="117" t="s">
        <v>821</v>
      </c>
      <c r="F7" s="435">
        <f>SUMIF(RefineriesData!$J$16:$J$270,$B7&amp;F$4,RefineriesData!$N$16:$N$270)</f>
        <v>0.95081921966609462</v>
      </c>
      <c r="G7" s="436"/>
      <c r="H7" s="436"/>
      <c r="I7" s="436"/>
      <c r="J7" s="439">
        <f>SUMIF(RefineriesData!$J$13:$J$269,$B7&amp;J$4,RefineriesData!$N$13:$N$269)</f>
        <v>27.763122599999996</v>
      </c>
      <c r="K7" s="435">
        <f>SUMIF(RefineriesData!$J$13:$J$245,$B7&amp;K$5,RefineriesData!$N$13:$N$245)</f>
        <v>3.9048398119126899</v>
      </c>
      <c r="L7" s="435">
        <f>SUMIF(RefineriesData!$J$13:$J$245,$B7&amp;L$5,RefineriesData!$N$13:$N$245)</f>
        <v>0</v>
      </c>
      <c r="M7" s="435"/>
      <c r="N7" s="435"/>
      <c r="O7" s="436"/>
      <c r="P7" s="436"/>
      <c r="Q7" s="439"/>
      <c r="R7" s="435"/>
      <c r="S7" s="435">
        <v>3</v>
      </c>
      <c r="T7" s="435">
        <v>0</v>
      </c>
      <c r="V7" s="435">
        <v>0.76</v>
      </c>
      <c r="W7" s="435">
        <f>V7</f>
        <v>0.76</v>
      </c>
      <c r="X7" s="435">
        <f>W7</f>
        <v>0.76</v>
      </c>
      <c r="Y7" s="435">
        <f>X7</f>
        <v>0.76</v>
      </c>
      <c r="Z7" s="435">
        <f t="shared" ref="Z7:AC7" si="5">Y7</f>
        <v>0.76</v>
      </c>
      <c r="AA7" s="435">
        <f t="shared" si="5"/>
        <v>0.76</v>
      </c>
      <c r="AB7" s="435">
        <f t="shared" si="5"/>
        <v>0.76</v>
      </c>
      <c r="AC7" s="435">
        <f t="shared" si="5"/>
        <v>0.76</v>
      </c>
      <c r="AD7" s="464">
        <f>V7*AE7/F7</f>
        <v>445.09645919394001</v>
      </c>
      <c r="AE7" s="435">
        <f>SUMIF(RefineriesData!$J$16:$J$270,$B7&amp;AE$3,RefineriesData!$N$16:$N$270)</f>
        <v>556.85035264068915</v>
      </c>
      <c r="AF7" s="465"/>
      <c r="AG7" s="465"/>
      <c r="AH7" s="465">
        <f>AE7</f>
        <v>556.85035264068915</v>
      </c>
      <c r="AI7" s="465">
        <f>AH7*'Crude refineries'!G52/('Crude refineries'!E52+'Crude refineries'!E53)</f>
        <v>318.20020150896522</v>
      </c>
      <c r="AJ7" s="465">
        <v>0</v>
      </c>
      <c r="AK7" s="465"/>
      <c r="AL7" s="465"/>
      <c r="AM7" s="465"/>
      <c r="AN7" s="465"/>
      <c r="AO7" s="465"/>
      <c r="AP7" s="465"/>
      <c r="AQ7" s="465"/>
      <c r="AR7" s="465"/>
      <c r="AS7" s="465"/>
      <c r="AT7" s="465"/>
      <c r="AU7" s="465"/>
      <c r="AV7" s="465"/>
      <c r="AW7" s="465"/>
      <c r="AX7" s="465"/>
      <c r="AY7" s="465"/>
      <c r="AZ7" s="465"/>
      <c r="BA7" s="465"/>
      <c r="BB7" s="465"/>
      <c r="BC7" s="465"/>
      <c r="BD7" s="465"/>
      <c r="BE7" s="465"/>
      <c r="BF7" s="465"/>
    </row>
    <row r="8" spans="1:60" x14ac:dyDescent="0.2">
      <c r="A8" s="461"/>
      <c r="B8" s="462"/>
      <c r="C8" s="117" t="s">
        <v>825</v>
      </c>
      <c r="F8" s="436"/>
      <c r="G8" s="436"/>
      <c r="H8" s="436"/>
      <c r="I8" s="482">
        <f>SUMIF(RefineriesData!$J$16:$J$270,B7&amp;C8,RefineriesData!$N$16:$N$270)</f>
        <v>2.1728907852209679E-3</v>
      </c>
      <c r="J8" s="439"/>
      <c r="K8" s="435"/>
      <c r="L8" s="435"/>
      <c r="M8" s="435"/>
      <c r="N8" s="435"/>
      <c r="O8" s="436"/>
      <c r="P8" s="436"/>
      <c r="Q8" s="439"/>
      <c r="R8" s="435"/>
      <c r="S8" s="435"/>
      <c r="T8" s="435"/>
      <c r="U8" s="436"/>
      <c r="V8" s="436"/>
      <c r="W8" s="436"/>
      <c r="X8" s="436"/>
      <c r="Y8" s="436"/>
      <c r="Z8" s="436"/>
      <c r="AA8" s="436"/>
      <c r="AB8" s="436"/>
      <c r="AC8" s="436"/>
      <c r="AD8" s="435"/>
      <c r="AE8" s="465"/>
      <c r="AF8" s="465"/>
      <c r="AG8" s="465"/>
      <c r="AH8" s="465"/>
      <c r="AI8" s="465"/>
      <c r="AJ8" s="465"/>
      <c r="AK8" s="465"/>
      <c r="AL8" s="465"/>
      <c r="AM8" s="465"/>
      <c r="AN8" s="465"/>
      <c r="AO8" s="465"/>
      <c r="AP8" s="465"/>
      <c r="AQ8" s="465"/>
      <c r="AR8" s="465"/>
      <c r="AS8" s="465"/>
      <c r="AT8" s="465"/>
      <c r="AU8" s="465"/>
      <c r="AV8" s="465"/>
      <c r="AW8" s="465"/>
      <c r="AX8" s="465"/>
      <c r="AY8" s="465"/>
      <c r="AZ8" s="465"/>
      <c r="BA8" s="465"/>
      <c r="BB8" s="465"/>
      <c r="BC8" s="465"/>
      <c r="BD8" s="465"/>
      <c r="BE8" s="465"/>
      <c r="BF8" s="465"/>
    </row>
    <row r="9" spans="1:60" x14ac:dyDescent="0.2">
      <c r="A9" s="461"/>
      <c r="B9" s="462"/>
      <c r="C9" s="117" t="s">
        <v>823</v>
      </c>
      <c r="F9" s="436"/>
      <c r="G9" s="436"/>
      <c r="H9" s="436"/>
      <c r="I9" s="482">
        <f>SUMIF(RefineriesData!$J$16:$J$270,B7&amp;C9,RefineriesData!$N$16:$N$270)</f>
        <v>4.8529200409580869E-3</v>
      </c>
      <c r="J9" s="439"/>
      <c r="K9" s="435"/>
      <c r="L9" s="435"/>
      <c r="M9" s="435"/>
      <c r="N9" s="435"/>
      <c r="O9" s="436"/>
      <c r="P9" s="436"/>
      <c r="Q9" s="439"/>
      <c r="R9" s="435"/>
      <c r="S9" s="435"/>
      <c r="T9" s="435"/>
      <c r="U9" s="436"/>
      <c r="V9" s="436"/>
      <c r="W9" s="436"/>
      <c r="X9" s="436"/>
      <c r="Y9" s="436"/>
      <c r="Z9" s="436"/>
      <c r="AA9" s="436"/>
      <c r="AB9" s="436"/>
      <c r="AC9" s="436"/>
      <c r="AD9" s="435"/>
      <c r="AE9" s="465"/>
      <c r="AF9" s="465"/>
      <c r="AG9" s="465"/>
      <c r="AH9" s="465"/>
      <c r="AI9" s="465"/>
      <c r="AJ9" s="465"/>
      <c r="AK9" s="465"/>
      <c r="AL9" s="465"/>
      <c r="AM9" s="465"/>
      <c r="AN9" s="465"/>
      <c r="AO9" s="465"/>
      <c r="AP9" s="465"/>
      <c r="AQ9" s="465"/>
      <c r="AR9" s="465"/>
      <c r="AS9" s="465"/>
      <c r="AT9" s="465"/>
      <c r="AU9" s="465"/>
      <c r="AV9" s="465"/>
      <c r="AW9" s="465"/>
      <c r="AX9" s="465"/>
      <c r="AY9" s="465"/>
      <c r="AZ9" s="465"/>
      <c r="BA9" s="465"/>
      <c r="BB9" s="465"/>
      <c r="BC9" s="465"/>
      <c r="BD9" s="465"/>
      <c r="BE9" s="465"/>
      <c r="BF9" s="465"/>
      <c r="BH9" s="462"/>
    </row>
    <row r="10" spans="1:60" x14ac:dyDescent="0.2">
      <c r="A10" s="461"/>
      <c r="B10" s="462"/>
      <c r="C10" s="462"/>
      <c r="E10" s="117" t="s">
        <v>525</v>
      </c>
      <c r="F10" s="436"/>
      <c r="G10" s="437">
        <v>3</v>
      </c>
      <c r="H10" s="442">
        <f>SUMIF(RefineriesData!$J$16:$J$245,$B7&amp;RIGHT($E10,3),RefineriesData!$N$16:$N$245)</f>
        <v>3.7782040119212234E-3</v>
      </c>
      <c r="I10" s="442"/>
      <c r="J10" s="439"/>
      <c r="K10" s="435"/>
      <c r="L10" s="435"/>
      <c r="M10" s="435"/>
      <c r="N10" s="435"/>
      <c r="O10" s="436"/>
      <c r="P10" s="436"/>
      <c r="Q10" s="439"/>
      <c r="R10" s="435"/>
      <c r="S10" s="435"/>
      <c r="T10" s="435"/>
      <c r="V10" s="436"/>
      <c r="W10" s="436"/>
      <c r="X10" s="436"/>
      <c r="Y10" s="436"/>
      <c r="Z10" s="436"/>
      <c r="AA10" s="436"/>
      <c r="AB10" s="436"/>
      <c r="AC10" s="436"/>
      <c r="AD10" s="435">
        <f>AD$7*F$7*H10</f>
        <v>1.5989596196539679</v>
      </c>
      <c r="AE10" s="465"/>
      <c r="AF10" s="465"/>
      <c r="AG10" s="465"/>
      <c r="AH10" s="465"/>
      <c r="AI10" s="465"/>
      <c r="AJ10" s="465"/>
      <c r="AK10" s="465"/>
      <c r="AL10" s="465"/>
      <c r="AM10" s="465"/>
      <c r="AN10" s="465"/>
      <c r="AO10" s="465"/>
      <c r="AP10" s="465"/>
      <c r="AQ10" s="465"/>
      <c r="AR10" s="465"/>
      <c r="AS10" s="465"/>
      <c r="AT10" s="465"/>
      <c r="AU10" s="465"/>
      <c r="AV10" s="465"/>
      <c r="AW10" s="465"/>
      <c r="AX10" s="465"/>
      <c r="AY10" s="465"/>
      <c r="AZ10" s="465"/>
      <c r="BA10" s="465"/>
      <c r="BB10" s="465"/>
      <c r="BC10" s="465"/>
      <c r="BD10" s="465"/>
      <c r="BE10" s="465"/>
      <c r="BF10" s="465"/>
      <c r="BH10" s="462"/>
    </row>
    <row r="11" spans="1:60" x14ac:dyDescent="0.2">
      <c r="A11" s="461"/>
      <c r="B11" s="462"/>
      <c r="C11" s="462"/>
      <c r="E11" s="117" t="s">
        <v>499</v>
      </c>
      <c r="F11" s="436"/>
      <c r="G11" s="437">
        <v>3</v>
      </c>
      <c r="H11" s="442">
        <f>SUMIF(RefineriesData!$J$16:$J$245,$B7&amp;RIGHT($E11,3),RefineriesData!$N$16:$N$245)</f>
        <v>0.31968891523101722</v>
      </c>
      <c r="I11" s="442"/>
      <c r="J11" s="439"/>
      <c r="K11" s="435"/>
      <c r="L11" s="435"/>
      <c r="M11" s="435"/>
      <c r="N11" s="435"/>
      <c r="O11" s="436"/>
      <c r="P11" s="436"/>
      <c r="Q11" s="439"/>
      <c r="R11" s="435"/>
      <c r="S11" s="435"/>
      <c r="T11" s="435"/>
      <c r="V11" s="436"/>
      <c r="W11" s="436"/>
      <c r="X11" s="436"/>
      <c r="Y11" s="436"/>
      <c r="Z11" s="436"/>
      <c r="AA11" s="436"/>
      <c r="AB11" s="436"/>
      <c r="AC11" s="436"/>
      <c r="AD11" s="435">
        <f t="shared" ref="AD11:AD16" si="6">AD$7*F$7*H11</f>
        <v>135.2943527381006</v>
      </c>
      <c r="AE11" s="465"/>
      <c r="AF11" s="465"/>
      <c r="AG11" s="465"/>
      <c r="AH11" s="465"/>
      <c r="AI11" s="465"/>
      <c r="AJ11" s="465"/>
      <c r="AK11" s="465"/>
      <c r="AL11" s="465"/>
      <c r="AM11" s="465"/>
      <c r="AN11" s="465"/>
      <c r="AO11" s="465"/>
      <c r="AP11" s="465"/>
      <c r="AQ11" s="465"/>
      <c r="AR11" s="465"/>
      <c r="AS11" s="465"/>
      <c r="AT11" s="465"/>
      <c r="AU11" s="465"/>
      <c r="AV11" s="465"/>
      <c r="AW11" s="465"/>
      <c r="AX11" s="465"/>
      <c r="AY11" s="465"/>
      <c r="AZ11" s="465"/>
      <c r="BA11" s="465"/>
      <c r="BB11" s="465"/>
      <c r="BC11" s="465"/>
      <c r="BD11" s="465"/>
      <c r="BE11" s="465"/>
      <c r="BF11" s="465"/>
      <c r="BH11" s="462"/>
    </row>
    <row r="12" spans="1:60" x14ac:dyDescent="0.2">
      <c r="A12" s="461"/>
      <c r="B12" s="462"/>
      <c r="C12" s="462"/>
      <c r="E12" s="117" t="s">
        <v>497</v>
      </c>
      <c r="F12" s="436"/>
      <c r="G12" s="437">
        <v>3</v>
      </c>
      <c r="H12" s="442">
        <f>SUMIF(RefineriesData!$J$16:$J$245,$B7&amp;RIGHT($E12,3),RefineriesData!$N$16:$N$245)</f>
        <v>0.28122161740282847</v>
      </c>
      <c r="I12" s="442"/>
      <c r="J12" s="439"/>
      <c r="K12" s="435"/>
      <c r="L12" s="435"/>
      <c r="M12" s="435"/>
      <c r="N12" s="435"/>
      <c r="O12" s="436"/>
      <c r="P12" s="436"/>
      <c r="Q12" s="439"/>
      <c r="R12" s="435"/>
      <c r="S12" s="435"/>
      <c r="T12" s="435"/>
      <c r="V12" s="436"/>
      <c r="W12" s="436"/>
      <c r="X12" s="436"/>
      <c r="Y12" s="436"/>
      <c r="Z12" s="436"/>
      <c r="AA12" s="436"/>
      <c r="AB12" s="436"/>
      <c r="AC12" s="436"/>
      <c r="AD12" s="435">
        <f t="shared" si="6"/>
        <v>119.014751183922</v>
      </c>
      <c r="AE12" s="465"/>
      <c r="AF12" s="465"/>
      <c r="AG12" s="465"/>
      <c r="AH12" s="465"/>
      <c r="AI12" s="465"/>
      <c r="AJ12" s="465"/>
      <c r="AK12" s="465"/>
      <c r="AL12" s="465"/>
      <c r="AM12" s="465"/>
      <c r="AN12" s="465"/>
      <c r="AO12" s="465"/>
      <c r="AP12" s="465"/>
      <c r="AQ12" s="465"/>
      <c r="AR12" s="465"/>
      <c r="AS12" s="465"/>
      <c r="AT12" s="465"/>
      <c r="AU12" s="465"/>
      <c r="AV12" s="465"/>
      <c r="AW12" s="465"/>
      <c r="AX12" s="465"/>
      <c r="AY12" s="465"/>
      <c r="AZ12" s="465"/>
      <c r="BA12" s="465"/>
      <c r="BB12" s="465"/>
      <c r="BC12" s="465"/>
      <c r="BD12" s="465"/>
      <c r="BE12" s="465"/>
      <c r="BF12" s="465"/>
      <c r="BH12" s="462"/>
    </row>
    <row r="13" spans="1:60" x14ac:dyDescent="0.2">
      <c r="A13" s="461"/>
      <c r="B13" s="462"/>
      <c r="C13" s="462"/>
      <c r="E13" s="117" t="s">
        <v>491</v>
      </c>
      <c r="F13" s="436"/>
      <c r="G13" s="437">
        <v>3</v>
      </c>
      <c r="H13" s="442">
        <f>SUMIF(RefineriesData!$J$16:$J$245,$B7&amp;RIGHT($E13,3),RefineriesData!$N$16:$N$245)</f>
        <v>0.23372169677136084</v>
      </c>
      <c r="I13" s="442"/>
      <c r="J13" s="439"/>
      <c r="K13" s="435"/>
      <c r="L13" s="435"/>
      <c r="M13" s="435"/>
      <c r="N13" s="435"/>
      <c r="O13" s="436"/>
      <c r="P13" s="436"/>
      <c r="Q13" s="439"/>
      <c r="R13" s="435"/>
      <c r="S13" s="435"/>
      <c r="T13" s="435"/>
      <c r="V13" s="436"/>
      <c r="W13" s="436"/>
      <c r="X13" s="436"/>
      <c r="Y13" s="436"/>
      <c r="Z13" s="436"/>
      <c r="AA13" s="436"/>
      <c r="AB13" s="436"/>
      <c r="AC13" s="436"/>
      <c r="AD13" s="435">
        <f t="shared" si="6"/>
        <v>98.912487042853513</v>
      </c>
      <c r="AE13" s="465"/>
      <c r="AF13" s="465"/>
      <c r="AG13" s="465"/>
      <c r="AH13" s="465"/>
      <c r="AI13" s="465"/>
      <c r="AJ13" s="465"/>
      <c r="AK13" s="465"/>
      <c r="AL13" s="465"/>
      <c r="AM13" s="465"/>
      <c r="AN13" s="465"/>
      <c r="AO13" s="465"/>
      <c r="AP13" s="465"/>
      <c r="AQ13" s="465"/>
      <c r="AR13" s="465"/>
      <c r="AS13" s="465"/>
      <c r="AT13" s="465"/>
      <c r="AU13" s="465"/>
      <c r="AV13" s="465"/>
      <c r="AW13" s="465"/>
      <c r="AX13" s="465"/>
      <c r="AY13" s="465"/>
      <c r="AZ13" s="465"/>
      <c r="BA13" s="465"/>
      <c r="BB13" s="465"/>
      <c r="BC13" s="465"/>
      <c r="BD13" s="465"/>
      <c r="BE13" s="465"/>
      <c r="BF13" s="465"/>
      <c r="BH13" s="462"/>
    </row>
    <row r="14" spans="1:60" x14ac:dyDescent="0.2">
      <c r="A14" s="461"/>
      <c r="B14" s="462"/>
      <c r="C14" s="462"/>
      <c r="E14" s="117" t="s">
        <v>490</v>
      </c>
      <c r="F14" s="436"/>
      <c r="G14" s="437">
        <v>3</v>
      </c>
      <c r="H14" s="442">
        <f>SUMIF(RefineriesData!$J$16:$J$245,$B7&amp;RIGHT($E14,3),RefineriesData!$N$16:$N$245)</f>
        <v>9.8059797015436129E-2</v>
      </c>
      <c r="I14" s="442"/>
      <c r="J14" s="439"/>
      <c r="K14" s="435"/>
      <c r="L14" s="435"/>
      <c r="M14" s="435"/>
      <c r="N14" s="435"/>
      <c r="O14" s="436"/>
      <c r="P14" s="436"/>
      <c r="Q14" s="439"/>
      <c r="R14" s="435"/>
      <c r="S14" s="435"/>
      <c r="T14" s="435"/>
      <c r="V14" s="436"/>
      <c r="W14" s="436"/>
      <c r="X14" s="436"/>
      <c r="Y14" s="436"/>
      <c r="Z14" s="436"/>
      <c r="AA14" s="436"/>
      <c r="AB14" s="436"/>
      <c r="AC14" s="436"/>
      <c r="AD14" s="435">
        <f t="shared" si="6"/>
        <v>41.499520736419207</v>
      </c>
      <c r="AE14" s="465"/>
      <c r="AF14" s="465"/>
      <c r="AG14" s="465"/>
      <c r="AH14" s="465"/>
      <c r="AI14" s="465"/>
      <c r="AJ14" s="465"/>
      <c r="AK14" s="465"/>
      <c r="AL14" s="465"/>
      <c r="AM14" s="465"/>
      <c r="AN14" s="465"/>
      <c r="AO14" s="465"/>
      <c r="AP14" s="465"/>
      <c r="AQ14" s="465"/>
      <c r="AR14" s="465"/>
      <c r="AS14" s="465"/>
      <c r="AT14" s="465"/>
      <c r="AU14" s="465"/>
      <c r="AV14" s="465"/>
      <c r="AW14" s="465"/>
      <c r="AX14" s="465"/>
      <c r="AY14" s="465"/>
      <c r="AZ14" s="465"/>
      <c r="BA14" s="465"/>
      <c r="BB14" s="465"/>
      <c r="BC14" s="465"/>
      <c r="BD14" s="465"/>
      <c r="BE14" s="465"/>
      <c r="BF14" s="465"/>
      <c r="BH14" s="462"/>
    </row>
    <row r="15" spans="1:60" x14ac:dyDescent="0.2">
      <c r="A15" s="461"/>
      <c r="B15" s="462"/>
      <c r="C15" s="462"/>
      <c r="E15" s="117" t="s">
        <v>487</v>
      </c>
      <c r="F15" s="436"/>
      <c r="G15" s="437">
        <v>3</v>
      </c>
      <c r="H15" s="442">
        <f>SUMIF(RefineriesData!$J$16:$J$245,$B7&amp;RIGHT($E15,3),RefineriesData!$N$16:$N$245)</f>
        <v>2.1436699505158505E-2</v>
      </c>
      <c r="I15" s="442"/>
      <c r="J15" s="439"/>
      <c r="K15" s="435"/>
      <c r="L15" s="435"/>
      <c r="M15" s="435"/>
      <c r="N15" s="435"/>
      <c r="O15" s="436"/>
      <c r="P15" s="436"/>
      <c r="Q15" s="439"/>
      <c r="R15" s="435"/>
      <c r="S15" s="435"/>
      <c r="T15" s="435"/>
      <c r="V15" s="436"/>
      <c r="W15" s="436"/>
      <c r="X15" s="436"/>
      <c r="Y15" s="436"/>
      <c r="Z15" s="436"/>
      <c r="AA15" s="436"/>
      <c r="AB15" s="436"/>
      <c r="AC15" s="436"/>
      <c r="AD15" s="435">
        <f t="shared" si="6"/>
        <v>9.0721455959640007</v>
      </c>
      <c r="AE15" s="465"/>
      <c r="AF15" s="465"/>
      <c r="AG15" s="465"/>
      <c r="AH15" s="465"/>
      <c r="AI15" s="465"/>
      <c r="AJ15" s="465"/>
      <c r="AK15" s="465"/>
      <c r="AL15" s="465"/>
      <c r="AM15" s="465"/>
      <c r="AN15" s="465"/>
      <c r="AO15" s="465"/>
      <c r="AP15" s="465"/>
      <c r="AQ15" s="465"/>
      <c r="AR15" s="465"/>
      <c r="AS15" s="465"/>
      <c r="AT15" s="465"/>
      <c r="AU15" s="465"/>
      <c r="AV15" s="465"/>
      <c r="AW15" s="465"/>
      <c r="AX15" s="465"/>
      <c r="AY15" s="465"/>
      <c r="AZ15" s="465"/>
      <c r="BA15" s="465"/>
      <c r="BB15" s="465"/>
      <c r="BC15" s="465"/>
      <c r="BD15" s="465"/>
      <c r="BE15" s="465"/>
      <c r="BF15" s="465"/>
      <c r="BH15" s="462"/>
    </row>
    <row r="16" spans="1:60" x14ac:dyDescent="0.2">
      <c r="A16" s="461"/>
      <c r="B16" s="462"/>
      <c r="C16" s="462"/>
      <c r="E16" s="117" t="s">
        <v>485</v>
      </c>
      <c r="F16" s="436"/>
      <c r="G16" s="437">
        <v>3</v>
      </c>
      <c r="H16" s="442">
        <f>1-SUM(H10:H15)</f>
        <v>4.2093070062277582E-2</v>
      </c>
      <c r="I16" s="442"/>
      <c r="J16" s="439"/>
      <c r="K16" s="435"/>
      <c r="L16" s="435"/>
      <c r="M16" s="435"/>
      <c r="N16" s="435"/>
      <c r="O16" s="436"/>
      <c r="P16" s="436"/>
      <c r="Q16" s="439"/>
      <c r="R16" s="435"/>
      <c r="S16" s="435"/>
      <c r="T16" s="435"/>
      <c r="V16" s="436"/>
      <c r="W16" s="436"/>
      <c r="X16" s="436"/>
      <c r="Y16" s="436"/>
      <c r="Z16" s="436"/>
      <c r="AA16" s="436"/>
      <c r="AB16" s="436"/>
      <c r="AC16" s="436"/>
      <c r="AD16" s="435">
        <f t="shared" si="6"/>
        <v>17.814051090010466</v>
      </c>
      <c r="AE16" s="465"/>
      <c r="AF16" s="465"/>
      <c r="AG16" s="465"/>
      <c r="AH16" s="465"/>
      <c r="AI16" s="465"/>
      <c r="AJ16" s="465"/>
      <c r="AK16" s="465"/>
      <c r="AL16" s="465"/>
      <c r="AM16" s="465"/>
      <c r="AN16" s="465"/>
      <c r="AO16" s="465"/>
      <c r="AP16" s="465"/>
      <c r="AQ16" s="465"/>
      <c r="AR16" s="465"/>
      <c r="AS16" s="465"/>
      <c r="AT16" s="465"/>
      <c r="AU16" s="465"/>
      <c r="AV16" s="465"/>
      <c r="AW16" s="465"/>
      <c r="AX16" s="465"/>
      <c r="AY16" s="465"/>
      <c r="AZ16" s="465"/>
      <c r="BA16" s="465"/>
      <c r="BB16" s="465"/>
      <c r="BC16" s="465"/>
      <c r="BD16" s="465"/>
      <c r="BE16" s="465"/>
      <c r="BF16" s="465"/>
      <c r="BH16" s="462"/>
    </row>
    <row r="17" spans="1:60" x14ac:dyDescent="0.2">
      <c r="A17" s="460" t="s">
        <v>799</v>
      </c>
      <c r="B17" s="462"/>
      <c r="C17" s="462"/>
      <c r="F17" s="436"/>
      <c r="G17" s="436"/>
      <c r="H17" s="436"/>
      <c r="I17" s="436"/>
      <c r="J17" s="439"/>
      <c r="K17" s="435"/>
      <c r="L17" s="435"/>
      <c r="M17" s="435"/>
      <c r="N17" s="435"/>
      <c r="O17" s="436"/>
      <c r="P17" s="436"/>
      <c r="Q17" s="439"/>
      <c r="R17" s="435"/>
      <c r="S17" s="435"/>
      <c r="T17" s="435"/>
      <c r="U17" s="436"/>
      <c r="V17" s="436"/>
      <c r="W17" s="436"/>
      <c r="X17" s="436"/>
      <c r="Y17" s="436"/>
      <c r="Z17" s="436"/>
      <c r="AA17" s="436"/>
      <c r="AB17" s="436"/>
      <c r="AC17" s="436"/>
      <c r="AD17" s="436"/>
      <c r="AE17" s="465"/>
      <c r="AF17" s="465"/>
      <c r="AG17" s="465"/>
      <c r="AH17" s="465"/>
      <c r="AI17" s="465"/>
      <c r="AJ17" s="465"/>
      <c r="AK17" s="465"/>
      <c r="AL17" s="465"/>
      <c r="AM17" s="465"/>
      <c r="AN17" s="465"/>
      <c r="AO17" s="465"/>
      <c r="AP17" s="465"/>
      <c r="AQ17" s="465"/>
      <c r="AR17" s="465"/>
      <c r="AS17" s="465"/>
      <c r="AT17" s="465"/>
      <c r="AU17" s="465"/>
      <c r="AV17" s="465"/>
      <c r="AW17" s="465"/>
      <c r="AX17" s="465"/>
      <c r="AY17" s="465"/>
      <c r="AZ17" s="465"/>
      <c r="BA17" s="465"/>
      <c r="BB17" s="465"/>
      <c r="BC17" s="465"/>
      <c r="BD17" s="465"/>
      <c r="BE17" s="465"/>
      <c r="BF17" s="465"/>
      <c r="BH17" s="462"/>
    </row>
    <row r="18" spans="1:60" ht="15" x14ac:dyDescent="0.25">
      <c r="A18" s="461" t="s">
        <v>846</v>
      </c>
      <c r="B18" s="462" t="s">
        <v>848</v>
      </c>
      <c r="C18" s="462"/>
      <c r="D18" s="117" t="s">
        <v>821</v>
      </c>
      <c r="F18" s="435">
        <f>SUMIF(RefineriesData!$J$16:$J$270,$B18&amp;F$4,RefineriesData!$N$16:$N$270)</f>
        <v>0.96412108310809064</v>
      </c>
      <c r="G18" s="436"/>
      <c r="H18" s="436"/>
      <c r="I18" s="436"/>
      <c r="J18" s="439">
        <f>SUMIF(RefineriesData!$J$13:$J$269,$B18&amp;J$4,RefineriesData!$N$13:$N$269)</f>
        <v>27.763122599999996</v>
      </c>
      <c r="K18" s="435">
        <f>SUMIF(RefineriesData!$J$13:$J$245,$B18&amp;K$5,RefineriesData!$N$13:$N$245)</f>
        <v>3.9048398119126899</v>
      </c>
      <c r="L18" s="435">
        <f>SUMIF(RefineriesData!$J$13:$J$245,$B18&amp;L$5,RefineriesData!$N$13:$N$245)</f>
        <v>0</v>
      </c>
      <c r="M18" s="435"/>
      <c r="N18" s="435"/>
      <c r="O18" s="436"/>
      <c r="P18" s="436"/>
      <c r="Q18" s="439"/>
      <c r="R18" s="435"/>
      <c r="S18" s="435">
        <v>3</v>
      </c>
      <c r="T18" s="435">
        <v>0</v>
      </c>
      <c r="U18" s="464"/>
      <c r="V18" s="435">
        <f>V7</f>
        <v>0.76</v>
      </c>
      <c r="W18" s="435">
        <f t="shared" ref="W18:X18" si="7">W7</f>
        <v>0.76</v>
      </c>
      <c r="X18" s="435">
        <f t="shared" si="7"/>
        <v>0.76</v>
      </c>
      <c r="Y18" s="435">
        <v>0</v>
      </c>
      <c r="Z18" s="435">
        <v>0</v>
      </c>
      <c r="AA18" s="435">
        <v>0</v>
      </c>
      <c r="AB18" s="435">
        <f>X18</f>
        <v>0.76</v>
      </c>
      <c r="AC18" s="435">
        <f>AB18</f>
        <v>0.76</v>
      </c>
      <c r="AD18" s="464">
        <f>V18*AE18/F18</f>
        <v>151.75379956651199</v>
      </c>
      <c r="AE18" s="435">
        <f>SUMIF(RefineriesData!$J$16:$J$270,$B18&amp;AE$3,RefineriesData!$N$16:$N$270)</f>
        <v>192.51189158399163</v>
      </c>
      <c r="AF18" s="465"/>
      <c r="AG18" s="465"/>
      <c r="AH18" s="465"/>
      <c r="AI18" s="465"/>
      <c r="AJ18" s="465"/>
      <c r="AK18" s="465"/>
      <c r="AL18" s="465"/>
      <c r="AM18" s="465"/>
      <c r="AN18" s="465"/>
      <c r="AO18" s="465"/>
      <c r="AP18" s="465"/>
      <c r="AQ18" s="465"/>
      <c r="AR18" s="465"/>
      <c r="AS18" s="465"/>
      <c r="AT18" s="465"/>
      <c r="AU18" s="465"/>
      <c r="AV18" s="465"/>
      <c r="AW18" s="465"/>
      <c r="AX18" s="465"/>
      <c r="AY18" s="465"/>
      <c r="AZ18" s="465"/>
      <c r="BA18" s="465"/>
      <c r="BB18" s="465"/>
      <c r="BC18" s="465">
        <f>AE18</f>
        <v>192.51189158399163</v>
      </c>
      <c r="BD18" s="465">
        <v>0</v>
      </c>
      <c r="BE18" s="465"/>
      <c r="BF18" s="465"/>
    </row>
    <row r="19" spans="1:60" x14ac:dyDescent="0.2">
      <c r="A19" s="461"/>
      <c r="B19" s="462"/>
      <c r="C19" s="117" t="s">
        <v>825</v>
      </c>
      <c r="F19" s="436"/>
      <c r="I19" s="482">
        <f>SUMIF(RefineriesData!$J$16:$J$270,B18&amp;C19,RefineriesData!$N$16:$N$270)</f>
        <v>0</v>
      </c>
      <c r="J19" s="439"/>
      <c r="K19" s="435"/>
      <c r="L19" s="435"/>
      <c r="M19" s="435"/>
      <c r="N19" s="435"/>
      <c r="O19" s="436"/>
      <c r="P19" s="436"/>
      <c r="Q19" s="439"/>
      <c r="R19" s="435"/>
      <c r="S19" s="435"/>
      <c r="T19" s="435"/>
      <c r="U19" s="436"/>
      <c r="V19" s="436"/>
      <c r="W19" s="436"/>
      <c r="X19" s="436"/>
      <c r="Y19" s="436"/>
      <c r="Z19" s="436"/>
      <c r="AA19" s="436"/>
      <c r="AB19" s="436"/>
      <c r="AC19" s="436"/>
      <c r="AD19" s="435"/>
      <c r="AE19" s="465"/>
      <c r="AF19" s="465"/>
      <c r="AG19" s="465"/>
      <c r="AH19" s="465"/>
      <c r="AI19" s="465"/>
      <c r="AJ19" s="465"/>
      <c r="AK19" s="465"/>
      <c r="AL19" s="465"/>
      <c r="AM19" s="465"/>
      <c r="AN19" s="465"/>
      <c r="AO19" s="465"/>
      <c r="AP19" s="465"/>
      <c r="AQ19" s="465"/>
      <c r="AR19" s="465"/>
      <c r="AS19" s="465"/>
      <c r="AT19" s="465"/>
      <c r="AU19" s="465"/>
      <c r="AV19" s="465"/>
      <c r="AW19" s="465"/>
      <c r="AX19" s="465"/>
      <c r="AY19" s="465"/>
      <c r="AZ19" s="465"/>
      <c r="BA19" s="465"/>
      <c r="BB19" s="465"/>
      <c r="BC19" s="465"/>
      <c r="BD19" s="465"/>
      <c r="BE19" s="465"/>
      <c r="BF19" s="465"/>
    </row>
    <row r="20" spans="1:60" x14ac:dyDescent="0.2">
      <c r="A20" s="461"/>
      <c r="B20" s="462"/>
      <c r="C20" s="117" t="s">
        <v>823</v>
      </c>
      <c r="F20" s="436"/>
      <c r="G20" s="436"/>
      <c r="H20" s="436"/>
      <c r="I20" s="482">
        <f>SUMIF(RefineriesData!$J$16:$J$270,B18&amp;C20,RefineriesData!$N$16:$N$270)</f>
        <v>4.4562907610366017E-3</v>
      </c>
      <c r="J20" s="439"/>
      <c r="K20" s="435"/>
      <c r="L20" s="435"/>
      <c r="M20" s="435"/>
      <c r="N20" s="435"/>
      <c r="O20" s="436"/>
      <c r="P20" s="436"/>
      <c r="Q20" s="439"/>
      <c r="R20" s="435"/>
      <c r="S20" s="435"/>
      <c r="T20" s="435"/>
      <c r="U20" s="436"/>
      <c r="V20" s="436"/>
      <c r="W20" s="436"/>
      <c r="X20" s="436"/>
      <c r="Y20" s="436"/>
      <c r="Z20" s="436"/>
      <c r="AA20" s="436"/>
      <c r="AB20" s="436"/>
      <c r="AC20" s="436"/>
      <c r="AD20" s="435"/>
      <c r="AE20" s="465"/>
      <c r="AF20" s="465"/>
      <c r="AG20" s="465"/>
      <c r="AH20" s="465"/>
      <c r="AI20" s="465"/>
      <c r="AJ20" s="465"/>
      <c r="AK20" s="465"/>
      <c r="AL20" s="465"/>
      <c r="AM20" s="465"/>
      <c r="AN20" s="465"/>
      <c r="AO20" s="465"/>
      <c r="AP20" s="465"/>
      <c r="AQ20" s="465"/>
      <c r="AR20" s="465"/>
      <c r="AS20" s="465"/>
      <c r="AT20" s="465"/>
      <c r="AU20" s="465"/>
      <c r="AV20" s="465"/>
      <c r="AW20" s="465"/>
      <c r="AX20" s="465"/>
      <c r="AY20" s="465"/>
      <c r="AZ20" s="465"/>
      <c r="BA20" s="465"/>
      <c r="BB20" s="465"/>
      <c r="BC20" s="465"/>
      <c r="BD20" s="465"/>
      <c r="BE20" s="465"/>
      <c r="BF20" s="465"/>
      <c r="BH20" s="462"/>
    </row>
    <row r="21" spans="1:60" x14ac:dyDescent="0.2">
      <c r="A21" s="461"/>
      <c r="B21" s="462"/>
      <c r="C21" s="462"/>
      <c r="E21" s="117" t="s">
        <v>525</v>
      </c>
      <c r="F21" s="436"/>
      <c r="G21" s="437">
        <v>3</v>
      </c>
      <c r="H21" s="442">
        <f>SUMIF(RefineriesData!$J$16:$J$245,$B18&amp;RIGHT($E21,3),RefineriesData!$N$16:$N$245)</f>
        <v>0</v>
      </c>
      <c r="I21" s="442"/>
      <c r="J21" s="439"/>
      <c r="K21" s="435"/>
      <c r="L21" s="435"/>
      <c r="M21" s="435"/>
      <c r="N21" s="435"/>
      <c r="O21" s="436"/>
      <c r="P21" s="436"/>
      <c r="Q21" s="439"/>
      <c r="R21" s="435"/>
      <c r="S21" s="435"/>
      <c r="T21" s="435"/>
      <c r="U21" s="436"/>
      <c r="V21" s="436"/>
      <c r="W21" s="436"/>
      <c r="X21" s="436"/>
      <c r="Y21" s="436"/>
      <c r="Z21" s="436"/>
      <c r="AA21" s="436"/>
      <c r="AB21" s="436"/>
      <c r="AC21" s="436"/>
      <c r="AD21" s="435">
        <f>AD$18*F$18*H21</f>
        <v>0</v>
      </c>
      <c r="AE21" s="465"/>
      <c r="AF21" s="465"/>
      <c r="AG21" s="465"/>
      <c r="AH21" s="465"/>
      <c r="AI21" s="465"/>
      <c r="AJ21" s="465"/>
      <c r="AK21" s="465"/>
      <c r="AL21" s="465"/>
      <c r="AM21" s="465"/>
      <c r="AN21" s="465"/>
      <c r="AO21" s="465"/>
      <c r="AP21" s="465"/>
      <c r="AQ21" s="465"/>
      <c r="AR21" s="465"/>
      <c r="AS21" s="465"/>
      <c r="AT21" s="465"/>
      <c r="AU21" s="465"/>
      <c r="AV21" s="465"/>
      <c r="AW21" s="465"/>
      <c r="AX21" s="465"/>
      <c r="AY21" s="465"/>
      <c r="AZ21" s="465"/>
      <c r="BA21" s="465"/>
      <c r="BB21" s="465"/>
      <c r="BC21" s="465"/>
      <c r="BD21" s="465"/>
      <c r="BE21" s="465"/>
      <c r="BF21" s="465"/>
      <c r="BH21" s="462"/>
    </row>
    <row r="22" spans="1:60" x14ac:dyDescent="0.2">
      <c r="A22" s="461"/>
      <c r="B22" s="462"/>
      <c r="C22" s="462"/>
      <c r="E22" s="117" t="s">
        <v>499</v>
      </c>
      <c r="F22" s="436"/>
      <c r="G22" s="437">
        <v>3</v>
      </c>
      <c r="H22" s="442">
        <f>SUMIF(RefineriesData!$J$16:$J$245,$B18&amp;RIGHT($E22,3),RefineriesData!$N$16:$N$245)</f>
        <v>0.34833055635651694</v>
      </c>
      <c r="I22" s="442"/>
      <c r="J22" s="439"/>
      <c r="K22" s="435"/>
      <c r="L22" s="435"/>
      <c r="M22" s="435"/>
      <c r="N22" s="435"/>
      <c r="O22" s="436"/>
      <c r="P22" s="436"/>
      <c r="Q22" s="439"/>
      <c r="R22" s="435"/>
      <c r="S22" s="435"/>
      <c r="T22" s="435"/>
      <c r="U22" s="436"/>
      <c r="V22" s="436"/>
      <c r="W22" s="436"/>
      <c r="X22" s="436"/>
      <c r="Y22" s="436"/>
      <c r="Z22" s="436"/>
      <c r="AA22" s="436"/>
      <c r="AB22" s="436"/>
      <c r="AC22" s="436"/>
      <c r="AD22" s="435">
        <f t="shared" ref="AD22:AD27" si="8">AD$18*F$18*H22</f>
        <v>50.96390846852993</v>
      </c>
      <c r="AE22" s="465"/>
      <c r="AF22" s="465"/>
      <c r="AG22" s="465"/>
      <c r="AH22" s="465"/>
      <c r="AI22" s="465"/>
      <c r="AJ22" s="465"/>
      <c r="AK22" s="465"/>
      <c r="AL22" s="465"/>
      <c r="AM22" s="465"/>
      <c r="AN22" s="465"/>
      <c r="AO22" s="465"/>
      <c r="AP22" s="465"/>
      <c r="AQ22" s="465"/>
      <c r="AR22" s="465"/>
      <c r="AS22" s="465"/>
      <c r="AT22" s="465"/>
      <c r="AU22" s="465"/>
      <c r="AV22" s="465"/>
      <c r="AW22" s="465"/>
      <c r="AX22" s="465"/>
      <c r="AY22" s="465"/>
      <c r="AZ22" s="465"/>
      <c r="BA22" s="465"/>
      <c r="BB22" s="465"/>
      <c r="BC22" s="465"/>
      <c r="BD22" s="465"/>
      <c r="BE22" s="465"/>
      <c r="BF22" s="465"/>
      <c r="BH22" s="462"/>
    </row>
    <row r="23" spans="1:60" x14ac:dyDescent="0.2">
      <c r="A23" s="461"/>
      <c r="B23" s="462"/>
      <c r="C23" s="462"/>
      <c r="E23" s="117" t="s">
        <v>497</v>
      </c>
      <c r="F23" s="436"/>
      <c r="G23" s="437">
        <v>3</v>
      </c>
      <c r="H23" s="442">
        <f>SUMIF(RefineriesData!$J$16:$J$245,$B18&amp;RIGHT($E23,3),RefineriesData!$N$16:$N$245)</f>
        <v>0.29644283837448704</v>
      </c>
      <c r="I23" s="442"/>
      <c r="J23" s="439"/>
      <c r="K23" s="435"/>
      <c r="L23" s="435"/>
      <c r="M23" s="435"/>
      <c r="N23" s="435"/>
      <c r="O23" s="436"/>
      <c r="P23" s="436"/>
      <c r="Q23" s="439"/>
      <c r="R23" s="435"/>
      <c r="S23" s="435"/>
      <c r="T23" s="435"/>
      <c r="U23" s="436"/>
      <c r="V23" s="436"/>
      <c r="W23" s="436"/>
      <c r="X23" s="436"/>
      <c r="Y23" s="436"/>
      <c r="Z23" s="436"/>
      <c r="AA23" s="436"/>
      <c r="AB23" s="436"/>
      <c r="AC23" s="436"/>
      <c r="AD23" s="435">
        <f t="shared" si="8"/>
        <v>43.372266387120007</v>
      </c>
      <c r="AE23" s="465"/>
      <c r="AF23" s="465"/>
      <c r="AG23" s="465"/>
      <c r="AH23" s="465"/>
      <c r="AI23" s="465"/>
      <c r="AJ23" s="465"/>
      <c r="AK23" s="465"/>
      <c r="AL23" s="465"/>
      <c r="AM23" s="465"/>
      <c r="AN23" s="465"/>
      <c r="AO23" s="465"/>
      <c r="AP23" s="465"/>
      <c r="AQ23" s="465"/>
      <c r="AR23" s="465"/>
      <c r="AS23" s="465"/>
      <c r="AT23" s="465"/>
      <c r="AU23" s="465"/>
      <c r="AV23" s="465"/>
      <c r="AW23" s="465"/>
      <c r="AX23" s="465"/>
      <c r="AY23" s="465"/>
      <c r="AZ23" s="465"/>
      <c r="BA23" s="465"/>
      <c r="BB23" s="465"/>
      <c r="BC23" s="465"/>
      <c r="BD23" s="465"/>
      <c r="BE23" s="465"/>
      <c r="BF23" s="465"/>
      <c r="BH23" s="462"/>
    </row>
    <row r="24" spans="1:60" x14ac:dyDescent="0.2">
      <c r="A24" s="461"/>
      <c r="B24" s="462"/>
      <c r="C24" s="462"/>
      <c r="E24" s="117" t="s">
        <v>491</v>
      </c>
      <c r="F24" s="436"/>
      <c r="G24" s="437">
        <v>3</v>
      </c>
      <c r="H24" s="442">
        <f>SUMIF(RefineriesData!$J$16:$J$245,$B18&amp;RIGHT($E24,3),RefineriesData!$N$16:$N$245)</f>
        <v>0.19943636167892398</v>
      </c>
      <c r="I24" s="442"/>
      <c r="J24" s="439"/>
      <c r="K24" s="435"/>
      <c r="L24" s="435"/>
      <c r="M24" s="435"/>
      <c r="N24" s="435"/>
      <c r="O24" s="436"/>
      <c r="P24" s="436"/>
      <c r="Q24" s="439"/>
      <c r="R24" s="435"/>
      <c r="S24" s="435"/>
      <c r="T24" s="435"/>
      <c r="U24" s="436"/>
      <c r="V24" s="436"/>
      <c r="W24" s="436"/>
      <c r="X24" s="436"/>
      <c r="Y24" s="436"/>
      <c r="Z24" s="436"/>
      <c r="AA24" s="436"/>
      <c r="AB24" s="436"/>
      <c r="AC24" s="436"/>
      <c r="AD24" s="435">
        <f t="shared" si="8"/>
        <v>29.179342140453457</v>
      </c>
      <c r="AE24" s="465"/>
      <c r="AF24" s="465"/>
      <c r="AG24" s="465"/>
      <c r="AH24" s="465"/>
      <c r="AI24" s="465"/>
      <c r="AJ24" s="465"/>
      <c r="AK24" s="465"/>
      <c r="AL24" s="465"/>
      <c r="AM24" s="465"/>
      <c r="AN24" s="465"/>
      <c r="AO24" s="465"/>
      <c r="AP24" s="465"/>
      <c r="AQ24" s="465"/>
      <c r="AR24" s="465"/>
      <c r="AS24" s="465"/>
      <c r="AT24" s="465"/>
      <c r="AU24" s="465"/>
      <c r="AV24" s="465"/>
      <c r="AW24" s="465"/>
      <c r="AX24" s="465"/>
      <c r="AY24" s="465"/>
      <c r="AZ24" s="465"/>
      <c r="BA24" s="465"/>
      <c r="BB24" s="465"/>
      <c r="BC24" s="465"/>
      <c r="BD24" s="465"/>
      <c r="BE24" s="465"/>
      <c r="BF24" s="465"/>
      <c r="BH24" s="462"/>
    </row>
    <row r="25" spans="1:60" x14ac:dyDescent="0.2">
      <c r="A25" s="461"/>
      <c r="B25" s="462"/>
      <c r="C25" s="462"/>
      <c r="E25" s="117" t="s">
        <v>490</v>
      </c>
      <c r="F25" s="436"/>
      <c r="G25" s="437">
        <v>3</v>
      </c>
      <c r="H25" s="442">
        <f>SUMIF(RefineriesData!$J$16:$J$245,$B18&amp;RIGHT($E25,3),RefineriesData!$N$16:$N$245)</f>
        <v>0.12366927769468629</v>
      </c>
      <c r="I25" s="442"/>
      <c r="J25" s="439"/>
      <c r="K25" s="435"/>
      <c r="L25" s="435"/>
      <c r="M25" s="435"/>
      <c r="N25" s="435"/>
      <c r="O25" s="436"/>
      <c r="P25" s="436"/>
      <c r="Q25" s="439"/>
      <c r="R25" s="435"/>
      <c r="S25" s="435"/>
      <c r="T25" s="435"/>
      <c r="U25" s="436"/>
      <c r="V25" s="436"/>
      <c r="W25" s="436"/>
      <c r="X25" s="436"/>
      <c r="Y25" s="436"/>
      <c r="Z25" s="436"/>
      <c r="AA25" s="436"/>
      <c r="AB25" s="436"/>
      <c r="AC25" s="436"/>
      <c r="AD25" s="435">
        <f t="shared" si="8"/>
        <v>18.093933000670802</v>
      </c>
      <c r="AE25" s="465"/>
      <c r="AF25" s="465"/>
      <c r="AG25" s="465"/>
      <c r="AH25" s="465"/>
      <c r="AI25" s="465"/>
      <c r="AJ25" s="465"/>
      <c r="AK25" s="465"/>
      <c r="AL25" s="465"/>
      <c r="AM25" s="465"/>
      <c r="AN25" s="465"/>
      <c r="AO25" s="465"/>
      <c r="AP25" s="465"/>
      <c r="AQ25" s="465"/>
      <c r="AR25" s="465"/>
      <c r="AS25" s="465"/>
      <c r="AT25" s="465"/>
      <c r="AU25" s="465"/>
      <c r="AV25" s="465"/>
      <c r="AW25" s="465"/>
      <c r="AX25" s="465"/>
      <c r="AY25" s="465"/>
      <c r="AZ25" s="465"/>
      <c r="BA25" s="465"/>
      <c r="BB25" s="465"/>
      <c r="BC25" s="465"/>
      <c r="BD25" s="465"/>
      <c r="BE25" s="465"/>
      <c r="BF25" s="465"/>
      <c r="BH25" s="462"/>
    </row>
    <row r="26" spans="1:60" x14ac:dyDescent="0.2">
      <c r="A26" s="461"/>
      <c r="B26" s="462"/>
      <c r="C26" s="462"/>
      <c r="E26" s="117" t="s">
        <v>487</v>
      </c>
      <c r="F26" s="436"/>
      <c r="G26" s="437">
        <v>3</v>
      </c>
      <c r="H26" s="442">
        <f>SUMIF(RefineriesData!$J$16:$J$245,$B18&amp;RIGHT($E26,3),RefineriesData!$N$16:$N$245)</f>
        <v>1.2582829950902787E-2</v>
      </c>
      <c r="I26" s="442"/>
      <c r="J26" s="439"/>
      <c r="K26" s="435"/>
      <c r="L26" s="435"/>
      <c r="M26" s="435"/>
      <c r="N26" s="435"/>
      <c r="O26" s="436"/>
      <c r="P26" s="436"/>
      <c r="Q26" s="439"/>
      <c r="R26" s="435"/>
      <c r="S26" s="435"/>
      <c r="T26" s="435"/>
      <c r="U26" s="436"/>
      <c r="V26" s="436"/>
      <c r="W26" s="436"/>
      <c r="X26" s="436"/>
      <c r="Y26" s="436"/>
      <c r="Z26" s="436"/>
      <c r="AA26" s="436"/>
      <c r="AB26" s="436"/>
      <c r="AC26" s="436"/>
      <c r="AD26" s="435">
        <f t="shared" si="8"/>
        <v>1.8409817404492801</v>
      </c>
      <c r="AE26" s="465"/>
      <c r="AF26" s="465"/>
      <c r="AG26" s="465"/>
      <c r="AH26" s="465"/>
      <c r="AI26" s="465"/>
      <c r="AJ26" s="465"/>
      <c r="AK26" s="465"/>
      <c r="AL26" s="465"/>
      <c r="AM26" s="465"/>
      <c r="AN26" s="465"/>
      <c r="AO26" s="465"/>
      <c r="AP26" s="465"/>
      <c r="AQ26" s="465"/>
      <c r="AR26" s="465"/>
      <c r="AS26" s="465"/>
      <c r="AT26" s="465"/>
      <c r="AU26" s="465"/>
      <c r="AV26" s="465"/>
      <c r="AW26" s="465"/>
      <c r="AX26" s="465"/>
      <c r="AY26" s="465"/>
      <c r="AZ26" s="465"/>
      <c r="BA26" s="465"/>
      <c r="BB26" s="465"/>
      <c r="BC26" s="465"/>
      <c r="BD26" s="465"/>
      <c r="BE26" s="465"/>
      <c r="BF26" s="465"/>
      <c r="BH26" s="462"/>
    </row>
    <row r="27" spans="1:60" x14ac:dyDescent="0.2">
      <c r="A27" s="461"/>
      <c r="B27" s="462"/>
      <c r="C27" s="462"/>
      <c r="E27" s="117" t="s">
        <v>485</v>
      </c>
      <c r="F27" s="436"/>
      <c r="G27" s="437">
        <v>3</v>
      </c>
      <c r="H27" s="442">
        <f>1-SUM(H21:H26)</f>
        <v>1.9538135944483059E-2</v>
      </c>
      <c r="I27" s="442"/>
      <c r="J27" s="439"/>
      <c r="K27" s="435"/>
      <c r="L27" s="435"/>
      <c r="M27" s="435"/>
      <c r="N27" s="435"/>
      <c r="O27" s="436"/>
      <c r="P27" s="436"/>
      <c r="Q27" s="439"/>
      <c r="R27" s="435"/>
      <c r="S27" s="435"/>
      <c r="T27" s="435"/>
      <c r="U27" s="436"/>
      <c r="V27" s="436"/>
      <c r="W27" s="436"/>
      <c r="X27" s="436"/>
      <c r="Y27" s="436"/>
      <c r="Z27" s="436"/>
      <c r="AA27" s="436"/>
      <c r="AB27" s="436"/>
      <c r="AC27" s="436"/>
      <c r="AD27" s="435">
        <f t="shared" si="8"/>
        <v>2.8586058666101857</v>
      </c>
      <c r="AE27" s="465"/>
      <c r="AF27" s="465"/>
      <c r="AG27" s="465"/>
      <c r="AH27" s="465"/>
      <c r="AI27" s="465"/>
      <c r="AJ27" s="465"/>
      <c r="AK27" s="465"/>
      <c r="AL27" s="465"/>
      <c r="AM27" s="465"/>
      <c r="AN27" s="465"/>
      <c r="AO27" s="465"/>
      <c r="AP27" s="465"/>
      <c r="AQ27" s="465"/>
      <c r="AR27" s="465"/>
      <c r="AS27" s="465"/>
      <c r="AT27" s="465"/>
      <c r="AU27" s="465"/>
      <c r="AV27" s="465"/>
      <c r="AW27" s="465"/>
      <c r="AX27" s="465"/>
      <c r="AY27" s="465"/>
      <c r="AZ27" s="465"/>
      <c r="BA27" s="465"/>
      <c r="BB27" s="465"/>
      <c r="BC27" s="465"/>
      <c r="BD27" s="465"/>
      <c r="BE27" s="465"/>
      <c r="BF27" s="465"/>
      <c r="BH27" s="462"/>
    </row>
    <row r="28" spans="1:60" x14ac:dyDescent="0.2">
      <c r="A28" s="460" t="s">
        <v>799</v>
      </c>
      <c r="B28" s="462"/>
      <c r="C28" s="462"/>
      <c r="F28" s="436"/>
      <c r="G28" s="436"/>
      <c r="H28" s="436"/>
      <c r="I28" s="436"/>
      <c r="J28" s="439"/>
      <c r="K28" s="435"/>
      <c r="L28" s="435"/>
      <c r="M28" s="435"/>
      <c r="N28" s="435"/>
      <c r="O28" s="436"/>
      <c r="P28" s="436"/>
      <c r="Q28" s="439"/>
      <c r="R28" s="435"/>
      <c r="S28" s="435"/>
      <c r="T28" s="435"/>
      <c r="U28" s="436"/>
      <c r="V28" s="436"/>
      <c r="W28" s="436"/>
      <c r="X28" s="436"/>
      <c r="Y28" s="436"/>
      <c r="Z28" s="436"/>
      <c r="AA28" s="436"/>
      <c r="AB28" s="436"/>
      <c r="AC28" s="436"/>
      <c r="AD28" s="435"/>
      <c r="AE28" s="465"/>
      <c r="AF28" s="465"/>
      <c r="AG28" s="465"/>
      <c r="AH28" s="465"/>
      <c r="AI28" s="465"/>
      <c r="AJ28" s="465"/>
      <c r="AK28" s="465"/>
      <c r="AL28" s="465"/>
      <c r="AM28" s="465"/>
      <c r="AN28" s="465"/>
      <c r="AO28" s="465"/>
      <c r="AP28" s="465"/>
      <c r="AQ28" s="465"/>
      <c r="AR28" s="465"/>
      <c r="AS28" s="465"/>
      <c r="AT28" s="465"/>
      <c r="AU28" s="465"/>
      <c r="AV28" s="465"/>
      <c r="AW28" s="465"/>
      <c r="AX28" s="465"/>
      <c r="AY28" s="465"/>
      <c r="AZ28" s="465"/>
      <c r="BA28" s="465"/>
      <c r="BB28" s="465"/>
      <c r="BC28" s="465"/>
      <c r="BD28" s="465"/>
      <c r="BE28" s="465"/>
      <c r="BF28" s="465"/>
      <c r="BH28" s="462"/>
    </row>
    <row r="29" spans="1:60" ht="15" x14ac:dyDescent="0.25">
      <c r="A29" s="461" t="s">
        <v>824</v>
      </c>
      <c r="B29" s="462" t="s">
        <v>117</v>
      </c>
      <c r="C29" s="462"/>
      <c r="D29" s="117" t="s">
        <v>821</v>
      </c>
      <c r="F29" s="435">
        <f>SUMIF(RefineriesData!$J$16:$J$270,$B29&amp;F$4,RefineriesData!$N$16:$N$270)</f>
        <v>0.96421412348881386</v>
      </c>
      <c r="G29" s="436"/>
      <c r="H29" s="436"/>
      <c r="I29" s="436"/>
      <c r="J29" s="439">
        <f>SUMIF(RefineriesData!$J$13:$J$269,$B29&amp;J$4,RefineriesData!$N$13:$N$269)</f>
        <v>27.763122599999996</v>
      </c>
      <c r="K29" s="435">
        <f>SUMIF(RefineriesData!$J$13:$J$245,$B29&amp;K$5,RefineriesData!$N$13:$N$245)</f>
        <v>4.3387109021252108</v>
      </c>
      <c r="L29" s="435">
        <f>SUMIF(RefineriesData!$J$13:$J$245,$B29&amp;L$5,RefineriesData!$N$13:$N$245)</f>
        <v>0</v>
      </c>
      <c r="M29" s="435"/>
      <c r="N29" s="435"/>
      <c r="O29" s="436"/>
      <c r="P29" s="436"/>
      <c r="Q29" s="439"/>
      <c r="R29" s="435"/>
      <c r="S29" s="435">
        <v>3</v>
      </c>
      <c r="T29" s="435">
        <v>0</v>
      </c>
      <c r="U29" s="464"/>
      <c r="V29" s="442">
        <f>V18</f>
        <v>0.76</v>
      </c>
      <c r="W29" s="442">
        <f t="shared" ref="W29:X29" si="9">W18</f>
        <v>0.76</v>
      </c>
      <c r="X29" s="442">
        <f t="shared" si="9"/>
        <v>0.76</v>
      </c>
      <c r="Y29" s="442">
        <v>0</v>
      </c>
      <c r="Z29" s="442">
        <f>W29</f>
        <v>0.76</v>
      </c>
      <c r="AA29" s="442">
        <f t="shared" ref="AA29" si="10">X29</f>
        <v>0.76</v>
      </c>
      <c r="AB29" s="442">
        <f>AA29</f>
        <v>0.76</v>
      </c>
      <c r="AC29" s="442">
        <f>AB29</f>
        <v>0.76</v>
      </c>
      <c r="AD29" s="464">
        <f>V29*AE29/F29</f>
        <v>167.22576194085102</v>
      </c>
      <c r="AE29" s="435">
        <f>SUMIF(RefineriesData!$J$16:$J$270,$B29&amp;AE$3,RefineriesData!$N$16:$N$270)</f>
        <v>212.15979141387726</v>
      </c>
      <c r="AF29" s="465"/>
      <c r="AG29" s="465"/>
      <c r="AH29" s="465"/>
      <c r="AI29" s="465"/>
      <c r="AJ29" s="465"/>
      <c r="AK29" s="465"/>
      <c r="AL29" s="465"/>
      <c r="AM29" s="465"/>
      <c r="AN29" s="465"/>
      <c r="AO29" s="465"/>
      <c r="AP29" s="465"/>
      <c r="AQ29" s="465"/>
      <c r="AR29" s="465"/>
      <c r="AS29" s="465"/>
      <c r="AT29" s="465"/>
      <c r="AU29" s="465"/>
      <c r="AV29" s="465"/>
      <c r="AW29" s="465"/>
      <c r="AX29" s="465"/>
      <c r="AY29" s="465"/>
      <c r="AZ29" s="465"/>
      <c r="BA29" s="465"/>
      <c r="BB29" s="465"/>
      <c r="BC29" s="465">
        <f>AE29</f>
        <v>212.15979141387726</v>
      </c>
      <c r="BD29" s="465">
        <v>0</v>
      </c>
      <c r="BE29" s="465"/>
      <c r="BF29" s="465"/>
      <c r="BH29" s="462"/>
    </row>
    <row r="30" spans="1:60" x14ac:dyDescent="0.2">
      <c r="A30" s="461"/>
      <c r="B30" s="462"/>
      <c r="C30" s="117" t="s">
        <v>825</v>
      </c>
      <c r="F30" s="436"/>
      <c r="G30" s="436"/>
      <c r="H30" s="436"/>
      <c r="I30" s="482">
        <f>SUMIF(RefineriesData!$J$16:$J$270,B29&amp;C30,RefineriesData!$N$16:$N$270)</f>
        <v>0</v>
      </c>
      <c r="J30" s="439"/>
      <c r="K30" s="435"/>
      <c r="L30" s="435"/>
      <c r="M30" s="435"/>
      <c r="N30" s="435"/>
      <c r="O30" s="436"/>
      <c r="P30" s="436"/>
      <c r="Q30" s="439"/>
      <c r="R30" s="435"/>
      <c r="S30" s="435"/>
      <c r="T30" s="435"/>
      <c r="U30" s="436"/>
      <c r="V30" s="436"/>
      <c r="W30" s="436"/>
      <c r="X30" s="436"/>
      <c r="Y30" s="436"/>
      <c r="Z30" s="436"/>
      <c r="AA30" s="436"/>
      <c r="AB30" s="436"/>
      <c r="AC30" s="436"/>
      <c r="AD30" s="436"/>
      <c r="AE30" s="465"/>
      <c r="AF30" s="465"/>
      <c r="AG30" s="465"/>
      <c r="AH30" s="465"/>
      <c r="AI30" s="465"/>
      <c r="AJ30" s="465"/>
      <c r="AK30" s="465"/>
      <c r="AL30" s="465"/>
      <c r="AM30" s="465"/>
      <c r="AN30" s="465"/>
      <c r="AO30" s="465"/>
      <c r="AP30" s="465"/>
      <c r="AQ30" s="465"/>
      <c r="AR30" s="465"/>
      <c r="AS30" s="465"/>
      <c r="AT30" s="465"/>
      <c r="AU30" s="465"/>
      <c r="AV30" s="465"/>
      <c r="AW30" s="465"/>
      <c r="AX30" s="465"/>
      <c r="AY30" s="465"/>
      <c r="AZ30" s="465"/>
      <c r="BA30" s="465"/>
      <c r="BB30" s="465"/>
      <c r="BC30" s="465"/>
      <c r="BD30" s="465"/>
      <c r="BE30" s="465"/>
      <c r="BF30" s="465"/>
      <c r="BH30" s="462"/>
    </row>
    <row r="31" spans="1:60" x14ac:dyDescent="0.2">
      <c r="A31" s="461"/>
      <c r="B31" s="462"/>
      <c r="C31" s="117" t="s">
        <v>823</v>
      </c>
      <c r="F31" s="436"/>
      <c r="G31" s="436"/>
      <c r="H31" s="436"/>
      <c r="I31" s="482">
        <f>SUMIF(RefineriesData!$J$16:$J$270,B29&amp;C31,RefineriesData!$N$16:$N$270)</f>
        <v>4.8281344602274104E-3</v>
      </c>
      <c r="J31" s="439"/>
      <c r="K31" s="435"/>
      <c r="L31" s="435"/>
      <c r="M31" s="435"/>
      <c r="N31" s="435"/>
      <c r="O31" s="436"/>
      <c r="P31" s="436"/>
      <c r="Q31" s="439"/>
      <c r="R31" s="435"/>
      <c r="S31" s="435"/>
      <c r="T31" s="435"/>
      <c r="U31" s="436"/>
      <c r="V31" s="436"/>
      <c r="W31" s="436"/>
      <c r="X31" s="436"/>
      <c r="Y31" s="436"/>
      <c r="Z31" s="436"/>
      <c r="AA31" s="436"/>
      <c r="AB31" s="436"/>
      <c r="AC31" s="436"/>
      <c r="AD31" s="436"/>
      <c r="AE31" s="465"/>
      <c r="AF31" s="465"/>
      <c r="AG31" s="465"/>
      <c r="AH31" s="465"/>
      <c r="AI31" s="465"/>
      <c r="AJ31" s="465"/>
      <c r="AK31" s="465"/>
      <c r="AL31" s="465"/>
      <c r="AM31" s="465"/>
      <c r="AN31" s="465"/>
      <c r="AO31" s="465"/>
      <c r="AP31" s="465"/>
      <c r="AQ31" s="465"/>
      <c r="AR31" s="465"/>
      <c r="AS31" s="465"/>
      <c r="AT31" s="465"/>
      <c r="AU31" s="465"/>
      <c r="AV31" s="465"/>
      <c r="AW31" s="465"/>
      <c r="AX31" s="465"/>
      <c r="AY31" s="465"/>
      <c r="AZ31" s="465"/>
      <c r="BA31" s="465"/>
      <c r="BB31" s="465"/>
      <c r="BC31" s="465"/>
      <c r="BD31" s="465"/>
      <c r="BE31" s="465"/>
      <c r="BF31" s="465"/>
      <c r="BH31" s="462"/>
    </row>
    <row r="32" spans="1:60" x14ac:dyDescent="0.2">
      <c r="A32" s="461"/>
      <c r="B32" s="462"/>
      <c r="C32" s="462"/>
      <c r="E32" s="117" t="s">
        <v>525</v>
      </c>
      <c r="F32" s="436"/>
      <c r="G32" s="437">
        <v>3</v>
      </c>
      <c r="H32" s="442">
        <f>SUMIF(RefineriesData!$J$16:$J$245,$B29&amp;RIGHT($E32,3),RefineriesData!$N$16:$N$245)</f>
        <v>0</v>
      </c>
      <c r="I32" s="442"/>
      <c r="J32" s="439"/>
      <c r="K32" s="435"/>
      <c r="L32" s="435"/>
      <c r="M32" s="435"/>
      <c r="N32" s="435"/>
      <c r="O32" s="436"/>
      <c r="P32" s="436"/>
      <c r="Q32" s="439"/>
      <c r="R32" s="435"/>
      <c r="S32" s="435"/>
      <c r="T32" s="435"/>
      <c r="U32" s="436"/>
      <c r="V32" s="436"/>
      <c r="W32" s="436"/>
      <c r="X32" s="436"/>
      <c r="Y32" s="436"/>
      <c r="Z32" s="436"/>
      <c r="AA32" s="436"/>
      <c r="AB32" s="436"/>
      <c r="AC32" s="436"/>
      <c r="AD32" s="435">
        <f>AD$29*F$29*H32</f>
        <v>0</v>
      </c>
      <c r="AE32" s="465"/>
      <c r="AF32" s="465"/>
      <c r="AG32" s="465"/>
      <c r="AH32" s="465"/>
      <c r="AI32" s="465"/>
      <c r="AJ32" s="465"/>
      <c r="AK32" s="465"/>
      <c r="AL32" s="465"/>
      <c r="AM32" s="465"/>
      <c r="AN32" s="465"/>
      <c r="AO32" s="465"/>
      <c r="AP32" s="465"/>
      <c r="AQ32" s="465"/>
      <c r="AR32" s="465"/>
      <c r="AS32" s="465"/>
      <c r="AT32" s="465"/>
      <c r="AU32" s="465"/>
      <c r="AV32" s="465"/>
      <c r="AW32" s="465"/>
      <c r="AX32" s="465"/>
      <c r="AY32" s="465"/>
      <c r="AZ32" s="465"/>
      <c r="BA32" s="465"/>
      <c r="BB32" s="465"/>
      <c r="BC32" s="465"/>
      <c r="BD32" s="465"/>
      <c r="BE32" s="465"/>
      <c r="BF32" s="465"/>
      <c r="BH32" s="462"/>
    </row>
    <row r="33" spans="1:60" x14ac:dyDescent="0.2">
      <c r="A33" s="461"/>
      <c r="B33" s="462"/>
      <c r="C33" s="462"/>
      <c r="E33" s="117" t="s">
        <v>499</v>
      </c>
      <c r="F33" s="436"/>
      <c r="G33" s="437">
        <v>3</v>
      </c>
      <c r="H33" s="442">
        <f>SUMIF(RefineriesData!$J$16:$J$245,$B29&amp;RIGHT($E33,3),RefineriesData!$N$16:$N$245)</f>
        <v>0.38519100880852519</v>
      </c>
      <c r="I33" s="442"/>
      <c r="J33" s="439"/>
      <c r="K33" s="435"/>
      <c r="L33" s="435"/>
      <c r="M33" s="435"/>
      <c r="N33" s="435"/>
      <c r="O33" s="436"/>
      <c r="P33" s="436"/>
      <c r="Q33" s="439"/>
      <c r="R33" s="435"/>
      <c r="S33" s="435"/>
      <c r="T33" s="435"/>
      <c r="U33" s="436"/>
      <c r="V33" s="436"/>
      <c r="W33" s="436"/>
      <c r="X33" s="436"/>
      <c r="Y33" s="436"/>
      <c r="Z33" s="436"/>
      <c r="AA33" s="436"/>
      <c r="AB33" s="436"/>
      <c r="AC33" s="436"/>
      <c r="AD33" s="435">
        <f t="shared" ref="AD33:AD38" si="11">AD$29*F$29*H33</f>
        <v>62.108753503321424</v>
      </c>
      <c r="AE33" s="465"/>
      <c r="AF33" s="465"/>
      <c r="AG33" s="465"/>
      <c r="AH33" s="465"/>
      <c r="AI33" s="465"/>
      <c r="AJ33" s="465"/>
      <c r="AK33" s="465"/>
      <c r="AL33" s="465"/>
      <c r="AM33" s="465"/>
      <c r="AN33" s="465"/>
      <c r="AO33" s="465"/>
      <c r="AP33" s="465"/>
      <c r="AQ33" s="465"/>
      <c r="AR33" s="465"/>
      <c r="AS33" s="465"/>
      <c r="AT33" s="465"/>
      <c r="AU33" s="465"/>
      <c r="AV33" s="465"/>
      <c r="AW33" s="465"/>
      <c r="AX33" s="465"/>
      <c r="AY33" s="465"/>
      <c r="AZ33" s="465"/>
      <c r="BA33" s="465"/>
      <c r="BB33" s="465"/>
      <c r="BC33" s="465"/>
      <c r="BD33" s="465"/>
      <c r="BE33" s="465"/>
      <c r="BF33" s="465"/>
      <c r="BH33" s="462"/>
    </row>
    <row r="34" spans="1:60" x14ac:dyDescent="0.2">
      <c r="A34" s="461"/>
      <c r="B34" s="462"/>
      <c r="C34" s="462"/>
      <c r="E34" s="117" t="s">
        <v>497</v>
      </c>
      <c r="F34" s="436"/>
      <c r="G34" s="437">
        <v>3</v>
      </c>
      <c r="H34" s="442">
        <f>SUMIF(RefineriesData!$J$16:$J$245,$B29&amp;RIGHT($E34,3),RefineriesData!$N$16:$N$245)</f>
        <v>0.32388872844513639</v>
      </c>
      <c r="I34" s="442"/>
      <c r="J34" s="439"/>
      <c r="K34" s="435"/>
      <c r="L34" s="435"/>
      <c r="M34" s="435"/>
      <c r="N34" s="435"/>
      <c r="O34" s="436"/>
      <c r="P34" s="436"/>
      <c r="Q34" s="439"/>
      <c r="R34" s="435"/>
      <c r="S34" s="435"/>
      <c r="T34" s="435"/>
      <c r="U34" s="436"/>
      <c r="V34" s="436"/>
      <c r="W34" s="436"/>
      <c r="X34" s="436"/>
      <c r="Y34" s="436"/>
      <c r="Z34" s="436"/>
      <c r="AA34" s="436"/>
      <c r="AB34" s="436"/>
      <c r="AC34" s="436"/>
      <c r="AD34" s="435">
        <f t="shared" si="11"/>
        <v>52.224285451851813</v>
      </c>
      <c r="AE34" s="465"/>
      <c r="AF34" s="465"/>
      <c r="AG34" s="465"/>
      <c r="AH34" s="465"/>
      <c r="AI34" s="465"/>
      <c r="AJ34" s="465"/>
      <c r="AK34" s="465"/>
      <c r="AL34" s="465"/>
      <c r="AM34" s="465"/>
      <c r="AN34" s="465"/>
      <c r="AO34" s="465"/>
      <c r="AP34" s="465"/>
      <c r="AQ34" s="465"/>
      <c r="AR34" s="465"/>
      <c r="AS34" s="465"/>
      <c r="AT34" s="465"/>
      <c r="AU34" s="465"/>
      <c r="AV34" s="465"/>
      <c r="AW34" s="465"/>
      <c r="AX34" s="465"/>
      <c r="AY34" s="465"/>
      <c r="AZ34" s="465"/>
      <c r="BA34" s="465"/>
      <c r="BB34" s="465"/>
      <c r="BC34" s="465"/>
      <c r="BD34" s="465"/>
      <c r="BE34" s="465"/>
      <c r="BF34" s="465"/>
      <c r="BH34" s="462"/>
    </row>
    <row r="35" spans="1:60" x14ac:dyDescent="0.2">
      <c r="A35" s="461"/>
      <c r="B35" s="462"/>
      <c r="C35" s="462"/>
      <c r="E35" s="117" t="s">
        <v>491</v>
      </c>
      <c r="F35" s="436"/>
      <c r="G35" s="437">
        <v>3</v>
      </c>
      <c r="H35" s="442">
        <f>SUMIF(RefineriesData!$J$16:$J$245,$B29&amp;RIGHT($E35,3),RefineriesData!$N$16:$N$245)</f>
        <v>3.70569602416869E-2</v>
      </c>
      <c r="I35" s="442"/>
      <c r="J35" s="439"/>
      <c r="K35" s="435"/>
      <c r="L35" s="435"/>
      <c r="M35" s="435"/>
      <c r="N35" s="435"/>
      <c r="O35" s="436"/>
      <c r="P35" s="436"/>
      <c r="Q35" s="439"/>
      <c r="R35" s="435"/>
      <c r="S35" s="435"/>
      <c r="T35" s="435"/>
      <c r="U35" s="436"/>
      <c r="V35" s="436"/>
      <c r="W35" s="436"/>
      <c r="X35" s="436"/>
      <c r="Y35" s="436"/>
      <c r="Z35" s="436"/>
      <c r="AA35" s="436"/>
      <c r="AB35" s="436"/>
      <c r="AC35" s="436"/>
      <c r="AD35" s="435">
        <f t="shared" si="11"/>
        <v>5.9751176860345625</v>
      </c>
      <c r="AE35" s="465"/>
      <c r="AF35" s="465"/>
      <c r="AG35" s="465"/>
      <c r="AH35" s="465"/>
      <c r="AI35" s="465"/>
      <c r="AJ35" s="465"/>
      <c r="AK35" s="465"/>
      <c r="AL35" s="465"/>
      <c r="AM35" s="465"/>
      <c r="AN35" s="465"/>
      <c r="AO35" s="465"/>
      <c r="AP35" s="465"/>
      <c r="AQ35" s="465"/>
      <c r="AR35" s="465"/>
      <c r="AS35" s="465"/>
      <c r="AT35" s="465"/>
      <c r="AU35" s="465"/>
      <c r="AV35" s="465"/>
      <c r="AW35" s="465"/>
      <c r="AX35" s="465"/>
      <c r="AY35" s="465"/>
      <c r="AZ35" s="465"/>
      <c r="BA35" s="465"/>
      <c r="BB35" s="465"/>
      <c r="BC35" s="465"/>
      <c r="BD35" s="465"/>
      <c r="BE35" s="465"/>
      <c r="BF35" s="465"/>
      <c r="BH35" s="462"/>
    </row>
    <row r="36" spans="1:60" x14ac:dyDescent="0.2">
      <c r="A36" s="461"/>
      <c r="B36" s="462"/>
      <c r="C36" s="462"/>
      <c r="E36" s="117" t="s">
        <v>490</v>
      </c>
      <c r="F36" s="436"/>
      <c r="G36" s="437">
        <v>3</v>
      </c>
      <c r="H36" s="442">
        <f>SUMIF(RefineriesData!$J$16:$J$245,$B29&amp;RIGHT($E36,3),RefineriesData!$N$16:$N$245)</f>
        <v>0.21374627875427765</v>
      </c>
      <c r="I36" s="442"/>
      <c r="J36" s="439"/>
      <c r="K36" s="435"/>
      <c r="L36" s="435"/>
      <c r="M36" s="435"/>
      <c r="N36" s="435"/>
      <c r="O36" s="436"/>
      <c r="P36" s="436"/>
      <c r="Q36" s="439"/>
      <c r="R36" s="435"/>
      <c r="S36" s="435"/>
      <c r="T36" s="435"/>
      <c r="U36" s="436"/>
      <c r="V36" s="436"/>
      <c r="W36" s="436"/>
      <c r="X36" s="436"/>
      <c r="Y36" s="436"/>
      <c r="Z36" s="436"/>
      <c r="AA36" s="436"/>
      <c r="AB36" s="436"/>
      <c r="AC36" s="436"/>
      <c r="AD36" s="435">
        <f t="shared" si="11"/>
        <v>34.464758096160011</v>
      </c>
      <c r="AE36" s="465"/>
      <c r="AF36" s="465"/>
      <c r="AG36" s="465"/>
      <c r="AH36" s="465"/>
      <c r="AI36" s="465"/>
      <c r="AJ36" s="465"/>
      <c r="AK36" s="465"/>
      <c r="AL36" s="465"/>
      <c r="AM36" s="465"/>
      <c r="AN36" s="465"/>
      <c r="AO36" s="465"/>
      <c r="AP36" s="465"/>
      <c r="AQ36" s="465"/>
      <c r="AR36" s="465"/>
      <c r="AS36" s="465"/>
      <c r="AT36" s="465"/>
      <c r="AU36" s="465"/>
      <c r="AV36" s="465"/>
      <c r="AW36" s="465"/>
      <c r="AX36" s="465"/>
      <c r="AY36" s="465"/>
      <c r="AZ36" s="465"/>
      <c r="BA36" s="465"/>
      <c r="BB36" s="465"/>
      <c r="BC36" s="465"/>
      <c r="BD36" s="465"/>
      <c r="BE36" s="465"/>
      <c r="BF36" s="465"/>
      <c r="BH36" s="462"/>
    </row>
    <row r="37" spans="1:60" x14ac:dyDescent="0.2">
      <c r="A37" s="461"/>
      <c r="B37" s="462"/>
      <c r="C37" s="462"/>
      <c r="E37" s="117" t="s">
        <v>487</v>
      </c>
      <c r="F37" s="436"/>
      <c r="G37" s="437">
        <v>3</v>
      </c>
      <c r="H37" s="442">
        <f>SUMIF(RefineriesData!$J$16:$J$245,$B29&amp;RIGHT($E37,3),RefineriesData!$N$16:$N$245)</f>
        <v>2.6523977888853558E-3</v>
      </c>
      <c r="I37" s="442"/>
      <c r="J37" s="439"/>
      <c r="K37" s="435"/>
      <c r="L37" s="435"/>
      <c r="M37" s="435"/>
      <c r="N37" s="435"/>
      <c r="O37" s="436"/>
      <c r="P37" s="436"/>
      <c r="Q37" s="439"/>
      <c r="R37" s="435"/>
      <c r="S37" s="435"/>
      <c r="T37" s="435"/>
      <c r="U37" s="436"/>
      <c r="V37" s="436"/>
      <c r="W37" s="436"/>
      <c r="X37" s="436"/>
      <c r="Y37" s="436"/>
      <c r="Z37" s="436"/>
      <c r="AA37" s="436"/>
      <c r="AB37" s="436"/>
      <c r="AC37" s="436"/>
      <c r="AD37" s="435">
        <f t="shared" si="11"/>
        <v>0.42767644284377521</v>
      </c>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5"/>
      <c r="BH37" s="462"/>
    </row>
    <row r="38" spans="1:60" x14ac:dyDescent="0.2">
      <c r="A38" s="461"/>
      <c r="B38" s="462"/>
      <c r="C38" s="462"/>
      <c r="E38" s="117" t="s">
        <v>485</v>
      </c>
      <c r="F38" s="436"/>
      <c r="G38" s="437">
        <v>3</v>
      </c>
      <c r="H38" s="442">
        <f>SUMIF(RefineriesData!$J$16:$J$245,$B29&amp;RIGHT($E38,3),RefineriesData!$N$16:$N$245)</f>
        <v>3.7464625961488515E-2</v>
      </c>
      <c r="I38" s="442"/>
      <c r="J38" s="439"/>
      <c r="K38" s="435"/>
      <c r="L38" s="435"/>
      <c r="M38" s="435"/>
      <c r="N38" s="435"/>
      <c r="O38" s="436"/>
      <c r="P38" s="436"/>
      <c r="Q38" s="439"/>
      <c r="R38" s="435"/>
      <c r="S38" s="435"/>
      <c r="T38" s="435"/>
      <c r="U38" s="436"/>
      <c r="V38" s="436"/>
      <c r="W38" s="436"/>
      <c r="X38" s="436"/>
      <c r="Y38" s="436"/>
      <c r="Z38" s="436"/>
      <c r="AA38" s="436"/>
      <c r="AB38" s="436"/>
      <c r="AC38" s="436"/>
      <c r="AD38" s="435">
        <f t="shared" si="11"/>
        <v>6.0408502943351339</v>
      </c>
      <c r="AE38" s="465"/>
      <c r="AF38" s="465"/>
      <c r="AG38" s="465"/>
      <c r="AH38" s="465"/>
      <c r="AI38" s="465"/>
      <c r="AJ38" s="465"/>
      <c r="AK38" s="465"/>
      <c r="AL38" s="465"/>
      <c r="AM38" s="465"/>
      <c r="AN38" s="465"/>
      <c r="AO38" s="465"/>
      <c r="AP38" s="465"/>
      <c r="AQ38" s="465"/>
      <c r="AR38" s="465"/>
      <c r="AS38" s="465"/>
      <c r="AT38" s="465"/>
      <c r="AU38" s="465"/>
      <c r="AV38" s="465"/>
      <c r="AW38" s="465"/>
      <c r="AX38" s="465"/>
      <c r="AY38" s="465"/>
      <c r="AZ38" s="465"/>
      <c r="BA38" s="465"/>
      <c r="BB38" s="465"/>
      <c r="BC38" s="465"/>
      <c r="BD38" s="465"/>
      <c r="BE38" s="465"/>
      <c r="BF38" s="465"/>
      <c r="BH38" s="462"/>
    </row>
    <row r="39" spans="1:60" x14ac:dyDescent="0.2">
      <c r="A39" s="461" t="s">
        <v>799</v>
      </c>
      <c r="B39" s="462"/>
      <c r="C39" s="462"/>
      <c r="F39" s="436"/>
      <c r="G39" s="442"/>
      <c r="H39" s="442"/>
      <c r="I39" s="442"/>
      <c r="J39" s="439"/>
      <c r="K39" s="435"/>
      <c r="L39" s="435"/>
      <c r="M39" s="435"/>
      <c r="N39" s="435"/>
      <c r="O39" s="436"/>
      <c r="P39" s="436"/>
      <c r="Q39" s="439"/>
      <c r="R39" s="435"/>
      <c r="S39" s="435"/>
      <c r="T39" s="435"/>
      <c r="U39" s="436"/>
      <c r="V39" s="436"/>
      <c r="W39" s="436"/>
      <c r="X39" s="436"/>
      <c r="Y39" s="436"/>
      <c r="Z39" s="436"/>
      <c r="AA39" s="436"/>
      <c r="AB39" s="436"/>
      <c r="AC39" s="436"/>
      <c r="AD39" s="436"/>
      <c r="AE39" s="465"/>
      <c r="AF39" s="465"/>
      <c r="AG39" s="465"/>
      <c r="AH39" s="465"/>
      <c r="AI39" s="465"/>
      <c r="AJ39" s="465"/>
      <c r="AK39" s="465"/>
      <c r="AL39" s="465"/>
      <c r="AM39" s="465"/>
      <c r="AN39" s="465"/>
      <c r="AO39" s="465"/>
      <c r="AP39" s="465"/>
      <c r="AQ39" s="465"/>
      <c r="AR39" s="465"/>
      <c r="AS39" s="465"/>
      <c r="AT39" s="465"/>
      <c r="AU39" s="465"/>
      <c r="AV39" s="465"/>
      <c r="AW39" s="465"/>
      <c r="AX39" s="465"/>
      <c r="AY39" s="465"/>
      <c r="AZ39" s="465"/>
      <c r="BA39" s="465"/>
      <c r="BB39" s="465"/>
      <c r="BC39" s="465"/>
      <c r="BD39" s="465"/>
      <c r="BE39" s="465"/>
      <c r="BF39" s="465"/>
      <c r="BH39" s="462"/>
    </row>
    <row r="40" spans="1:60" ht="15" x14ac:dyDescent="0.25">
      <c r="A40" s="461" t="s">
        <v>826</v>
      </c>
      <c r="B40" s="462" t="s">
        <v>827</v>
      </c>
      <c r="C40" s="462"/>
      <c r="D40" s="117" t="s">
        <v>822</v>
      </c>
      <c r="F40" s="435">
        <f>SUMIF(RefineriesData!$J$16:$J$270,$B40&amp;F$4,RefineriesData!$N$16:$N$270)</f>
        <v>1.3713233510214249</v>
      </c>
      <c r="G40" s="436"/>
      <c r="H40" s="436"/>
      <c r="I40" s="436"/>
      <c r="J40" s="439">
        <f>SUMIF(RefineriesData!$J$13:$J$269,$B40&amp;J$4,RefineriesData!$N$13:$N$269)</f>
        <v>66.311492399999992</v>
      </c>
      <c r="M40" s="466">
        <f>RefineriesData!D243</f>
        <v>6.4894696089818042</v>
      </c>
      <c r="N40" s="467">
        <v>4.4999999999999997E-3</v>
      </c>
      <c r="O40" s="436"/>
      <c r="P40" s="436"/>
      <c r="Q40" s="439"/>
      <c r="R40" s="435"/>
      <c r="S40" s="435">
        <v>3</v>
      </c>
      <c r="T40" s="435">
        <v>0</v>
      </c>
      <c r="U40" s="464"/>
      <c r="V40" s="435">
        <f>RefineriesData!D241</f>
        <v>0.46714295102597259</v>
      </c>
      <c r="W40" s="435">
        <f>V40</f>
        <v>0.46714295102597259</v>
      </c>
      <c r="X40" s="435">
        <f>W40</f>
        <v>0.46714295102597259</v>
      </c>
      <c r="Y40" s="435">
        <v>0</v>
      </c>
      <c r="Z40" s="435">
        <f>RefineriesData!H241</f>
        <v>0</v>
      </c>
      <c r="AA40" s="435"/>
      <c r="AB40" s="435"/>
      <c r="AC40" s="435"/>
      <c r="AD40" s="464">
        <f>V40*AE40/F40</f>
        <v>20.028765310925095</v>
      </c>
      <c r="AE40" s="435">
        <f>SUMIF(RefineriesData!$J$16:$J$270,$B40&amp;AE$3,RefineriesData!$N$16:$N$270)</f>
        <v>58.795521804785629</v>
      </c>
      <c r="AF40" s="465"/>
      <c r="AG40" s="465"/>
      <c r="AH40" s="465"/>
      <c r="AI40" s="465"/>
      <c r="AJ40" s="465"/>
      <c r="AK40" s="465"/>
      <c r="AL40" s="465"/>
      <c r="AM40" s="465"/>
      <c r="AN40" s="465"/>
      <c r="AO40" s="465"/>
      <c r="AP40" s="465"/>
      <c r="AQ40" s="465"/>
      <c r="AR40" s="465"/>
      <c r="AS40" s="465"/>
      <c r="AT40" s="465"/>
      <c r="AU40" s="465"/>
      <c r="AV40" s="465"/>
      <c r="AW40" s="465"/>
      <c r="AX40" s="465"/>
      <c r="AY40" s="465"/>
      <c r="AZ40" s="465"/>
      <c r="BA40" s="465"/>
      <c r="BB40" s="465"/>
      <c r="BC40" s="465"/>
      <c r="BD40" s="465"/>
      <c r="BE40" s="465"/>
      <c r="BF40" s="465"/>
      <c r="BH40" s="462"/>
    </row>
    <row r="41" spans="1:60" x14ac:dyDescent="0.2">
      <c r="A41" s="461"/>
      <c r="B41" s="462"/>
      <c r="C41" s="117" t="s">
        <v>821</v>
      </c>
      <c r="F41" s="435"/>
      <c r="G41" s="436"/>
      <c r="H41" s="436"/>
      <c r="I41" s="482">
        <f>SUMIF(RefineriesData!$J$16:$J$270,B40&amp;C41,RefineriesData!$N$16:$N$270)</f>
        <v>0.24339802736239258</v>
      </c>
      <c r="J41" s="439"/>
      <c r="M41" s="435"/>
      <c r="N41" s="435"/>
      <c r="O41" s="436"/>
      <c r="P41" s="436"/>
      <c r="Q41" s="439"/>
      <c r="R41" s="435"/>
      <c r="S41" s="435"/>
      <c r="T41" s="435"/>
      <c r="U41" s="435"/>
      <c r="V41" s="435"/>
      <c r="W41" s="435"/>
      <c r="X41" s="435"/>
      <c r="Y41" s="435"/>
      <c r="Z41" s="435"/>
      <c r="AA41" s="435"/>
      <c r="AB41" s="435"/>
      <c r="AC41" s="435"/>
      <c r="AD41" s="435"/>
      <c r="AE41" s="465"/>
      <c r="AF41" s="465"/>
      <c r="AG41" s="465"/>
      <c r="AH41" s="465"/>
      <c r="AI41" s="465"/>
      <c r="AJ41" s="465"/>
      <c r="AK41" s="465"/>
      <c r="AL41" s="465"/>
      <c r="AM41" s="465"/>
      <c r="AN41" s="465"/>
      <c r="AO41" s="465"/>
      <c r="AP41" s="465"/>
      <c r="AQ41" s="465"/>
      <c r="AR41" s="465"/>
      <c r="AS41" s="465"/>
      <c r="AT41" s="465"/>
      <c r="AU41" s="465"/>
      <c r="AV41" s="465"/>
      <c r="AW41" s="465"/>
      <c r="AX41" s="465"/>
      <c r="AY41" s="465"/>
      <c r="AZ41" s="465"/>
      <c r="BA41" s="465"/>
      <c r="BB41" s="465"/>
      <c r="BC41" s="465"/>
      <c r="BD41" s="465"/>
      <c r="BE41" s="465"/>
      <c r="BF41" s="465"/>
      <c r="BH41" s="462"/>
    </row>
    <row r="42" spans="1:60" x14ac:dyDescent="0.2">
      <c r="A42" s="461"/>
      <c r="B42" s="462"/>
      <c r="C42" s="117" t="s">
        <v>823</v>
      </c>
      <c r="F42" s="436"/>
      <c r="G42" s="436"/>
      <c r="H42" s="436"/>
      <c r="I42" s="482">
        <f>SUMIF(RefineriesData!$J$16:$J$270,B40&amp;C42,RefineriesData!$N$16:$N$270)</f>
        <v>2.3491886504442346E-2</v>
      </c>
      <c r="J42" s="439"/>
      <c r="M42" s="435"/>
      <c r="N42" s="435"/>
      <c r="O42" s="436"/>
      <c r="P42" s="436"/>
      <c r="Q42" s="439"/>
      <c r="R42" s="435"/>
      <c r="S42" s="435"/>
      <c r="T42" s="435"/>
      <c r="U42" s="436"/>
      <c r="V42" s="436"/>
      <c r="W42" s="436"/>
      <c r="X42" s="436"/>
      <c r="Y42" s="436"/>
      <c r="Z42" s="436"/>
      <c r="AA42" s="436"/>
      <c r="AB42" s="436"/>
      <c r="AC42" s="436"/>
      <c r="AD42" s="436"/>
      <c r="AE42" s="465"/>
      <c r="AF42" s="465"/>
      <c r="AG42" s="465"/>
      <c r="AH42" s="465"/>
      <c r="AI42" s="465"/>
      <c r="AJ42" s="465"/>
      <c r="AK42" s="465"/>
      <c r="AL42" s="465"/>
      <c r="AM42" s="465"/>
      <c r="AN42" s="465"/>
      <c r="AO42" s="465"/>
      <c r="AP42" s="465"/>
      <c r="AQ42" s="465"/>
      <c r="AR42" s="465"/>
      <c r="AS42" s="465"/>
      <c r="AT42" s="465"/>
      <c r="AU42" s="465"/>
      <c r="AV42" s="465"/>
      <c r="AW42" s="465"/>
      <c r="AX42" s="465"/>
      <c r="AY42" s="465"/>
      <c r="AZ42" s="465"/>
      <c r="BA42" s="465"/>
      <c r="BB42" s="465"/>
      <c r="BC42" s="465"/>
      <c r="BD42" s="465"/>
      <c r="BE42" s="465"/>
      <c r="BF42" s="465"/>
      <c r="BH42" s="462"/>
    </row>
    <row r="43" spans="1:60" x14ac:dyDescent="0.2">
      <c r="A43" s="461"/>
      <c r="B43" s="462"/>
      <c r="C43" s="462"/>
      <c r="E43" s="117" t="s">
        <v>491</v>
      </c>
      <c r="F43" s="436"/>
      <c r="G43" s="437">
        <v>3</v>
      </c>
      <c r="H43" s="442">
        <f>SUMIF(RefineriesData!$J$16:$J$245,$B$40&amp;RIGHT($E43,3),RefineriesData!$N$16:$N$245)</f>
        <v>0.04</v>
      </c>
      <c r="I43" s="442"/>
      <c r="J43" s="439"/>
      <c r="M43" s="435"/>
      <c r="N43" s="435"/>
      <c r="O43" s="436"/>
      <c r="P43" s="436"/>
      <c r="Q43" s="439"/>
      <c r="R43" s="435"/>
      <c r="S43" s="435"/>
      <c r="T43" s="435"/>
      <c r="U43" s="436"/>
      <c r="V43" s="436"/>
      <c r="W43" s="436"/>
      <c r="X43" s="436"/>
      <c r="Y43" s="436"/>
      <c r="Z43" s="436"/>
      <c r="AA43" s="436"/>
      <c r="AB43" s="436"/>
      <c r="AC43" s="436"/>
      <c r="AD43" s="435">
        <f t="shared" ref="AD43:AD48" si="12">AD$40*F$40*H43</f>
        <v>1.0986365425199789</v>
      </c>
      <c r="AE43" s="465"/>
      <c r="AF43" s="465"/>
      <c r="AG43" s="465"/>
      <c r="AH43" s="465"/>
      <c r="AI43" s="465"/>
      <c r="AJ43" s="465"/>
      <c r="AK43" s="465"/>
      <c r="AL43" s="465"/>
      <c r="AM43" s="465"/>
      <c r="AN43" s="465"/>
      <c r="AO43" s="465"/>
      <c r="AP43" s="465"/>
      <c r="AQ43" s="465"/>
      <c r="AR43" s="465"/>
      <c r="AS43" s="465"/>
      <c r="AT43" s="465"/>
      <c r="AU43" s="465"/>
      <c r="AV43" s="465"/>
      <c r="AW43" s="465"/>
      <c r="AX43" s="465"/>
      <c r="AY43" s="465"/>
      <c r="AZ43" s="465"/>
      <c r="BA43" s="465"/>
      <c r="BB43" s="465"/>
      <c r="BC43" s="465"/>
      <c r="BD43" s="465"/>
      <c r="BE43" s="465"/>
      <c r="BF43" s="465"/>
      <c r="BH43" s="462"/>
    </row>
    <row r="44" spans="1:60" x14ac:dyDescent="0.2">
      <c r="A44" s="461"/>
      <c r="B44" s="462"/>
      <c r="C44" s="462"/>
      <c r="E44" s="117" t="s">
        <v>499</v>
      </c>
      <c r="F44" s="436"/>
      <c r="G44" s="437">
        <v>3</v>
      </c>
      <c r="H44" s="442">
        <f>SUMIF(RefineriesData!$J$16:$J$245,$B$40&amp;RIGHT($E44,3),RefineriesData!$N$16:$N$245)</f>
        <v>0.06</v>
      </c>
      <c r="I44" s="442"/>
      <c r="J44" s="439"/>
      <c r="M44" s="435"/>
      <c r="N44" s="435"/>
      <c r="O44" s="436"/>
      <c r="P44" s="436"/>
      <c r="Q44" s="439"/>
      <c r="R44" s="435"/>
      <c r="S44" s="435"/>
      <c r="T44" s="435"/>
      <c r="U44" s="436"/>
      <c r="V44" s="436"/>
      <c r="W44" s="436"/>
      <c r="X44" s="436"/>
      <c r="Y44" s="436"/>
      <c r="Z44" s="436"/>
      <c r="AA44" s="436"/>
      <c r="AB44" s="436"/>
      <c r="AC44" s="436"/>
      <c r="AD44" s="435">
        <f t="shared" si="12"/>
        <v>1.6479548137799682</v>
      </c>
      <c r="AE44" s="465"/>
      <c r="AF44" s="465"/>
      <c r="AG44" s="465"/>
      <c r="AH44" s="465"/>
      <c r="AI44" s="465"/>
      <c r="AJ44" s="465"/>
      <c r="AK44" s="465"/>
      <c r="AL44" s="465"/>
      <c r="AM44" s="465"/>
      <c r="AN44" s="465"/>
      <c r="AO44" s="465"/>
      <c r="AP44" s="465"/>
      <c r="AQ44" s="465"/>
      <c r="AR44" s="465"/>
      <c r="AS44" s="465"/>
      <c r="AT44" s="465"/>
      <c r="AU44" s="465"/>
      <c r="AV44" s="465"/>
      <c r="AW44" s="465"/>
      <c r="AX44" s="465"/>
      <c r="AY44" s="465"/>
      <c r="AZ44" s="465"/>
      <c r="BA44" s="465"/>
      <c r="BB44" s="465"/>
      <c r="BC44" s="465"/>
      <c r="BD44" s="465"/>
      <c r="BE44" s="465"/>
      <c r="BF44" s="465"/>
      <c r="BH44" s="462"/>
    </row>
    <row r="45" spans="1:60" x14ac:dyDescent="0.2">
      <c r="A45" s="461"/>
      <c r="B45" s="462"/>
      <c r="C45" s="462"/>
      <c r="E45" s="117" t="s">
        <v>497</v>
      </c>
      <c r="F45" s="436"/>
      <c r="G45" s="437">
        <v>3</v>
      </c>
      <c r="H45" s="442">
        <f>SUMIF(RefineriesData!$J$16:$J$245,$B$40&amp;RIGHT($E45,3),RefineriesData!$N$16:$N$245)</f>
        <v>0.53</v>
      </c>
      <c r="I45" s="442"/>
      <c r="J45" s="439"/>
      <c r="M45" s="435"/>
      <c r="N45" s="435"/>
      <c r="O45" s="436"/>
      <c r="P45" s="436"/>
      <c r="Q45" s="439"/>
      <c r="R45" s="435"/>
      <c r="S45" s="435"/>
      <c r="T45" s="435"/>
      <c r="U45" s="436"/>
      <c r="V45" s="436"/>
      <c r="W45" s="436"/>
      <c r="X45" s="436"/>
      <c r="Y45" s="436"/>
      <c r="Z45" s="436"/>
      <c r="AA45" s="436"/>
      <c r="AB45" s="436"/>
      <c r="AC45" s="436"/>
      <c r="AD45" s="435">
        <f t="shared" si="12"/>
        <v>14.55693418838972</v>
      </c>
      <c r="AE45" s="465"/>
      <c r="AF45" s="465"/>
      <c r="AG45" s="465"/>
      <c r="AH45" s="465"/>
      <c r="AI45" s="465"/>
      <c r="AJ45" s="465"/>
      <c r="AK45" s="465"/>
      <c r="AL45" s="465"/>
      <c r="AM45" s="465"/>
      <c r="AN45" s="465"/>
      <c r="AO45" s="465"/>
      <c r="AP45" s="465"/>
      <c r="AQ45" s="465"/>
      <c r="AR45" s="465"/>
      <c r="AS45" s="465"/>
      <c r="AT45" s="465"/>
      <c r="AU45" s="465"/>
      <c r="AV45" s="465"/>
      <c r="AW45" s="465"/>
      <c r="AX45" s="465"/>
      <c r="AY45" s="465"/>
      <c r="AZ45" s="465"/>
      <c r="BA45" s="465"/>
      <c r="BB45" s="465"/>
      <c r="BC45" s="465"/>
      <c r="BD45" s="465"/>
      <c r="BE45" s="465"/>
      <c r="BF45" s="465"/>
      <c r="BH45" s="462"/>
    </row>
    <row r="46" spans="1:60" x14ac:dyDescent="0.2">
      <c r="A46" s="461"/>
      <c r="B46" s="462"/>
      <c r="C46" s="462"/>
      <c r="E46" s="117" t="s">
        <v>490</v>
      </c>
      <c r="F46" s="436"/>
      <c r="G46" s="437">
        <v>3</v>
      </c>
      <c r="H46" s="442">
        <f>SUMIF(RefineriesData!$J$16:$J$245,$B$40&amp;RIGHT($E46,3),RefineriesData!$N$16:$N$245)</f>
        <v>0.11</v>
      </c>
      <c r="I46" s="442"/>
      <c r="J46" s="439"/>
      <c r="M46" s="435"/>
      <c r="N46" s="435"/>
      <c r="O46" s="436"/>
      <c r="P46" s="436"/>
      <c r="Q46" s="439"/>
      <c r="R46" s="435"/>
      <c r="S46" s="435"/>
      <c r="T46" s="435"/>
      <c r="U46" s="436"/>
      <c r="V46" s="436"/>
      <c r="W46" s="436"/>
      <c r="X46" s="436"/>
      <c r="Y46" s="436"/>
      <c r="Z46" s="436"/>
      <c r="AA46" s="436"/>
      <c r="AB46" s="436"/>
      <c r="AC46" s="436"/>
      <c r="AD46" s="435">
        <f t="shared" si="12"/>
        <v>3.0212504919299419</v>
      </c>
      <c r="AE46" s="465"/>
      <c r="AF46" s="465"/>
      <c r="AG46" s="465"/>
      <c r="AH46" s="465"/>
      <c r="AI46" s="465"/>
      <c r="AJ46" s="465"/>
      <c r="AK46" s="465"/>
      <c r="AL46" s="465"/>
      <c r="AM46" s="465"/>
      <c r="AN46" s="465"/>
      <c r="AO46" s="465"/>
      <c r="AP46" s="465"/>
      <c r="AQ46" s="465"/>
      <c r="AR46" s="465"/>
      <c r="AS46" s="465"/>
      <c r="AT46" s="465"/>
      <c r="AU46" s="465"/>
      <c r="AV46" s="465"/>
      <c r="AW46" s="465"/>
      <c r="AX46" s="465"/>
      <c r="AY46" s="465"/>
      <c r="AZ46" s="465"/>
      <c r="BA46" s="465"/>
      <c r="BB46" s="465"/>
      <c r="BC46" s="465"/>
      <c r="BD46" s="465"/>
      <c r="BE46" s="465"/>
      <c r="BF46" s="465"/>
      <c r="BH46" s="462"/>
    </row>
    <row r="47" spans="1:60" x14ac:dyDescent="0.2">
      <c r="A47" s="461"/>
      <c r="B47" s="462"/>
      <c r="C47" s="462"/>
      <c r="E47" s="117" t="s">
        <v>487</v>
      </c>
      <c r="F47" s="436"/>
      <c r="G47" s="437">
        <v>3</v>
      </c>
      <c r="H47" s="442">
        <f>SUMIF(RefineriesData!$J$16:$J$245,$B$40&amp;RIGHT($E47,3),RefineriesData!$N$16:$N$245)</f>
        <v>0.08</v>
      </c>
      <c r="I47" s="442"/>
      <c r="J47" s="439"/>
      <c r="M47" s="435"/>
      <c r="N47" s="435"/>
      <c r="O47" s="436"/>
      <c r="P47" s="436"/>
      <c r="Q47" s="439"/>
      <c r="R47" s="435"/>
      <c r="S47" s="435"/>
      <c r="T47" s="435"/>
      <c r="U47" s="436"/>
      <c r="V47" s="436"/>
      <c r="W47" s="436"/>
      <c r="X47" s="436"/>
      <c r="Y47" s="436"/>
      <c r="Z47" s="436"/>
      <c r="AA47" s="436"/>
      <c r="AB47" s="436"/>
      <c r="AC47" s="436"/>
      <c r="AD47" s="435">
        <f t="shared" si="12"/>
        <v>2.1972730850399578</v>
      </c>
      <c r="AE47" s="465"/>
      <c r="AF47" s="465"/>
      <c r="AG47" s="465"/>
      <c r="AH47" s="465"/>
      <c r="AI47" s="465"/>
      <c r="AJ47" s="465"/>
      <c r="AK47" s="465"/>
      <c r="AL47" s="465"/>
      <c r="AM47" s="465"/>
      <c r="AN47" s="465"/>
      <c r="AO47" s="465"/>
      <c r="AP47" s="465"/>
      <c r="AQ47" s="465"/>
      <c r="AR47" s="465"/>
      <c r="AS47" s="465"/>
      <c r="AT47" s="465"/>
      <c r="AU47" s="465"/>
      <c r="AV47" s="465"/>
      <c r="AW47" s="465"/>
      <c r="AX47" s="465"/>
      <c r="AY47" s="465"/>
      <c r="AZ47" s="465"/>
      <c r="BA47" s="465"/>
      <c r="BB47" s="465"/>
      <c r="BC47" s="465"/>
      <c r="BD47" s="465"/>
      <c r="BE47" s="465"/>
      <c r="BF47" s="465"/>
      <c r="BH47" s="462"/>
    </row>
    <row r="48" spans="1:60" x14ac:dyDescent="0.2">
      <c r="A48" s="461"/>
      <c r="B48" s="462"/>
      <c r="C48" s="462"/>
      <c r="E48" s="117" t="s">
        <v>485</v>
      </c>
      <c r="F48" s="436"/>
      <c r="G48" s="437">
        <v>3</v>
      </c>
      <c r="H48" s="442">
        <f>SUMIF(RefineriesData!$J$16:$J$245,$B$40&amp;RIGHT($E48,3),RefineriesData!$N$16:$N$245)</f>
        <v>0.18</v>
      </c>
      <c r="I48" s="442"/>
      <c r="J48" s="439"/>
      <c r="M48" s="435"/>
      <c r="N48" s="435"/>
      <c r="O48" s="436"/>
      <c r="P48" s="436"/>
      <c r="Q48" s="439"/>
      <c r="R48" s="435"/>
      <c r="S48" s="435"/>
      <c r="T48" s="435"/>
      <c r="U48" s="436"/>
      <c r="V48" s="436"/>
      <c r="W48" s="436"/>
      <c r="X48" s="436"/>
      <c r="Y48" s="436"/>
      <c r="Z48" s="436"/>
      <c r="AA48" s="436"/>
      <c r="AB48" s="436"/>
      <c r="AC48" s="436"/>
      <c r="AD48" s="435">
        <f t="shared" si="12"/>
        <v>4.9438644413399047</v>
      </c>
      <c r="AE48" s="465"/>
      <c r="AF48" s="465"/>
      <c r="AG48" s="465"/>
      <c r="AH48" s="465"/>
      <c r="AI48" s="465"/>
      <c r="AJ48" s="465"/>
      <c r="AK48" s="465"/>
      <c r="AL48" s="465"/>
      <c r="AM48" s="465"/>
      <c r="AN48" s="465"/>
      <c r="AO48" s="465"/>
      <c r="AP48" s="465"/>
      <c r="AQ48" s="465"/>
      <c r="AR48" s="465"/>
      <c r="AS48" s="465"/>
      <c r="AT48" s="465"/>
      <c r="AU48" s="465"/>
      <c r="AV48" s="465"/>
      <c r="AW48" s="465"/>
      <c r="AX48" s="465"/>
      <c r="AY48" s="465"/>
      <c r="AZ48" s="465"/>
      <c r="BA48" s="465"/>
      <c r="BB48" s="465"/>
      <c r="BC48" s="465"/>
      <c r="BD48" s="465"/>
      <c r="BE48" s="465"/>
      <c r="BF48" s="465"/>
      <c r="BH48" s="462"/>
    </row>
    <row r="49" spans="1:60" x14ac:dyDescent="0.2">
      <c r="A49" s="461" t="s">
        <v>799</v>
      </c>
      <c r="B49" s="462"/>
      <c r="C49" s="462"/>
      <c r="F49" s="436"/>
      <c r="G49" s="442"/>
      <c r="H49" s="442"/>
      <c r="I49" s="442"/>
      <c r="J49" s="439"/>
      <c r="M49" s="435"/>
      <c r="N49" s="435"/>
      <c r="O49" s="436"/>
      <c r="P49" s="436"/>
      <c r="Q49" s="439"/>
      <c r="R49" s="435"/>
      <c r="S49" s="435"/>
      <c r="T49" s="435"/>
      <c r="U49" s="436"/>
      <c r="V49" s="436"/>
      <c r="W49" s="436"/>
      <c r="X49" s="436"/>
      <c r="Y49" s="436"/>
      <c r="Z49" s="436"/>
      <c r="AA49" s="436"/>
      <c r="AB49" s="436"/>
      <c r="AC49" s="436"/>
      <c r="AD49" s="436"/>
      <c r="AE49" s="465"/>
      <c r="AF49" s="465"/>
      <c r="AG49" s="465"/>
      <c r="AH49" s="465"/>
      <c r="AI49" s="465"/>
      <c r="AJ49" s="465"/>
      <c r="AK49" s="465"/>
      <c r="AL49" s="465"/>
      <c r="AM49" s="465"/>
      <c r="AN49" s="465"/>
      <c r="AO49" s="465"/>
      <c r="AP49" s="465"/>
      <c r="AQ49" s="465"/>
      <c r="AR49" s="465"/>
      <c r="AS49" s="465"/>
      <c r="AT49" s="465"/>
      <c r="AU49" s="465"/>
      <c r="AV49" s="465"/>
      <c r="AW49" s="465"/>
      <c r="AX49" s="465"/>
      <c r="AY49" s="465"/>
      <c r="AZ49" s="465"/>
      <c r="BA49" s="465"/>
      <c r="BB49" s="465"/>
      <c r="BC49" s="465"/>
      <c r="BD49" s="465"/>
      <c r="BE49" s="465"/>
      <c r="BF49" s="465"/>
      <c r="BH49" s="462"/>
    </row>
    <row r="50" spans="1:60" ht="15" x14ac:dyDescent="0.25">
      <c r="A50" s="461" t="s">
        <v>828</v>
      </c>
      <c r="B50" s="462" t="s">
        <v>829</v>
      </c>
      <c r="C50" s="462"/>
      <c r="D50" s="117" t="s">
        <v>825</v>
      </c>
      <c r="F50" s="435">
        <f>SUMIF(RefineriesData!$J$16:$J$270,$B50&amp;F$4,RefineriesData!$N$16:$N$270)</f>
        <v>1.3713233510214249</v>
      </c>
      <c r="G50" s="436"/>
      <c r="H50" s="436"/>
      <c r="I50" s="482"/>
      <c r="J50" s="439">
        <f>IFERROR(zar.2010*SUMIF(RefineriesData!$J$13:$J$269,$B50&amp;J$4,RefineriesData!$N$13:$N$269),"")</f>
        <v>55.422377929572328</v>
      </c>
      <c r="M50" s="466">
        <f>M40</f>
        <v>6.4894696089818042</v>
      </c>
      <c r="N50" s="467">
        <f>N40</f>
        <v>4.4999999999999997E-3</v>
      </c>
      <c r="O50" s="439">
        <f>SUMIF(RefineriesData!$J$13:$J$267,$B50&amp;O$4,RefineriesData!$N$13:$N$267)</f>
        <v>2030</v>
      </c>
      <c r="P50" s="435">
        <f>SUMIF(RefineriesData!$J$16:$J$269,$B50&amp;P$4,RefineriesData!$N$16:$N$269)</f>
        <v>50</v>
      </c>
      <c r="Q50" s="441">
        <f>IFERROR(SUMIF(RefineriesData!$J$13:$J$269,$B50&amp;Q$4,RefineriesData!$N$13:$N$269),"")</f>
        <v>202.08505199999999</v>
      </c>
      <c r="R50" s="435">
        <v>-6</v>
      </c>
      <c r="S50" s="435" t="str">
        <f>""</f>
        <v/>
      </c>
      <c r="T50" s="435" t="str">
        <f>""</f>
        <v/>
      </c>
      <c r="U50" s="464"/>
      <c r="V50" s="435"/>
      <c r="W50" s="435"/>
      <c r="X50" s="435"/>
      <c r="Y50" s="435"/>
      <c r="Z50" s="435"/>
      <c r="AA50" s="435"/>
      <c r="AB50" s="435"/>
      <c r="AC50" s="435"/>
      <c r="AD50" s="464"/>
      <c r="AE50" s="465"/>
      <c r="AF50" s="465"/>
      <c r="AG50" s="465"/>
      <c r="AH50" s="465"/>
      <c r="AI50" s="465"/>
      <c r="AJ50" s="465"/>
      <c r="AK50" s="465"/>
      <c r="AL50" s="465"/>
      <c r="AM50" s="465"/>
      <c r="AN50" s="465"/>
      <c r="AO50" s="465"/>
      <c r="AP50" s="465"/>
      <c r="AQ50" s="465"/>
      <c r="AR50" s="465"/>
      <c r="AS50" s="465"/>
      <c r="AT50" s="465"/>
      <c r="AU50" s="465"/>
      <c r="AV50" s="465"/>
      <c r="AW50" s="465"/>
      <c r="AX50" s="465"/>
      <c r="AY50" s="465"/>
      <c r="AZ50" s="465"/>
      <c r="BA50" s="465"/>
      <c r="BB50" s="465"/>
      <c r="BC50" s="465"/>
      <c r="BD50" s="465"/>
      <c r="BE50" s="465"/>
      <c r="BF50" s="465"/>
      <c r="BH50" s="462"/>
    </row>
    <row r="51" spans="1:60" x14ac:dyDescent="0.2">
      <c r="A51" s="461"/>
      <c r="B51" s="462"/>
      <c r="C51" s="117" t="s">
        <v>821</v>
      </c>
      <c r="F51" s="436"/>
      <c r="G51" s="436"/>
      <c r="H51" s="436"/>
      <c r="I51" s="482">
        <f>I41</f>
        <v>0.24339802736239258</v>
      </c>
      <c r="J51" s="439"/>
      <c r="K51" s="435"/>
      <c r="L51" s="435"/>
      <c r="M51" s="435"/>
      <c r="N51" s="435"/>
      <c r="O51" s="436"/>
      <c r="P51" s="436"/>
      <c r="Q51" s="439"/>
      <c r="R51" s="435"/>
      <c r="S51" s="435"/>
      <c r="T51" s="435"/>
      <c r="U51" s="436"/>
      <c r="V51" s="436"/>
      <c r="W51" s="436"/>
      <c r="X51" s="436"/>
      <c r="Y51" s="436"/>
      <c r="Z51" s="436"/>
      <c r="AA51" s="436"/>
      <c r="AB51" s="436"/>
      <c r="AC51" s="436"/>
      <c r="AD51" s="436"/>
      <c r="AE51" s="465"/>
      <c r="AF51" s="465"/>
      <c r="AG51" s="465"/>
      <c r="AH51" s="465"/>
      <c r="AI51" s="465"/>
      <c r="AJ51" s="465"/>
      <c r="AK51" s="465"/>
      <c r="AL51" s="465"/>
      <c r="AM51" s="465"/>
      <c r="AN51" s="465"/>
      <c r="AO51" s="465"/>
      <c r="AP51" s="465"/>
      <c r="AQ51" s="465"/>
      <c r="AR51" s="465"/>
      <c r="AS51" s="465"/>
      <c r="AT51" s="465"/>
      <c r="AU51" s="465"/>
      <c r="AV51" s="465"/>
      <c r="AW51" s="465"/>
      <c r="AX51" s="465"/>
      <c r="AY51" s="465"/>
      <c r="AZ51" s="465"/>
      <c r="BA51" s="465"/>
      <c r="BB51" s="465"/>
      <c r="BC51" s="465"/>
      <c r="BD51" s="465"/>
      <c r="BE51" s="465"/>
      <c r="BF51" s="465"/>
      <c r="BH51" s="462"/>
    </row>
    <row r="52" spans="1:60" x14ac:dyDescent="0.2">
      <c r="A52" s="461"/>
      <c r="B52" s="462"/>
      <c r="C52" s="117" t="s">
        <v>823</v>
      </c>
      <c r="F52" s="436"/>
      <c r="G52" s="436"/>
      <c r="H52" s="436"/>
      <c r="I52" s="482">
        <f>I42</f>
        <v>2.3491886504442346E-2</v>
      </c>
      <c r="J52" s="439"/>
      <c r="K52" s="435"/>
      <c r="L52" s="435"/>
      <c r="M52" s="435"/>
      <c r="N52" s="435"/>
      <c r="O52" s="436"/>
      <c r="P52" s="436"/>
      <c r="Q52" s="439"/>
      <c r="R52" s="435"/>
      <c r="S52" s="435"/>
      <c r="T52" s="435"/>
      <c r="U52" s="436"/>
      <c r="V52" s="436"/>
      <c r="W52" s="436"/>
      <c r="X52" s="436"/>
      <c r="Y52" s="436"/>
      <c r="Z52" s="436"/>
      <c r="AA52" s="436"/>
      <c r="AB52" s="436"/>
      <c r="AC52" s="436"/>
      <c r="AD52" s="436"/>
      <c r="AE52" s="465"/>
      <c r="AF52" s="465"/>
      <c r="AG52" s="465"/>
      <c r="AH52" s="465"/>
      <c r="AI52" s="465"/>
      <c r="AJ52" s="465"/>
      <c r="AK52" s="465"/>
      <c r="AL52" s="465"/>
      <c r="AM52" s="465"/>
      <c r="AN52" s="465"/>
      <c r="AO52" s="465"/>
      <c r="AP52" s="465"/>
      <c r="AQ52" s="465"/>
      <c r="AR52" s="465"/>
      <c r="AS52" s="465"/>
      <c r="AT52" s="465"/>
      <c r="AU52" s="465"/>
      <c r="AV52" s="465"/>
      <c r="AW52" s="465"/>
      <c r="AX52" s="465"/>
      <c r="AY52" s="465"/>
      <c r="AZ52" s="465"/>
      <c r="BA52" s="465"/>
      <c r="BB52" s="465"/>
      <c r="BC52" s="465"/>
      <c r="BD52" s="465"/>
      <c r="BE52" s="465"/>
      <c r="BF52" s="465"/>
      <c r="BH52" s="462"/>
    </row>
    <row r="53" spans="1:60" x14ac:dyDescent="0.2">
      <c r="A53" s="461"/>
      <c r="B53" s="462"/>
      <c r="C53" s="462"/>
      <c r="E53" s="117" t="s">
        <v>525</v>
      </c>
      <c r="F53" s="436"/>
      <c r="G53" s="437">
        <v>3</v>
      </c>
      <c r="H53" s="442">
        <f>SUMIF(RefineriesData!$J$16:$J$270,$B$50&amp;RIGHT($E53,3),RefineriesData!$N$16:$N$270)</f>
        <v>0</v>
      </c>
      <c r="I53" s="442"/>
      <c r="J53" s="439"/>
      <c r="K53" s="435"/>
      <c r="L53" s="435"/>
      <c r="M53" s="435"/>
      <c r="N53" s="435"/>
      <c r="O53" s="436"/>
      <c r="P53" s="436"/>
      <c r="Q53" s="439"/>
      <c r="R53" s="435"/>
      <c r="S53" s="435"/>
      <c r="T53" s="435"/>
      <c r="U53" s="436"/>
      <c r="V53" s="436"/>
      <c r="W53" s="436"/>
      <c r="X53" s="436"/>
      <c r="Y53" s="436"/>
      <c r="Z53" s="436"/>
      <c r="AA53" s="436"/>
      <c r="AB53" s="436"/>
      <c r="AC53" s="436"/>
      <c r="AD53" s="436"/>
      <c r="AE53" s="465"/>
      <c r="AF53" s="465"/>
      <c r="AG53" s="465"/>
      <c r="AH53" s="465"/>
      <c r="AI53" s="465"/>
      <c r="AJ53" s="465"/>
      <c r="AK53" s="465"/>
      <c r="AL53" s="465"/>
      <c r="AM53" s="465"/>
      <c r="AN53" s="465"/>
      <c r="AO53" s="465"/>
      <c r="AP53" s="465"/>
      <c r="AQ53" s="465"/>
      <c r="AR53" s="465"/>
      <c r="AS53" s="465"/>
      <c r="AT53" s="465"/>
      <c r="AU53" s="465"/>
      <c r="AV53" s="465"/>
      <c r="AW53" s="465"/>
      <c r="AX53" s="465"/>
      <c r="AY53" s="465"/>
      <c r="AZ53" s="465"/>
      <c r="BA53" s="465"/>
      <c r="BB53" s="465"/>
      <c r="BC53" s="465"/>
      <c r="BD53" s="465"/>
      <c r="BE53" s="465"/>
      <c r="BF53" s="465"/>
      <c r="BH53" s="462"/>
    </row>
    <row r="54" spans="1:60" x14ac:dyDescent="0.2">
      <c r="A54" s="461"/>
      <c r="B54" s="462"/>
      <c r="C54" s="462"/>
      <c r="E54" s="117" t="s">
        <v>499</v>
      </c>
      <c r="F54" s="436"/>
      <c r="G54" s="437">
        <v>3</v>
      </c>
      <c r="H54" s="442">
        <f>SUMIF(RefineriesData!$J$16:$J$270,$B$50&amp;RIGHT($E54,3),RefineriesData!$N$16:$N$270)</f>
        <v>0.28767932115906897</v>
      </c>
      <c r="I54" s="442"/>
      <c r="J54" s="439"/>
      <c r="K54" s="435"/>
      <c r="L54" s="435"/>
      <c r="M54" s="435"/>
      <c r="N54" s="435"/>
      <c r="O54" s="436"/>
      <c r="P54" s="436"/>
      <c r="Q54" s="439"/>
      <c r="R54" s="435"/>
      <c r="S54" s="435"/>
      <c r="T54" s="435"/>
      <c r="U54" s="436"/>
      <c r="V54" s="436"/>
      <c r="W54" s="436"/>
      <c r="X54" s="436"/>
      <c r="Y54" s="436"/>
      <c r="Z54" s="436"/>
      <c r="AA54" s="436"/>
      <c r="AB54" s="436"/>
      <c r="AC54" s="436"/>
      <c r="AD54" s="436"/>
      <c r="AE54" s="465"/>
      <c r="AF54" s="465"/>
      <c r="AG54" s="465"/>
      <c r="AH54" s="465"/>
      <c r="AI54" s="465"/>
      <c r="AJ54" s="465"/>
      <c r="AK54" s="465"/>
      <c r="AL54" s="465"/>
      <c r="AM54" s="465"/>
      <c r="AN54" s="465"/>
      <c r="AO54" s="465"/>
      <c r="AP54" s="465"/>
      <c r="AQ54" s="465"/>
      <c r="AR54" s="465"/>
      <c r="AS54" s="465"/>
      <c r="AT54" s="465"/>
      <c r="AU54" s="465"/>
      <c r="AV54" s="465"/>
      <c r="AW54" s="465"/>
      <c r="AX54" s="465"/>
      <c r="AY54" s="465"/>
      <c r="AZ54" s="465"/>
      <c r="BA54" s="465"/>
      <c r="BB54" s="465"/>
      <c r="BC54" s="465"/>
      <c r="BD54" s="465"/>
      <c r="BE54" s="465"/>
      <c r="BF54" s="465"/>
      <c r="BH54" s="462"/>
    </row>
    <row r="55" spans="1:60" x14ac:dyDescent="0.2">
      <c r="A55" s="461"/>
      <c r="B55" s="462"/>
      <c r="C55" s="462"/>
      <c r="E55" s="117" t="s">
        <v>497</v>
      </c>
      <c r="F55" s="436"/>
      <c r="G55" s="437">
        <v>3</v>
      </c>
      <c r="H55" s="442">
        <f>SUMIF(RefineriesData!$J$16:$J$270,$B$50&amp;RIGHT($E55,3),RefineriesData!$N$16:$N$270)</f>
        <v>0.49809089633534509</v>
      </c>
      <c r="I55" s="442"/>
      <c r="J55" s="439"/>
      <c r="K55" s="435"/>
      <c r="L55" s="435"/>
      <c r="M55" s="435"/>
      <c r="N55" s="435"/>
      <c r="O55" s="436"/>
      <c r="P55" s="436"/>
      <c r="Q55" s="439"/>
      <c r="R55" s="435"/>
      <c r="S55" s="435"/>
      <c r="T55" s="435"/>
      <c r="U55" s="436"/>
      <c r="V55" s="436"/>
      <c r="W55" s="436"/>
      <c r="X55" s="436"/>
      <c r="Y55" s="436"/>
      <c r="Z55" s="436"/>
      <c r="AA55" s="436"/>
      <c r="AB55" s="436"/>
      <c r="AC55" s="436"/>
      <c r="AD55" s="436"/>
      <c r="AE55" s="465"/>
      <c r="AF55" s="465"/>
      <c r="AG55" s="465"/>
      <c r="AH55" s="465"/>
      <c r="AI55" s="465"/>
      <c r="AJ55" s="465"/>
      <c r="AK55" s="465"/>
      <c r="AL55" s="465"/>
      <c r="AM55" s="465"/>
      <c r="AN55" s="465"/>
      <c r="AO55" s="465"/>
      <c r="AP55" s="465"/>
      <c r="AQ55" s="465"/>
      <c r="AR55" s="465"/>
      <c r="AS55" s="465"/>
      <c r="AT55" s="465"/>
      <c r="AU55" s="465"/>
      <c r="AV55" s="465"/>
      <c r="AW55" s="465"/>
      <c r="AX55" s="465"/>
      <c r="AY55" s="465"/>
      <c r="AZ55" s="465"/>
      <c r="BA55" s="465"/>
      <c r="BB55" s="465"/>
      <c r="BC55" s="465"/>
      <c r="BD55" s="465"/>
      <c r="BE55" s="465"/>
      <c r="BF55" s="465"/>
      <c r="BH55" s="462"/>
    </row>
    <row r="56" spans="1:60" x14ac:dyDescent="0.2">
      <c r="A56" s="461"/>
      <c r="B56" s="462"/>
      <c r="C56" s="462"/>
      <c r="E56" s="117" t="s">
        <v>490</v>
      </c>
      <c r="F56" s="436"/>
      <c r="G56" s="437">
        <v>3</v>
      </c>
      <c r="H56" s="442">
        <f>SUMIF(RefineriesData!$J$16:$J$270,$B$50&amp;RIGHT($E56,3),RefineriesData!$N$16:$N$270)</f>
        <v>0.12259168661288511</v>
      </c>
      <c r="I56" s="442"/>
      <c r="J56" s="439"/>
      <c r="K56" s="435"/>
      <c r="L56" s="435"/>
      <c r="M56" s="435"/>
      <c r="N56" s="435"/>
      <c r="O56" s="436"/>
      <c r="P56" s="436"/>
      <c r="Q56" s="439"/>
      <c r="R56" s="435"/>
      <c r="S56" s="435"/>
      <c r="T56" s="435"/>
      <c r="U56" s="436"/>
      <c r="V56" s="436"/>
      <c r="W56" s="436"/>
      <c r="X56" s="436"/>
      <c r="Y56" s="436"/>
      <c r="Z56" s="436"/>
      <c r="AA56" s="436"/>
      <c r="AB56" s="436"/>
      <c r="AC56" s="436"/>
      <c r="AD56" s="436"/>
      <c r="AE56" s="465"/>
      <c r="AF56" s="465"/>
      <c r="AG56" s="465"/>
      <c r="AH56" s="465"/>
      <c r="AI56" s="465"/>
      <c r="AJ56" s="465"/>
      <c r="AK56" s="465"/>
      <c r="AL56" s="465"/>
      <c r="AM56" s="465"/>
      <c r="AN56" s="465"/>
      <c r="AO56" s="465"/>
      <c r="AP56" s="465"/>
      <c r="AQ56" s="465"/>
      <c r="AR56" s="465"/>
      <c r="AS56" s="465"/>
      <c r="AT56" s="465"/>
      <c r="AU56" s="465"/>
      <c r="AV56" s="465"/>
      <c r="AW56" s="465"/>
      <c r="AX56" s="465"/>
      <c r="AY56" s="465"/>
      <c r="AZ56" s="465"/>
      <c r="BA56" s="465"/>
      <c r="BB56" s="465"/>
      <c r="BC56" s="465"/>
      <c r="BD56" s="465"/>
      <c r="BE56" s="465"/>
      <c r="BF56" s="465"/>
      <c r="BH56" s="462"/>
    </row>
    <row r="57" spans="1:60" x14ac:dyDescent="0.2">
      <c r="A57" s="461"/>
      <c r="B57" s="462"/>
      <c r="C57" s="462"/>
      <c r="E57" s="117" t="s">
        <v>487</v>
      </c>
      <c r="F57" s="436"/>
      <c r="G57" s="437">
        <v>3</v>
      </c>
      <c r="H57" s="442">
        <f>SUMIF(RefineriesData!$J$16:$J$270,$B$50&amp;RIGHT($E57,3),RefineriesData!$N$16:$N$270)</f>
        <v>3.6696142945579213E-2</v>
      </c>
      <c r="I57" s="442"/>
      <c r="J57" s="439"/>
      <c r="K57" s="435"/>
      <c r="L57" s="435"/>
      <c r="M57" s="435"/>
      <c r="N57" s="435"/>
      <c r="O57" s="436"/>
      <c r="P57" s="436"/>
      <c r="Q57" s="439"/>
      <c r="R57" s="435"/>
      <c r="S57" s="435"/>
      <c r="T57" s="435"/>
      <c r="U57" s="436"/>
      <c r="V57" s="436"/>
      <c r="W57" s="436"/>
      <c r="X57" s="436"/>
      <c r="Y57" s="436"/>
      <c r="Z57" s="436"/>
      <c r="AA57" s="436"/>
      <c r="AB57" s="436"/>
      <c r="AC57" s="436"/>
      <c r="AD57" s="436"/>
      <c r="AE57" s="465"/>
      <c r="AF57" s="465"/>
      <c r="AG57" s="465"/>
      <c r="AH57" s="465"/>
      <c r="AI57" s="465"/>
      <c r="AJ57" s="465"/>
      <c r="AK57" s="465"/>
      <c r="AL57" s="465"/>
      <c r="AM57" s="465"/>
      <c r="AN57" s="465"/>
      <c r="AO57" s="465"/>
      <c r="AP57" s="465"/>
      <c r="AQ57" s="465"/>
      <c r="AR57" s="465"/>
      <c r="AS57" s="465"/>
      <c r="AT57" s="465"/>
      <c r="AU57" s="465"/>
      <c r="AV57" s="465"/>
      <c r="AW57" s="465"/>
      <c r="AX57" s="465"/>
      <c r="AY57" s="465"/>
      <c r="AZ57" s="465"/>
      <c r="BA57" s="465"/>
      <c r="BB57" s="465"/>
      <c r="BC57" s="465"/>
      <c r="BD57" s="465"/>
      <c r="BE57" s="465"/>
      <c r="BF57" s="465"/>
      <c r="BH57" s="462"/>
    </row>
    <row r="58" spans="1:60" x14ac:dyDescent="0.2">
      <c r="A58" s="461"/>
      <c r="B58" s="462"/>
      <c r="C58" s="462"/>
      <c r="E58" s="117" t="s">
        <v>485</v>
      </c>
      <c r="F58" s="436"/>
      <c r="G58" s="437">
        <v>3</v>
      </c>
      <c r="H58" s="442">
        <f>SUMIF(RefineriesData!$J$16:$J$270,$B$50&amp;RIGHT($E58,3),RefineriesData!$N$16:$N$270)</f>
        <v>5.4941952947121613E-2</v>
      </c>
      <c r="I58" s="442"/>
      <c r="J58" s="439"/>
      <c r="K58" s="435"/>
      <c r="L58" s="435"/>
      <c r="M58" s="435"/>
      <c r="N58" s="435"/>
      <c r="O58" s="436"/>
      <c r="P58" s="436"/>
      <c r="Q58" s="439"/>
      <c r="R58" s="435"/>
      <c r="S58" s="435"/>
      <c r="T58" s="435"/>
      <c r="U58" s="436"/>
      <c r="V58" s="436"/>
      <c r="W58" s="436"/>
      <c r="X58" s="436"/>
      <c r="Y58" s="436"/>
      <c r="Z58" s="436"/>
      <c r="AA58" s="436"/>
      <c r="AB58" s="436"/>
      <c r="AC58" s="436"/>
      <c r="AD58" s="436"/>
      <c r="AE58" s="465"/>
      <c r="AF58" s="465"/>
      <c r="AG58" s="465"/>
      <c r="AH58" s="465"/>
      <c r="AI58" s="465"/>
      <c r="AJ58" s="465"/>
      <c r="AK58" s="465"/>
      <c r="AL58" s="465"/>
      <c r="AM58" s="465"/>
      <c r="AN58" s="465"/>
      <c r="AO58" s="465"/>
      <c r="AP58" s="465"/>
      <c r="AQ58" s="465"/>
      <c r="AR58" s="465"/>
      <c r="AS58" s="465"/>
      <c r="AT58" s="465"/>
      <c r="AU58" s="465"/>
      <c r="AV58" s="465"/>
      <c r="AW58" s="465"/>
      <c r="AX58" s="465"/>
      <c r="AY58" s="465"/>
      <c r="AZ58" s="465"/>
      <c r="BA58" s="465"/>
      <c r="BB58" s="465"/>
      <c r="BC58" s="465"/>
      <c r="BD58" s="465"/>
      <c r="BE58" s="465"/>
      <c r="BF58" s="465"/>
      <c r="BH58" s="462"/>
    </row>
    <row r="59" spans="1:60" x14ac:dyDescent="0.2">
      <c r="A59" s="461" t="s">
        <v>799</v>
      </c>
      <c r="B59" s="462"/>
      <c r="C59" s="462"/>
      <c r="F59" s="436"/>
      <c r="G59" s="436"/>
      <c r="H59" s="436"/>
      <c r="I59" s="436"/>
      <c r="J59" s="439"/>
      <c r="K59" s="435"/>
      <c r="L59" s="435"/>
      <c r="M59" s="435"/>
      <c r="N59" s="435"/>
      <c r="O59" s="436"/>
      <c r="P59" s="436"/>
      <c r="Q59" s="439"/>
      <c r="R59" s="435"/>
      <c r="S59" s="435"/>
      <c r="T59" s="435"/>
      <c r="U59" s="436"/>
      <c r="V59" s="436"/>
      <c r="W59" s="436"/>
      <c r="X59" s="436"/>
      <c r="Y59" s="436"/>
      <c r="Z59" s="436"/>
      <c r="AA59" s="436"/>
      <c r="AB59" s="436"/>
      <c r="AC59" s="436"/>
      <c r="AD59" s="436"/>
      <c r="AE59" s="465"/>
      <c r="AF59" s="465"/>
      <c r="AG59" s="465"/>
      <c r="AH59" s="465"/>
      <c r="AI59" s="465"/>
      <c r="AJ59" s="465"/>
      <c r="AK59" s="465"/>
      <c r="AL59" s="465"/>
      <c r="AM59" s="465"/>
      <c r="AN59" s="465"/>
      <c r="AO59" s="465"/>
      <c r="AP59" s="465"/>
      <c r="AQ59" s="465"/>
      <c r="AR59" s="465"/>
      <c r="AS59" s="465"/>
      <c r="AT59" s="465"/>
      <c r="AU59" s="465"/>
      <c r="AV59" s="465"/>
      <c r="AW59" s="465"/>
      <c r="AX59" s="465"/>
      <c r="AY59" s="465"/>
      <c r="AZ59" s="465"/>
      <c r="BA59" s="465"/>
      <c r="BB59" s="465"/>
      <c r="BC59" s="465"/>
      <c r="BD59" s="465"/>
      <c r="BE59" s="465"/>
      <c r="BF59" s="465"/>
      <c r="BH59" s="462"/>
    </row>
    <row r="60" spans="1:60" ht="15" x14ac:dyDescent="0.25">
      <c r="A60" s="461" t="s">
        <v>830</v>
      </c>
      <c r="B60" s="462" t="s">
        <v>831</v>
      </c>
      <c r="C60" s="462"/>
      <c r="D60" s="117" t="s">
        <v>822</v>
      </c>
      <c r="F60" s="435">
        <f>F50</f>
        <v>1.3713233510214249</v>
      </c>
      <c r="G60" s="436"/>
      <c r="H60" s="436"/>
      <c r="I60" s="482"/>
      <c r="J60" s="440">
        <f>J50</f>
        <v>55.422377929572328</v>
      </c>
      <c r="M60" s="466">
        <f>M40</f>
        <v>6.4894696089818042</v>
      </c>
      <c r="N60" s="467">
        <f>N40</f>
        <v>4.4999999999999997E-3</v>
      </c>
      <c r="O60" s="439">
        <f>O50</f>
        <v>2030</v>
      </c>
      <c r="P60" s="435">
        <f>P50</f>
        <v>50</v>
      </c>
      <c r="Q60" s="441">
        <f>Q50</f>
        <v>202.08505199999999</v>
      </c>
      <c r="R60" s="435">
        <v>-6</v>
      </c>
      <c r="S60" s="435" t="str">
        <f>""</f>
        <v/>
      </c>
      <c r="T60" s="435" t="str">
        <f>""</f>
        <v/>
      </c>
      <c r="U60" s="435"/>
      <c r="V60" s="435"/>
      <c r="W60" s="435"/>
      <c r="X60" s="435"/>
      <c r="Y60" s="435"/>
      <c r="Z60" s="435"/>
      <c r="AA60" s="435"/>
      <c r="AB60" s="435"/>
      <c r="AC60" s="435"/>
      <c r="AD60" s="435"/>
      <c r="AE60" s="465"/>
      <c r="AF60" s="465"/>
      <c r="AG60" s="465"/>
      <c r="AH60" s="465"/>
      <c r="AI60" s="465"/>
      <c r="AJ60" s="465"/>
      <c r="AK60" s="465"/>
      <c r="AL60" s="465"/>
      <c r="AM60" s="465"/>
      <c r="AN60" s="465"/>
      <c r="AO60" s="465"/>
      <c r="AP60" s="465"/>
      <c r="AQ60" s="465"/>
      <c r="AR60" s="465"/>
      <c r="AS60" s="465"/>
      <c r="AT60" s="465"/>
      <c r="AU60" s="465"/>
      <c r="AV60" s="465"/>
      <c r="AW60" s="465"/>
      <c r="AX60" s="465"/>
      <c r="AY60" s="465"/>
      <c r="AZ60" s="465"/>
      <c r="BA60" s="465"/>
      <c r="BB60" s="465"/>
      <c r="BC60" s="465"/>
      <c r="BD60" s="465"/>
      <c r="BE60" s="465"/>
      <c r="BF60" s="465"/>
      <c r="BH60" s="462"/>
    </row>
    <row r="61" spans="1:60" x14ac:dyDescent="0.2">
      <c r="A61" s="461"/>
      <c r="B61" s="462"/>
      <c r="C61" s="117" t="s">
        <v>821</v>
      </c>
      <c r="F61" s="435"/>
      <c r="G61" s="436"/>
      <c r="H61" s="436"/>
      <c r="I61" s="482">
        <f>I51</f>
        <v>0.24339802736239258</v>
      </c>
      <c r="J61" s="435"/>
      <c r="K61" s="435"/>
      <c r="L61" s="435"/>
      <c r="M61" s="435"/>
      <c r="N61" s="435"/>
      <c r="O61" s="436"/>
      <c r="P61" s="436"/>
      <c r="Q61" s="439"/>
      <c r="R61" s="435"/>
      <c r="S61" s="435"/>
      <c r="T61" s="435"/>
      <c r="U61" s="435"/>
      <c r="V61" s="435"/>
      <c r="W61" s="435"/>
      <c r="X61" s="435"/>
      <c r="Y61" s="435"/>
      <c r="Z61" s="435"/>
      <c r="AA61" s="435"/>
      <c r="AB61" s="435"/>
      <c r="AC61" s="435"/>
      <c r="AD61" s="435"/>
      <c r="AE61" s="465"/>
      <c r="AF61" s="465"/>
      <c r="AG61" s="465"/>
      <c r="AH61" s="465"/>
      <c r="AI61" s="465"/>
      <c r="AJ61" s="465"/>
      <c r="AK61" s="465"/>
      <c r="AL61" s="465"/>
      <c r="AM61" s="465"/>
      <c r="AN61" s="465"/>
      <c r="AO61" s="465"/>
      <c r="AP61" s="465"/>
      <c r="AQ61" s="465"/>
      <c r="AR61" s="465"/>
      <c r="AS61" s="465"/>
      <c r="AT61" s="465"/>
      <c r="AU61" s="465"/>
      <c r="AV61" s="465"/>
      <c r="AW61" s="465"/>
      <c r="AX61" s="465"/>
      <c r="AY61" s="465"/>
      <c r="AZ61" s="465"/>
      <c r="BA61" s="465"/>
      <c r="BB61" s="465"/>
      <c r="BC61" s="465"/>
      <c r="BD61" s="465"/>
      <c r="BE61" s="465"/>
      <c r="BF61" s="465"/>
      <c r="BH61" s="462"/>
    </row>
    <row r="62" spans="1:60" x14ac:dyDescent="0.2">
      <c r="A62" s="461"/>
      <c r="B62" s="462"/>
      <c r="C62" s="117" t="s">
        <v>823</v>
      </c>
      <c r="F62" s="436"/>
      <c r="G62" s="436"/>
      <c r="H62" s="436"/>
      <c r="I62" s="482">
        <f>I52</f>
        <v>2.3491886504442346E-2</v>
      </c>
      <c r="J62" s="435"/>
      <c r="K62" s="435"/>
      <c r="L62" s="435"/>
      <c r="M62" s="435"/>
      <c r="N62" s="435"/>
      <c r="O62" s="436"/>
      <c r="P62" s="436"/>
      <c r="Q62" s="439"/>
      <c r="R62" s="435"/>
      <c r="S62" s="435"/>
      <c r="T62" s="435"/>
      <c r="U62" s="436"/>
      <c r="V62" s="436"/>
      <c r="W62" s="436"/>
      <c r="X62" s="436"/>
      <c r="Y62" s="436"/>
      <c r="Z62" s="436"/>
      <c r="AA62" s="436"/>
      <c r="AB62" s="436"/>
      <c r="AC62" s="436"/>
      <c r="AD62" s="436"/>
      <c r="AE62" s="465"/>
      <c r="AF62" s="465"/>
      <c r="AG62" s="465"/>
      <c r="AH62" s="465"/>
      <c r="AI62" s="465"/>
      <c r="AJ62" s="465"/>
      <c r="AK62" s="465"/>
      <c r="AL62" s="465"/>
      <c r="AM62" s="465"/>
      <c r="AN62" s="465"/>
      <c r="AO62" s="465"/>
      <c r="AP62" s="465"/>
      <c r="AQ62" s="465"/>
      <c r="AR62" s="465"/>
      <c r="AS62" s="465"/>
      <c r="AT62" s="465"/>
      <c r="AU62" s="465"/>
      <c r="AV62" s="465"/>
      <c r="AW62" s="465"/>
      <c r="AX62" s="465"/>
      <c r="AY62" s="465"/>
      <c r="AZ62" s="465"/>
      <c r="BA62" s="465"/>
      <c r="BB62" s="465"/>
      <c r="BC62" s="465"/>
      <c r="BD62" s="465"/>
      <c r="BE62" s="465"/>
      <c r="BF62" s="465"/>
      <c r="BH62" s="462"/>
    </row>
    <row r="63" spans="1:60" x14ac:dyDescent="0.2">
      <c r="A63" s="461"/>
      <c r="B63" s="462"/>
      <c r="C63" s="462"/>
      <c r="E63" s="117" t="s">
        <v>525</v>
      </c>
      <c r="F63" s="436"/>
      <c r="G63" s="437">
        <v>3</v>
      </c>
      <c r="H63" s="442">
        <f>SUMIF(RefineriesData!$J$16:$J$270,$B$50&amp;RIGHT($E63,3),RefineriesData!$N$16:$N$270)</f>
        <v>0</v>
      </c>
      <c r="I63" s="442"/>
      <c r="J63" s="435"/>
      <c r="K63" s="435"/>
      <c r="L63" s="435"/>
      <c r="M63" s="435"/>
      <c r="N63" s="435"/>
      <c r="O63" s="436"/>
      <c r="P63" s="436"/>
      <c r="Q63" s="439"/>
      <c r="R63" s="435"/>
      <c r="S63" s="435"/>
      <c r="T63" s="435"/>
      <c r="U63" s="436"/>
      <c r="V63" s="436"/>
      <c r="W63" s="436"/>
      <c r="X63" s="436"/>
      <c r="Y63" s="436"/>
      <c r="Z63" s="436"/>
      <c r="AA63" s="436"/>
      <c r="AB63" s="436"/>
      <c r="AC63" s="436"/>
      <c r="AD63" s="436"/>
      <c r="AE63" s="465"/>
      <c r="AF63" s="465"/>
      <c r="AG63" s="465"/>
      <c r="AH63" s="465"/>
      <c r="AI63" s="465"/>
      <c r="AJ63" s="465"/>
      <c r="AK63" s="465"/>
      <c r="AL63" s="465"/>
      <c r="AM63" s="465"/>
      <c r="AN63" s="465"/>
      <c r="AO63" s="465"/>
      <c r="AP63" s="465"/>
      <c r="AQ63" s="465"/>
      <c r="AR63" s="465"/>
      <c r="AS63" s="465"/>
      <c r="AT63" s="465"/>
      <c r="AU63" s="465"/>
      <c r="AV63" s="465"/>
      <c r="AW63" s="465"/>
      <c r="AX63" s="465"/>
      <c r="AY63" s="465"/>
      <c r="AZ63" s="465"/>
      <c r="BA63" s="465"/>
      <c r="BB63" s="465"/>
      <c r="BC63" s="465"/>
      <c r="BD63" s="465"/>
      <c r="BE63" s="465"/>
      <c r="BF63" s="465"/>
      <c r="BH63" s="462"/>
    </row>
    <row r="64" spans="1:60" x14ac:dyDescent="0.2">
      <c r="A64" s="461"/>
      <c r="B64" s="462"/>
      <c r="C64" s="462"/>
      <c r="E64" s="117" t="s">
        <v>499</v>
      </c>
      <c r="F64" s="436"/>
      <c r="G64" s="437">
        <v>3</v>
      </c>
      <c r="H64" s="442">
        <f>SUMIF(RefineriesData!$J$16:$J$270,$B$50&amp;RIGHT($E64,3),RefineriesData!$N$16:$N$270)</f>
        <v>0.28767932115906897</v>
      </c>
      <c r="I64" s="442"/>
      <c r="J64" s="435"/>
      <c r="K64" s="435"/>
      <c r="L64" s="435"/>
      <c r="M64" s="435"/>
      <c r="N64" s="435"/>
      <c r="O64" s="436"/>
      <c r="P64" s="436"/>
      <c r="Q64" s="439"/>
      <c r="R64" s="435"/>
      <c r="S64" s="435"/>
      <c r="T64" s="435"/>
      <c r="U64" s="436"/>
      <c r="V64" s="436"/>
      <c r="W64" s="436"/>
      <c r="X64" s="436"/>
      <c r="Y64" s="436"/>
      <c r="Z64" s="436"/>
      <c r="AA64" s="436"/>
      <c r="AB64" s="436"/>
      <c r="AC64" s="436"/>
      <c r="AD64" s="436"/>
      <c r="AE64" s="465"/>
      <c r="AF64" s="465"/>
      <c r="AG64" s="465"/>
      <c r="AH64" s="465"/>
      <c r="AI64" s="465"/>
      <c r="AJ64" s="465"/>
      <c r="AK64" s="465"/>
      <c r="AL64" s="465"/>
      <c r="AM64" s="465"/>
      <c r="AN64" s="465"/>
      <c r="AO64" s="465"/>
      <c r="AP64" s="465"/>
      <c r="AQ64" s="465"/>
      <c r="AR64" s="465"/>
      <c r="AS64" s="465"/>
      <c r="AT64" s="465"/>
      <c r="AU64" s="465"/>
      <c r="AV64" s="465"/>
      <c r="AW64" s="465"/>
      <c r="AX64" s="465"/>
      <c r="AY64" s="465"/>
      <c r="AZ64" s="465"/>
      <c r="BA64" s="465"/>
      <c r="BB64" s="465"/>
      <c r="BC64" s="465"/>
      <c r="BD64" s="465"/>
      <c r="BE64" s="465"/>
      <c r="BF64" s="465"/>
      <c r="BH64" s="462"/>
    </row>
    <row r="65" spans="1:60" x14ac:dyDescent="0.2">
      <c r="A65" s="461"/>
      <c r="B65" s="462"/>
      <c r="C65" s="462"/>
      <c r="E65" s="117" t="s">
        <v>497</v>
      </c>
      <c r="F65" s="436"/>
      <c r="G65" s="437">
        <v>3</v>
      </c>
      <c r="H65" s="442">
        <f>SUMIF(RefineriesData!$J$16:$J$270,$B$50&amp;RIGHT($E65,3),RefineriesData!$N$16:$N$270)</f>
        <v>0.49809089633534509</v>
      </c>
      <c r="I65" s="442"/>
      <c r="J65" s="435"/>
      <c r="K65" s="435"/>
      <c r="L65" s="435"/>
      <c r="M65" s="435"/>
      <c r="N65" s="435"/>
      <c r="O65" s="436"/>
      <c r="P65" s="436"/>
      <c r="Q65" s="439"/>
      <c r="R65" s="435"/>
      <c r="S65" s="435"/>
      <c r="T65" s="435"/>
      <c r="U65" s="436"/>
      <c r="V65" s="436"/>
      <c r="W65" s="436"/>
      <c r="X65" s="436"/>
      <c r="Y65" s="436"/>
      <c r="Z65" s="436"/>
      <c r="AA65" s="436"/>
      <c r="AB65" s="436"/>
      <c r="AC65" s="436"/>
      <c r="AD65" s="436"/>
      <c r="AE65" s="465"/>
      <c r="AF65" s="465"/>
      <c r="AG65" s="465"/>
      <c r="AH65" s="465"/>
      <c r="AI65" s="465"/>
      <c r="AJ65" s="465"/>
      <c r="AK65" s="465"/>
      <c r="AL65" s="465"/>
      <c r="AM65" s="465"/>
      <c r="AN65" s="465"/>
      <c r="AO65" s="465"/>
      <c r="AP65" s="465"/>
      <c r="AQ65" s="465"/>
      <c r="AR65" s="465"/>
      <c r="AS65" s="465"/>
      <c r="AT65" s="465"/>
      <c r="AU65" s="465"/>
      <c r="AV65" s="465"/>
      <c r="AW65" s="465"/>
      <c r="AX65" s="465"/>
      <c r="AY65" s="465"/>
      <c r="AZ65" s="465"/>
      <c r="BA65" s="465"/>
      <c r="BB65" s="465"/>
      <c r="BC65" s="465"/>
      <c r="BD65" s="465"/>
      <c r="BE65" s="465"/>
      <c r="BF65" s="465"/>
      <c r="BH65" s="462"/>
    </row>
    <row r="66" spans="1:60" x14ac:dyDescent="0.2">
      <c r="A66" s="461"/>
      <c r="B66" s="462"/>
      <c r="C66" s="462"/>
      <c r="E66" s="117" t="s">
        <v>490</v>
      </c>
      <c r="F66" s="436"/>
      <c r="G66" s="437">
        <v>3</v>
      </c>
      <c r="H66" s="442">
        <f>SUMIF(RefineriesData!$J$16:$J$270,$B$50&amp;RIGHT($E66,3),RefineriesData!$N$16:$N$270)</f>
        <v>0.12259168661288511</v>
      </c>
      <c r="I66" s="442"/>
      <c r="J66" s="435"/>
      <c r="K66" s="435"/>
      <c r="L66" s="435"/>
      <c r="M66" s="435"/>
      <c r="N66" s="435"/>
      <c r="O66" s="436"/>
      <c r="P66" s="436"/>
      <c r="Q66" s="439"/>
      <c r="R66" s="435"/>
      <c r="S66" s="435"/>
      <c r="T66" s="435"/>
      <c r="U66" s="436"/>
      <c r="V66" s="436"/>
      <c r="W66" s="436"/>
      <c r="X66" s="436"/>
      <c r="Y66" s="436"/>
      <c r="Z66" s="436"/>
      <c r="AA66" s="436"/>
      <c r="AB66" s="436"/>
      <c r="AC66" s="436"/>
      <c r="AD66" s="436"/>
      <c r="AE66" s="465"/>
      <c r="AF66" s="465"/>
      <c r="AG66" s="465"/>
      <c r="AH66" s="465"/>
      <c r="AI66" s="465"/>
      <c r="AJ66" s="465"/>
      <c r="AK66" s="465"/>
      <c r="AL66" s="465"/>
      <c r="AM66" s="465"/>
      <c r="AN66" s="465"/>
      <c r="AO66" s="465"/>
      <c r="AP66" s="465"/>
      <c r="AQ66" s="465"/>
      <c r="AR66" s="465"/>
      <c r="AS66" s="465"/>
      <c r="AT66" s="465"/>
      <c r="AU66" s="465"/>
      <c r="AV66" s="465"/>
      <c r="AW66" s="465"/>
      <c r="AX66" s="465"/>
      <c r="AY66" s="465"/>
      <c r="AZ66" s="465"/>
      <c r="BA66" s="465"/>
      <c r="BB66" s="465"/>
      <c r="BC66" s="465"/>
      <c r="BD66" s="465"/>
      <c r="BE66" s="465"/>
      <c r="BF66" s="465"/>
      <c r="BH66" s="462"/>
    </row>
    <row r="67" spans="1:60" x14ac:dyDescent="0.2">
      <c r="A67" s="461"/>
      <c r="B67" s="462"/>
      <c r="C67" s="462"/>
      <c r="E67" s="117" t="s">
        <v>487</v>
      </c>
      <c r="F67" s="436"/>
      <c r="G67" s="437">
        <v>3</v>
      </c>
      <c r="H67" s="442">
        <f>SUMIF(RefineriesData!$J$16:$J$270,$B$50&amp;RIGHT($E67,3),RefineriesData!$N$16:$N$270)</f>
        <v>3.6696142945579213E-2</v>
      </c>
      <c r="I67" s="442"/>
      <c r="J67" s="435"/>
      <c r="K67" s="435"/>
      <c r="L67" s="435"/>
      <c r="M67" s="435"/>
      <c r="N67" s="435"/>
      <c r="O67" s="436"/>
      <c r="P67" s="436"/>
      <c r="Q67" s="439"/>
      <c r="R67" s="435"/>
      <c r="S67" s="435"/>
      <c r="T67" s="435"/>
      <c r="U67" s="436"/>
      <c r="V67" s="436"/>
      <c r="W67" s="436"/>
      <c r="X67" s="436"/>
      <c r="Y67" s="436"/>
      <c r="Z67" s="436"/>
      <c r="AA67" s="436"/>
      <c r="AB67" s="436"/>
      <c r="AC67" s="436"/>
      <c r="AD67" s="436"/>
      <c r="AE67" s="465"/>
      <c r="AF67" s="465"/>
      <c r="AG67" s="465"/>
      <c r="AH67" s="465"/>
      <c r="AI67" s="465"/>
      <c r="AJ67" s="465"/>
      <c r="AK67" s="465"/>
      <c r="AL67" s="465"/>
      <c r="AM67" s="465"/>
      <c r="AN67" s="465"/>
      <c r="AO67" s="465"/>
      <c r="AP67" s="465"/>
      <c r="AQ67" s="465"/>
      <c r="AR67" s="465"/>
      <c r="AS67" s="465"/>
      <c r="AT67" s="465"/>
      <c r="AU67" s="465"/>
      <c r="AV67" s="465"/>
      <c r="AW67" s="465"/>
      <c r="AX67" s="465"/>
      <c r="AY67" s="465"/>
      <c r="AZ67" s="465"/>
      <c r="BA67" s="465"/>
      <c r="BB67" s="465"/>
      <c r="BC67" s="465"/>
      <c r="BD67" s="465"/>
      <c r="BE67" s="465"/>
      <c r="BF67" s="465"/>
      <c r="BH67" s="462"/>
    </row>
    <row r="68" spans="1:60" x14ac:dyDescent="0.2">
      <c r="A68" s="461"/>
      <c r="B68" s="462"/>
      <c r="C68" s="462"/>
      <c r="E68" s="117" t="s">
        <v>485</v>
      </c>
      <c r="F68" s="436"/>
      <c r="G68" s="437">
        <v>3</v>
      </c>
      <c r="H68" s="442">
        <f>SUMIF(RefineriesData!$J$16:$J$270,$B$50&amp;RIGHT($E68,3),RefineriesData!$N$16:$N$270)</f>
        <v>5.4941952947121613E-2</v>
      </c>
      <c r="I68" s="442"/>
      <c r="J68" s="435"/>
      <c r="K68" s="435"/>
      <c r="L68" s="435"/>
      <c r="M68" s="435"/>
      <c r="N68" s="435"/>
      <c r="O68" s="436"/>
      <c r="P68" s="436"/>
      <c r="Q68" s="439"/>
      <c r="R68" s="435"/>
      <c r="S68" s="435"/>
      <c r="T68" s="435"/>
      <c r="U68" s="436"/>
      <c r="V68" s="436"/>
      <c r="W68" s="436"/>
      <c r="X68" s="436"/>
      <c r="Y68" s="436"/>
      <c r="Z68" s="436"/>
      <c r="AA68" s="436"/>
      <c r="AB68" s="436"/>
      <c r="AC68" s="436"/>
      <c r="AD68" s="436"/>
      <c r="AE68" s="465"/>
      <c r="AF68" s="465"/>
      <c r="AG68" s="465"/>
      <c r="AH68" s="465"/>
      <c r="AI68" s="465"/>
      <c r="AJ68" s="465"/>
      <c r="AK68" s="465"/>
      <c r="AL68" s="465"/>
      <c r="AM68" s="465"/>
      <c r="AN68" s="465"/>
      <c r="AO68" s="465"/>
      <c r="AP68" s="465"/>
      <c r="AQ68" s="465"/>
      <c r="AR68" s="465"/>
      <c r="AS68" s="465"/>
      <c r="AT68" s="465"/>
      <c r="AU68" s="465"/>
      <c r="AV68" s="465"/>
      <c r="AW68" s="465"/>
      <c r="AX68" s="465"/>
      <c r="AY68" s="465"/>
      <c r="AZ68" s="465"/>
      <c r="BA68" s="465"/>
      <c r="BB68" s="465"/>
      <c r="BC68" s="465"/>
      <c r="BD68" s="465"/>
      <c r="BE68" s="465"/>
      <c r="BF68" s="465"/>
      <c r="BH68" s="462"/>
    </row>
    <row r="69" spans="1:60" x14ac:dyDescent="0.2">
      <c r="A69" s="461" t="s">
        <v>799</v>
      </c>
      <c r="B69" s="462"/>
      <c r="C69" s="462"/>
      <c r="F69" s="436"/>
      <c r="G69" s="436"/>
      <c r="H69" s="436"/>
      <c r="I69" s="436"/>
      <c r="J69" s="435"/>
      <c r="K69" s="435"/>
      <c r="L69" s="435"/>
      <c r="M69" s="435"/>
      <c r="N69" s="435"/>
      <c r="O69" s="436"/>
      <c r="P69" s="436"/>
      <c r="Q69" s="439"/>
      <c r="R69" s="435"/>
      <c r="S69" s="435"/>
      <c r="T69" s="435"/>
      <c r="U69" s="436"/>
      <c r="V69" s="436"/>
      <c r="W69" s="436"/>
      <c r="X69" s="436"/>
      <c r="Y69" s="436"/>
      <c r="Z69" s="436"/>
      <c r="AA69" s="436"/>
      <c r="AB69" s="436"/>
      <c r="AC69" s="436"/>
      <c r="AD69" s="436"/>
      <c r="AE69" s="465"/>
      <c r="AF69" s="465"/>
      <c r="AG69" s="465"/>
      <c r="AH69" s="465"/>
      <c r="AI69" s="465"/>
      <c r="AJ69" s="465"/>
      <c r="AK69" s="465"/>
      <c r="AL69" s="465"/>
      <c r="AM69" s="465"/>
      <c r="AN69" s="465"/>
      <c r="AO69" s="465"/>
      <c r="AP69" s="465"/>
      <c r="AQ69" s="465"/>
      <c r="AR69" s="465"/>
      <c r="AS69" s="465"/>
      <c r="AT69" s="465"/>
      <c r="AU69" s="465"/>
      <c r="AV69" s="465"/>
      <c r="AW69" s="465"/>
      <c r="AX69" s="465"/>
      <c r="AY69" s="465"/>
      <c r="AZ69" s="465"/>
      <c r="BA69" s="465"/>
      <c r="BB69" s="465"/>
      <c r="BC69" s="465"/>
      <c r="BD69" s="465"/>
      <c r="BE69" s="465"/>
      <c r="BF69" s="465"/>
      <c r="BH69" s="462"/>
    </row>
    <row r="70" spans="1:60" ht="15" x14ac:dyDescent="0.25">
      <c r="A70" s="461" t="s">
        <v>832</v>
      </c>
      <c r="B70" s="462" t="s">
        <v>710</v>
      </c>
      <c r="C70" s="462"/>
      <c r="D70" s="117" t="s">
        <v>833</v>
      </c>
      <c r="F70" s="435">
        <f>SUMIF(RefineriesData!$J$16:$J$245,$B70&amp;F$4,RefineriesData!$N$16:$N$245)</f>
        <v>0.41121494820830767</v>
      </c>
      <c r="G70" s="436"/>
      <c r="H70" s="436"/>
      <c r="I70" s="436"/>
      <c r="J70" s="439">
        <f>IFERROR(zar.2010*SUMIF(RefineriesData!$J$13:$J$269,$B70&amp;J$4,RefineriesData!$N$13:$N$269),"")</f>
        <v>36.817867655087646</v>
      </c>
      <c r="K70" s="435"/>
      <c r="L70" s="435"/>
      <c r="M70" s="435">
        <f>SUMIF(RefineriesData!$J$13:$J$245,$B70&amp;M$5,RefineriesData!$N$13:$N$245)</f>
        <v>109.73413027616279</v>
      </c>
      <c r="N70" s="435">
        <f>SUMIF(RefineriesData!$J$13:$J$245,$B70&amp;N$5,RefineriesData!$N$13:$N$245)</f>
        <v>0.43830718042180028</v>
      </c>
      <c r="O70" s="436"/>
      <c r="P70" s="436"/>
      <c r="Q70" s="439"/>
      <c r="R70" s="435"/>
      <c r="S70" s="435">
        <v>3</v>
      </c>
      <c r="T70" s="435">
        <v>0</v>
      </c>
      <c r="U70" s="464"/>
      <c r="V70" s="435">
        <v>0.9</v>
      </c>
      <c r="W70" s="435"/>
      <c r="X70" s="435"/>
      <c r="Y70" s="435"/>
      <c r="Z70" s="435"/>
      <c r="AA70" s="435"/>
      <c r="AB70" s="435"/>
      <c r="AC70" s="435"/>
      <c r="AD70" s="464">
        <f>V70*AE70/F70</f>
        <v>519.74929184743382</v>
      </c>
      <c r="AE70" s="435">
        <f>SUMIF(RefineriesData!$J$16:$J$270,$B70&amp;AE$3,RefineriesData!$N$16:$N$270)</f>
        <v>237.47630903149673</v>
      </c>
      <c r="AF70" s="465"/>
      <c r="AG70" s="465"/>
      <c r="AH70" s="465"/>
      <c r="AI70" s="465"/>
      <c r="AJ70" s="465"/>
      <c r="AK70" s="465"/>
      <c r="AL70" s="465"/>
      <c r="AM70" s="465"/>
      <c r="AN70" s="465"/>
      <c r="AO70" s="465"/>
      <c r="AP70" s="465"/>
      <c r="AQ70" s="465"/>
      <c r="AR70" s="465"/>
      <c r="AS70" s="465"/>
      <c r="AT70" s="465"/>
      <c r="AU70" s="465"/>
      <c r="AV70" s="465"/>
      <c r="AW70" s="465"/>
      <c r="AX70" s="465"/>
      <c r="AY70" s="465"/>
      <c r="AZ70" s="465"/>
      <c r="BA70" s="465"/>
      <c r="BB70" s="465"/>
      <c r="BC70" s="465">
        <f>AE70</f>
        <v>237.47630903149673</v>
      </c>
      <c r="BD70" s="465">
        <v>0</v>
      </c>
      <c r="BE70" s="465"/>
      <c r="BF70" s="465"/>
      <c r="BG70" s="465"/>
      <c r="BH70" s="462"/>
    </row>
    <row r="71" spans="1:60" x14ac:dyDescent="0.2">
      <c r="A71" s="461"/>
      <c r="B71" s="462"/>
      <c r="C71" s="117" t="s">
        <v>825</v>
      </c>
      <c r="F71" s="436"/>
      <c r="G71" s="436"/>
      <c r="H71" s="436"/>
      <c r="I71" s="482">
        <f>SUMIF(RefineriesData!$J$16:$J$270,B70&amp;C71,RefineriesData!$N$16:$N$270)</f>
        <v>0.22738749426150504</v>
      </c>
      <c r="J71" s="439"/>
      <c r="K71" s="435"/>
      <c r="L71" s="435"/>
      <c r="M71" s="435"/>
      <c r="N71" s="435"/>
      <c r="O71" s="436"/>
      <c r="P71" s="436"/>
      <c r="Q71" s="439"/>
      <c r="R71" s="435"/>
      <c r="S71" s="435"/>
      <c r="T71" s="435"/>
      <c r="U71" s="436"/>
      <c r="V71" s="436"/>
      <c r="W71" s="436"/>
      <c r="X71" s="436"/>
      <c r="Y71" s="436"/>
      <c r="Z71" s="436"/>
      <c r="AA71" s="436"/>
      <c r="AB71" s="436"/>
      <c r="AC71" s="436"/>
      <c r="AD71" s="436"/>
      <c r="AE71" s="465"/>
      <c r="AF71" s="465"/>
      <c r="AG71" s="465"/>
      <c r="AH71" s="465"/>
      <c r="AI71" s="465"/>
      <c r="AJ71" s="465"/>
      <c r="AK71" s="465"/>
      <c r="AL71" s="465"/>
      <c r="AM71" s="465"/>
      <c r="AN71" s="465"/>
      <c r="AO71" s="465"/>
      <c r="AP71" s="465"/>
      <c r="AQ71" s="465"/>
      <c r="AR71" s="465"/>
      <c r="AS71" s="465"/>
      <c r="AT71" s="465"/>
      <c r="AU71" s="465"/>
      <c r="AV71" s="465"/>
      <c r="AW71" s="465"/>
      <c r="AX71" s="465"/>
      <c r="AY71" s="465"/>
      <c r="AZ71" s="465"/>
      <c r="BA71" s="465"/>
      <c r="BB71" s="465"/>
      <c r="BC71" s="465"/>
      <c r="BD71" s="465"/>
      <c r="BE71" s="465"/>
      <c r="BF71" s="465"/>
      <c r="BH71" s="462"/>
    </row>
    <row r="72" spans="1:60" x14ac:dyDescent="0.2">
      <c r="A72" s="461"/>
      <c r="B72" s="462"/>
      <c r="C72" s="117" t="s">
        <v>823</v>
      </c>
      <c r="F72" s="436"/>
      <c r="G72" s="436"/>
      <c r="H72" s="436"/>
      <c r="I72" s="482">
        <f>SUMIF(RefineriesData!$J$16:$J$270,B70&amp;C72,RefineriesData!$N$16:$N$270)</f>
        <v>0.1589295424742827</v>
      </c>
      <c r="J72" s="439"/>
      <c r="K72" s="435"/>
      <c r="L72" s="435"/>
      <c r="M72" s="435"/>
      <c r="N72" s="435"/>
      <c r="O72" s="436"/>
      <c r="P72" s="436"/>
      <c r="Q72" s="439"/>
      <c r="R72" s="435"/>
      <c r="S72" s="435"/>
      <c r="T72" s="435"/>
      <c r="U72" s="436"/>
      <c r="V72" s="436"/>
      <c r="W72" s="436"/>
      <c r="X72" s="436"/>
      <c r="Y72" s="436"/>
      <c r="Z72" s="436"/>
      <c r="AA72" s="436"/>
      <c r="AB72" s="436"/>
      <c r="AC72" s="436"/>
      <c r="AD72" s="436"/>
      <c r="AE72" s="465"/>
      <c r="AF72" s="465"/>
      <c r="AG72" s="465"/>
      <c r="AH72" s="465"/>
      <c r="AI72" s="465"/>
      <c r="AJ72" s="465"/>
      <c r="AK72" s="465"/>
      <c r="AL72" s="465"/>
      <c r="AM72" s="465"/>
      <c r="AN72" s="465"/>
      <c r="AO72" s="465"/>
      <c r="AP72" s="465"/>
      <c r="AQ72" s="465"/>
      <c r="AR72" s="465"/>
      <c r="AS72" s="465"/>
      <c r="AT72" s="465"/>
      <c r="AU72" s="465"/>
      <c r="AV72" s="465"/>
      <c r="AW72" s="465"/>
      <c r="AX72" s="465"/>
      <c r="AY72" s="465"/>
      <c r="AZ72" s="465"/>
      <c r="BA72" s="465"/>
      <c r="BB72" s="465"/>
      <c r="BC72" s="465"/>
      <c r="BD72" s="465"/>
      <c r="BE72" s="465"/>
      <c r="BF72" s="465"/>
      <c r="BH72" s="462"/>
    </row>
    <row r="73" spans="1:60" x14ac:dyDescent="0.2">
      <c r="A73" s="461"/>
      <c r="B73" s="462"/>
      <c r="C73" s="117" t="s">
        <v>834</v>
      </c>
      <c r="F73" s="436"/>
      <c r="G73" s="436"/>
      <c r="H73" s="436"/>
      <c r="I73" s="482">
        <f>SUMIF(RefineriesData!$J$16:$J$270,B70&amp;C73,RefineriesData!$N$16:$N$270)</f>
        <v>0.86910570466129278</v>
      </c>
      <c r="J73" s="439"/>
      <c r="K73" s="435"/>
      <c r="L73" s="435"/>
      <c r="M73" s="435"/>
      <c r="N73" s="435"/>
      <c r="O73" s="436"/>
      <c r="P73" s="436"/>
      <c r="Q73" s="439"/>
      <c r="R73" s="435"/>
      <c r="S73" s="435"/>
      <c r="T73" s="435"/>
      <c r="U73" s="436"/>
      <c r="V73" s="436"/>
      <c r="W73" s="436"/>
      <c r="X73" s="436"/>
      <c r="Y73" s="436"/>
      <c r="Z73" s="436"/>
      <c r="AA73" s="436"/>
      <c r="AB73" s="436"/>
      <c r="AC73" s="436"/>
      <c r="AD73" s="436"/>
      <c r="AE73" s="465"/>
      <c r="AF73" s="465"/>
      <c r="AG73" s="465"/>
      <c r="AH73" s="465"/>
      <c r="AI73" s="465"/>
      <c r="AJ73" s="465"/>
      <c r="AK73" s="465"/>
      <c r="AL73" s="465"/>
      <c r="AM73" s="465"/>
      <c r="AN73" s="465"/>
      <c r="AO73" s="465"/>
      <c r="AP73" s="465"/>
      <c r="AQ73" s="465"/>
      <c r="AR73" s="465"/>
      <c r="AS73" s="465"/>
      <c r="AT73" s="465"/>
      <c r="AU73" s="465"/>
      <c r="AV73" s="465"/>
      <c r="AW73" s="465"/>
      <c r="AX73" s="465"/>
      <c r="AY73" s="465"/>
      <c r="AZ73" s="465"/>
      <c r="BA73" s="465"/>
      <c r="BB73" s="465"/>
      <c r="BC73" s="465"/>
      <c r="BD73" s="465"/>
      <c r="BE73" s="465"/>
      <c r="BF73" s="465"/>
      <c r="BH73" s="462"/>
    </row>
    <row r="74" spans="1:60" x14ac:dyDescent="0.2">
      <c r="A74" s="461"/>
      <c r="B74" s="462"/>
      <c r="C74" s="462"/>
      <c r="E74" s="117" t="s">
        <v>525</v>
      </c>
      <c r="F74" s="436"/>
      <c r="G74" s="437">
        <v>3</v>
      </c>
      <c r="H74" s="442">
        <f>SUMIF(RefineriesData!$J$16:$J$245,$B70&amp;RIGHT($E74,3),RefineriesData!$N$16:$N$245)</f>
        <v>4.2538688545872829E-3</v>
      </c>
      <c r="I74" s="442"/>
      <c r="J74" s="439"/>
      <c r="K74" s="435"/>
      <c r="L74" s="435"/>
      <c r="M74" s="435"/>
      <c r="N74" s="435"/>
      <c r="O74" s="436"/>
      <c r="P74" s="436"/>
      <c r="Q74" s="439"/>
      <c r="R74" s="435"/>
      <c r="S74" s="435"/>
      <c r="T74" s="435"/>
      <c r="U74" s="436"/>
      <c r="V74" s="436"/>
      <c r="W74" s="436"/>
      <c r="X74" s="436"/>
      <c r="Y74" s="436"/>
      <c r="Z74" s="436"/>
      <c r="AA74" s="436"/>
      <c r="AB74" s="436"/>
      <c r="AC74" s="436"/>
      <c r="AD74" s="435">
        <f>AD$70*F$70*H74</f>
        <v>0.90917376722228593</v>
      </c>
      <c r="AE74" s="465"/>
      <c r="AF74" s="465"/>
      <c r="AG74" s="465"/>
      <c r="AH74" s="465"/>
      <c r="AI74" s="465"/>
      <c r="AJ74" s="465"/>
      <c r="AK74" s="465"/>
      <c r="AL74" s="465"/>
      <c r="AM74" s="465"/>
      <c r="AN74" s="465"/>
      <c r="AO74" s="465"/>
      <c r="AP74" s="465"/>
      <c r="AQ74" s="465"/>
      <c r="AR74" s="465"/>
      <c r="AS74" s="465"/>
      <c r="AT74" s="465"/>
      <c r="AU74" s="465"/>
      <c r="AV74" s="465"/>
      <c r="AW74" s="465"/>
      <c r="AX74" s="465"/>
      <c r="AY74" s="465"/>
      <c r="AZ74" s="465"/>
      <c r="BA74" s="465"/>
      <c r="BB74" s="465"/>
      <c r="BC74" s="465"/>
      <c r="BD74" s="465"/>
      <c r="BE74" s="465"/>
      <c r="BF74" s="465"/>
      <c r="BH74" s="462"/>
    </row>
    <row r="75" spans="1:60" x14ac:dyDescent="0.2">
      <c r="A75" s="461"/>
      <c r="B75" s="462"/>
      <c r="C75" s="462"/>
      <c r="E75" s="117" t="s">
        <v>499</v>
      </c>
      <c r="F75" s="436"/>
      <c r="G75" s="437">
        <v>3</v>
      </c>
      <c r="H75" s="442">
        <f>SUMIF(RefineriesData!$J$16:$J$245,$B70&amp;RIGHT($E75,3),RefineriesData!$N$16:$N$245)</f>
        <v>0.24837109625983722</v>
      </c>
      <c r="I75" s="442"/>
      <c r="J75" s="439"/>
      <c r="K75" s="435"/>
      <c r="L75" s="435"/>
      <c r="M75" s="435"/>
      <c r="N75" s="435"/>
      <c r="O75" s="436"/>
      <c r="P75" s="436"/>
      <c r="Q75" s="439"/>
      <c r="R75" s="435"/>
      <c r="S75" s="435"/>
      <c r="T75" s="435"/>
      <c r="U75" s="436"/>
      <c r="V75" s="436"/>
      <c r="W75" s="436"/>
      <c r="X75" s="436"/>
      <c r="Y75" s="436"/>
      <c r="Z75" s="436"/>
      <c r="AA75" s="436"/>
      <c r="AB75" s="436"/>
      <c r="AC75" s="436"/>
      <c r="AD75" s="435">
        <f t="shared" ref="AD75:AD80" si="13">AD$70*F$70*H75</f>
        <v>53.084026088903464</v>
      </c>
      <c r="AE75" s="465"/>
      <c r="AF75" s="465"/>
      <c r="AG75" s="465"/>
      <c r="AH75" s="465"/>
      <c r="AI75" s="465"/>
      <c r="AJ75" s="465"/>
      <c r="AK75" s="465"/>
      <c r="AL75" s="465"/>
      <c r="AM75" s="465"/>
      <c r="AN75" s="465"/>
      <c r="AO75" s="465"/>
      <c r="AP75" s="465"/>
      <c r="AQ75" s="465"/>
      <c r="AR75" s="465"/>
      <c r="AS75" s="465"/>
      <c r="AT75" s="465"/>
      <c r="AU75" s="465"/>
      <c r="AV75" s="465"/>
      <c r="AW75" s="465"/>
      <c r="AX75" s="465"/>
      <c r="AY75" s="465"/>
      <c r="AZ75" s="465"/>
      <c r="BA75" s="465"/>
      <c r="BB75" s="465"/>
      <c r="BC75" s="465"/>
      <c r="BD75" s="465"/>
      <c r="BE75" s="465"/>
      <c r="BF75" s="465"/>
      <c r="BH75" s="462"/>
    </row>
    <row r="76" spans="1:60" x14ac:dyDescent="0.2">
      <c r="A76" s="461"/>
      <c r="B76" s="462"/>
      <c r="C76" s="462"/>
      <c r="E76" s="117" t="s">
        <v>497</v>
      </c>
      <c r="F76" s="436"/>
      <c r="G76" s="437">
        <v>3</v>
      </c>
      <c r="H76" s="442">
        <f>SUMIF(RefineriesData!$J$16:$J$245,$B70&amp;RIGHT($E76,3),RefineriesData!$N$16:$N$245)</f>
        <v>0.56393035832270655</v>
      </c>
      <c r="I76" s="442"/>
      <c r="J76" s="439"/>
      <c r="K76" s="435"/>
      <c r="L76" s="435"/>
      <c r="M76" s="435"/>
      <c r="N76" s="435"/>
      <c r="O76" s="436"/>
      <c r="P76" s="436"/>
      <c r="Q76" s="439"/>
      <c r="R76" s="435"/>
      <c r="S76" s="435"/>
      <c r="T76" s="435"/>
      <c r="U76" s="436"/>
      <c r="V76" s="436"/>
      <c r="W76" s="436"/>
      <c r="X76" s="436"/>
      <c r="Y76" s="436"/>
      <c r="Z76" s="436"/>
      <c r="AA76" s="436"/>
      <c r="AB76" s="436"/>
      <c r="AC76" s="436"/>
      <c r="AD76" s="435">
        <f t="shared" si="13"/>
        <v>120.52809004075719</v>
      </c>
      <c r="AE76" s="465"/>
      <c r="AF76" s="465"/>
      <c r="AG76" s="465"/>
      <c r="AH76" s="465"/>
      <c r="AI76" s="465"/>
      <c r="AJ76" s="465"/>
      <c r="AK76" s="465"/>
      <c r="AL76" s="465"/>
      <c r="AM76" s="465"/>
      <c r="AN76" s="465"/>
      <c r="AO76" s="465"/>
      <c r="AP76" s="465"/>
      <c r="AQ76" s="465"/>
      <c r="AR76" s="465"/>
      <c r="AS76" s="465"/>
      <c r="AT76" s="465"/>
      <c r="AU76" s="465"/>
      <c r="AV76" s="465"/>
      <c r="AW76" s="465"/>
      <c r="AX76" s="465"/>
      <c r="AY76" s="465"/>
      <c r="AZ76" s="465"/>
      <c r="BA76" s="465"/>
      <c r="BB76" s="465"/>
      <c r="BC76" s="465"/>
      <c r="BD76" s="465"/>
      <c r="BE76" s="465"/>
      <c r="BF76" s="465"/>
      <c r="BH76" s="462"/>
    </row>
    <row r="77" spans="1:60" x14ac:dyDescent="0.2">
      <c r="A77" s="461"/>
      <c r="B77" s="462"/>
      <c r="C77" s="462"/>
      <c r="E77" s="117" t="s">
        <v>733</v>
      </c>
      <c r="F77" s="436"/>
      <c r="G77" s="437">
        <v>3</v>
      </c>
      <c r="H77" s="442">
        <f>SUMIF(RefineriesData!$J$16:$J$245,$B70&amp;RIGHT($E77,3),RefineriesData!$N$16:$N$245)</f>
        <v>2.7824192294791578E-2</v>
      </c>
      <c r="I77" s="442"/>
      <c r="J77" s="439"/>
      <c r="K77" s="435"/>
      <c r="L77" s="435"/>
      <c r="M77" s="435"/>
      <c r="N77" s="435"/>
      <c r="O77" s="436"/>
      <c r="P77" s="436"/>
      <c r="Q77" s="439"/>
      <c r="R77" s="435"/>
      <c r="S77" s="435"/>
      <c r="T77" s="435"/>
      <c r="U77" s="436"/>
      <c r="V77" s="436"/>
      <c r="W77" s="436"/>
      <c r="X77" s="436"/>
      <c r="Y77" s="436"/>
      <c r="Z77" s="436"/>
      <c r="AA77" s="436"/>
      <c r="AB77" s="436"/>
      <c r="AC77" s="436"/>
      <c r="AD77" s="435">
        <f t="shared" si="13"/>
        <v>5.9468278391547447</v>
      </c>
      <c r="AE77" s="465"/>
      <c r="AF77" s="465"/>
      <c r="AG77" s="465"/>
      <c r="AH77" s="465"/>
      <c r="AI77" s="465"/>
      <c r="AJ77" s="465"/>
      <c r="AK77" s="465"/>
      <c r="AL77" s="465"/>
      <c r="AM77" s="465"/>
      <c r="AN77" s="465"/>
      <c r="AO77" s="465"/>
      <c r="AP77" s="465"/>
      <c r="AQ77" s="465"/>
      <c r="AR77" s="465"/>
      <c r="AS77" s="465"/>
      <c r="AT77" s="465"/>
      <c r="AU77" s="465"/>
      <c r="AV77" s="465"/>
      <c r="AW77" s="465"/>
      <c r="AX77" s="465"/>
      <c r="AY77" s="465"/>
      <c r="AZ77" s="465"/>
      <c r="BA77" s="465"/>
      <c r="BB77" s="465"/>
      <c r="BC77" s="465"/>
      <c r="BD77" s="465"/>
      <c r="BE77" s="465"/>
      <c r="BF77" s="465"/>
      <c r="BH77" s="462"/>
    </row>
    <row r="78" spans="1:60" x14ac:dyDescent="0.2">
      <c r="A78" s="461"/>
      <c r="B78" s="462"/>
      <c r="C78" s="462"/>
      <c r="E78" s="117" t="s">
        <v>490</v>
      </c>
      <c r="F78" s="436"/>
      <c r="G78" s="437">
        <v>3</v>
      </c>
      <c r="H78" s="442">
        <f>SUMIF(RefineriesData!$J$16:$J$245,$B70&amp;RIGHT($E78,3),RefineriesData!$N$16:$N$245)</f>
        <v>4.5231579584656276E-2</v>
      </c>
      <c r="I78" s="442"/>
      <c r="J78" s="439"/>
      <c r="K78" s="435"/>
      <c r="L78" s="435"/>
      <c r="M78" s="435"/>
      <c r="N78" s="435"/>
      <c r="O78" s="436"/>
      <c r="P78" s="436"/>
      <c r="Q78" s="439"/>
      <c r="R78" s="435"/>
      <c r="S78" s="435"/>
      <c r="T78" s="435"/>
      <c r="U78" s="436"/>
      <c r="V78" s="436"/>
      <c r="W78" s="436"/>
      <c r="X78" s="436"/>
      <c r="Y78" s="436"/>
      <c r="Z78" s="436"/>
      <c r="AA78" s="436"/>
      <c r="AB78" s="436"/>
      <c r="AC78" s="436"/>
      <c r="AD78" s="435">
        <f t="shared" si="13"/>
        <v>9.6672857142857165</v>
      </c>
      <c r="AE78" s="465"/>
      <c r="AF78" s="465"/>
      <c r="AG78" s="465"/>
      <c r="AH78" s="465"/>
      <c r="AI78" s="465"/>
      <c r="AJ78" s="465"/>
      <c r="AK78" s="465"/>
      <c r="AL78" s="465"/>
      <c r="AM78" s="465"/>
      <c r="AN78" s="465"/>
      <c r="AO78" s="465"/>
      <c r="AP78" s="465"/>
      <c r="AQ78" s="465"/>
      <c r="AR78" s="465"/>
      <c r="AS78" s="465"/>
      <c r="AT78" s="465"/>
      <c r="AU78" s="465"/>
      <c r="AV78" s="465"/>
      <c r="AW78" s="465"/>
      <c r="AX78" s="465"/>
      <c r="AY78" s="465"/>
      <c r="AZ78" s="465"/>
      <c r="BA78" s="465"/>
      <c r="BB78" s="465"/>
      <c r="BC78" s="465"/>
      <c r="BD78" s="465"/>
      <c r="BE78" s="465"/>
      <c r="BF78" s="465"/>
      <c r="BH78" s="462"/>
    </row>
    <row r="79" spans="1:60" x14ac:dyDescent="0.2">
      <c r="A79" s="461"/>
      <c r="B79" s="462"/>
      <c r="C79" s="462"/>
      <c r="E79" s="117" t="s">
        <v>487</v>
      </c>
      <c r="F79" s="436"/>
      <c r="G79" s="437">
        <v>3</v>
      </c>
      <c r="H79" s="442">
        <f>SUMIF(RefineriesData!$J$16:$J$245,$B70&amp;RIGHT($E79,3),RefineriesData!$N$16:$N$245)</f>
        <v>1.4350097636642347E-2</v>
      </c>
      <c r="I79" s="442"/>
      <c r="J79" s="439"/>
      <c r="K79" s="435"/>
      <c r="L79" s="435"/>
      <c r="M79" s="435"/>
      <c r="N79" s="435"/>
      <c r="O79" s="436"/>
      <c r="P79" s="436"/>
      <c r="Q79" s="439"/>
      <c r="R79" s="435"/>
      <c r="S79" s="435"/>
      <c r="T79" s="435"/>
      <c r="U79" s="436"/>
      <c r="V79" s="436"/>
      <c r="W79" s="436"/>
      <c r="X79" s="436"/>
      <c r="Y79" s="436"/>
      <c r="Z79" s="436"/>
      <c r="AA79" s="436"/>
      <c r="AB79" s="436"/>
      <c r="AC79" s="436"/>
      <c r="AD79" s="435">
        <f t="shared" si="13"/>
        <v>3.0670273988922867</v>
      </c>
      <c r="AE79" s="465"/>
      <c r="AF79" s="465"/>
      <c r="AG79" s="465"/>
      <c r="AH79" s="465"/>
      <c r="AI79" s="465"/>
      <c r="AJ79" s="465"/>
      <c r="AK79" s="465"/>
      <c r="AL79" s="465"/>
      <c r="AM79" s="465"/>
      <c r="AN79" s="465"/>
      <c r="AO79" s="465"/>
      <c r="AP79" s="465"/>
      <c r="AQ79" s="465"/>
      <c r="AR79" s="465"/>
      <c r="AS79" s="465"/>
      <c r="AT79" s="465"/>
      <c r="AU79" s="465"/>
      <c r="AV79" s="465"/>
      <c r="AW79" s="465"/>
      <c r="AX79" s="465"/>
      <c r="AY79" s="465"/>
      <c r="AZ79" s="465"/>
      <c r="BA79" s="465"/>
      <c r="BB79" s="465"/>
      <c r="BC79" s="465"/>
      <c r="BD79" s="465"/>
      <c r="BE79" s="465"/>
      <c r="BF79" s="465"/>
      <c r="BH79" s="462"/>
    </row>
    <row r="80" spans="1:60" x14ac:dyDescent="0.2">
      <c r="A80" s="461"/>
      <c r="B80" s="462"/>
      <c r="C80" s="462"/>
      <c r="E80" s="117" t="s">
        <v>485</v>
      </c>
      <c r="F80" s="436"/>
      <c r="G80" s="437">
        <v>3</v>
      </c>
      <c r="H80" s="442">
        <f>SUMIF(RefineriesData!$J$16:$J$245,$B70&amp;RIGHT($E80,3),RefineriesData!$N$16:$N$245)</f>
        <v>9.603880704677871E-2</v>
      </c>
      <c r="I80" s="442"/>
      <c r="J80" s="439"/>
      <c r="K80" s="435"/>
      <c r="L80" s="435"/>
      <c r="M80" s="435"/>
      <c r="N80" s="435"/>
      <c r="O80" s="436"/>
      <c r="P80" s="436"/>
      <c r="Q80" s="439"/>
      <c r="R80" s="435"/>
      <c r="S80" s="435"/>
      <c r="T80" s="435"/>
      <c r="U80" s="436"/>
      <c r="V80" s="436"/>
      <c r="W80" s="436"/>
      <c r="X80" s="436"/>
      <c r="Y80" s="436"/>
      <c r="Z80" s="436"/>
      <c r="AA80" s="436"/>
      <c r="AB80" s="436"/>
      <c r="AC80" s="436"/>
      <c r="AD80" s="435">
        <f t="shared" si="13"/>
        <v>20.5262472791314</v>
      </c>
      <c r="AE80" s="465"/>
      <c r="AF80" s="465"/>
      <c r="AG80" s="465"/>
      <c r="AH80" s="465"/>
      <c r="AI80" s="465"/>
      <c r="AJ80" s="465"/>
      <c r="AK80" s="465"/>
      <c r="AL80" s="465"/>
      <c r="AM80" s="465"/>
      <c r="AN80" s="465"/>
      <c r="AO80" s="465"/>
      <c r="AP80" s="465"/>
      <c r="AQ80" s="465"/>
      <c r="AR80" s="465"/>
      <c r="AS80" s="465"/>
      <c r="AT80" s="465"/>
      <c r="AU80" s="465"/>
      <c r="AV80" s="465"/>
      <c r="AW80" s="465"/>
      <c r="AX80" s="465"/>
      <c r="AY80" s="465"/>
      <c r="AZ80" s="465"/>
      <c r="BA80" s="465"/>
      <c r="BB80" s="465"/>
      <c r="BC80" s="465"/>
      <c r="BD80" s="465"/>
      <c r="BE80" s="465"/>
      <c r="BF80" s="465"/>
      <c r="BH80" s="462"/>
    </row>
    <row r="81" spans="1:60" x14ac:dyDescent="0.2">
      <c r="A81" s="461" t="s">
        <v>799</v>
      </c>
      <c r="B81" s="462"/>
      <c r="C81" s="462"/>
      <c r="F81" s="436"/>
      <c r="G81" s="436"/>
      <c r="H81" s="436"/>
      <c r="I81" s="436"/>
      <c r="J81" s="439"/>
      <c r="K81" s="435"/>
      <c r="L81" s="435"/>
      <c r="M81" s="435"/>
      <c r="N81" s="435"/>
      <c r="O81" s="436"/>
      <c r="P81" s="436"/>
      <c r="Q81" s="439"/>
      <c r="R81" s="435"/>
      <c r="S81" s="435"/>
      <c r="T81" s="435"/>
      <c r="U81" s="436"/>
      <c r="V81" s="436"/>
      <c r="W81" s="436"/>
      <c r="X81" s="436"/>
      <c r="Y81" s="436"/>
      <c r="Z81" s="436"/>
      <c r="AA81" s="436"/>
      <c r="AB81" s="436"/>
      <c r="AC81" s="436"/>
      <c r="AD81" s="436"/>
      <c r="AE81" s="465"/>
      <c r="AF81" s="465"/>
      <c r="AG81" s="465"/>
      <c r="AH81" s="465"/>
      <c r="AI81" s="465"/>
      <c r="AJ81" s="465"/>
      <c r="AK81" s="465"/>
      <c r="AL81" s="465"/>
      <c r="AM81" s="465"/>
      <c r="AN81" s="465"/>
      <c r="AO81" s="465"/>
      <c r="AP81" s="465"/>
      <c r="AQ81" s="465"/>
      <c r="AR81" s="465"/>
      <c r="AS81" s="465"/>
      <c r="AT81" s="465"/>
      <c r="AU81" s="465"/>
      <c r="AV81" s="465"/>
      <c r="AW81" s="465"/>
      <c r="AX81" s="465"/>
      <c r="AY81" s="465"/>
      <c r="AZ81" s="465"/>
      <c r="BA81" s="465"/>
      <c r="BB81" s="465"/>
      <c r="BC81" s="465"/>
      <c r="BD81" s="465"/>
      <c r="BE81" s="465"/>
      <c r="BF81" s="465"/>
      <c r="BH81" s="462"/>
    </row>
    <row r="82" spans="1:60" x14ac:dyDescent="0.2">
      <c r="A82" s="461" t="s">
        <v>835</v>
      </c>
      <c r="B82" s="462" t="s">
        <v>836</v>
      </c>
      <c r="C82" s="462"/>
      <c r="D82" s="117" t="s">
        <v>833</v>
      </c>
      <c r="F82" s="435">
        <f>SUMIF(RefineriesData!$J$16:$J$245,$B82&amp;F$4,RefineriesData!$N$16:$N$245)</f>
        <v>0.46121494820830766</v>
      </c>
      <c r="G82" s="436"/>
      <c r="H82" s="436"/>
      <c r="I82" s="436"/>
      <c r="J82" s="439">
        <f>IFERROR(zar.2010*SUMIF(RefineriesData!$J$13:$J$269,$B82&amp;J$4,RefineriesData!$N$13:$N$269),"")</f>
        <v>36.817867655087646</v>
      </c>
      <c r="K82" s="435"/>
      <c r="L82" s="435"/>
      <c r="M82" s="435">
        <f>SUMIF(RefineriesData!$J$13:$J$245,$B82&amp;M$5,RefineriesData!$N$13:$N$245)</f>
        <v>109.73413027616279</v>
      </c>
      <c r="N82" s="435">
        <f>SUMIF(RefineriesData!$J$13:$J$245,$B82&amp;N$5,RefineriesData!$N$13:$N$245)</f>
        <v>0.43830718042180028</v>
      </c>
      <c r="O82" s="439">
        <f>SUMIF(RefineriesData!$J$13:$J$267,$B82&amp;O$4,RefineriesData!$N$13:$N$267)</f>
        <v>2030</v>
      </c>
      <c r="P82" s="435">
        <f>SUMIF(RefineriesData!$J$16:$J$245,$B82&amp;P$4,RefineriesData!$N$16:$N$245)</f>
        <v>50</v>
      </c>
      <c r="Q82" s="439">
        <f>IFERROR(SUMIF(RefineriesData!$J$13:$J$269,$B82&amp;Q$4,RefineriesData!$N$13:$N$269),"")</f>
        <v>806.40463680000005</v>
      </c>
      <c r="R82" s="435">
        <v>-6</v>
      </c>
      <c r="S82" s="435">
        <v>0</v>
      </c>
      <c r="T82" s="435"/>
      <c r="U82" s="435" t="str">
        <f>""</f>
        <v/>
      </c>
      <c r="V82" s="435">
        <v>0.95</v>
      </c>
      <c r="W82" s="435"/>
      <c r="X82" s="435"/>
      <c r="Y82" s="435"/>
      <c r="Z82" s="435"/>
      <c r="AA82" s="435"/>
      <c r="AB82" s="435"/>
      <c r="AC82" s="435"/>
      <c r="AD82" s="435"/>
      <c r="AE82" s="465"/>
      <c r="AF82" s="465"/>
      <c r="AG82" s="465"/>
      <c r="AH82" s="465"/>
      <c r="AI82" s="465"/>
      <c r="AJ82" s="465"/>
      <c r="AK82" s="465"/>
      <c r="AL82" s="465"/>
      <c r="AM82" s="465"/>
      <c r="AN82" s="465"/>
      <c r="AO82" s="465"/>
      <c r="AP82" s="465"/>
      <c r="AQ82" s="465"/>
      <c r="AR82" s="465"/>
      <c r="AS82" s="465"/>
      <c r="AT82" s="465"/>
      <c r="AU82" s="465"/>
      <c r="AV82" s="465"/>
      <c r="AW82" s="465"/>
      <c r="AX82" s="465"/>
      <c r="AY82" s="465"/>
      <c r="AZ82" s="465"/>
      <c r="BA82" s="465"/>
      <c r="BB82" s="465"/>
      <c r="BC82" s="465"/>
      <c r="BD82" s="465"/>
      <c r="BE82" s="465"/>
      <c r="BF82" s="465"/>
      <c r="BG82" s="465"/>
      <c r="BH82" s="462"/>
    </row>
    <row r="83" spans="1:60" x14ac:dyDescent="0.2">
      <c r="A83" s="461"/>
      <c r="B83" s="462"/>
      <c r="C83" s="117" t="s">
        <v>825</v>
      </c>
      <c r="F83" s="436"/>
      <c r="G83" s="436"/>
      <c r="H83" s="436"/>
      <c r="I83" s="482">
        <f>SUMIF(RefineriesData!$J$16:$J$270,B82&amp;C83,RefineriesData!$N$16:$N$270)</f>
        <v>0.22738749426150504</v>
      </c>
      <c r="J83" s="439"/>
      <c r="K83" s="435"/>
      <c r="L83" s="435"/>
      <c r="M83" s="435"/>
      <c r="N83" s="435"/>
      <c r="O83" s="439"/>
      <c r="P83" s="436"/>
      <c r="Q83" s="439"/>
      <c r="R83" s="435"/>
      <c r="S83" s="435"/>
      <c r="T83" s="435"/>
      <c r="U83" s="436"/>
      <c r="V83" s="436"/>
      <c r="W83" s="436"/>
      <c r="X83" s="436"/>
      <c r="Y83" s="436"/>
      <c r="Z83" s="436"/>
      <c r="AA83" s="436"/>
      <c r="AB83" s="436"/>
      <c r="AC83" s="436"/>
      <c r="AD83" s="436"/>
      <c r="AE83" s="465"/>
      <c r="AF83" s="465"/>
      <c r="AG83" s="465"/>
      <c r="AH83" s="465"/>
      <c r="AI83" s="465"/>
      <c r="AJ83" s="465"/>
      <c r="AK83" s="465"/>
      <c r="AL83" s="465"/>
      <c r="AM83" s="465"/>
      <c r="AN83" s="465"/>
      <c r="AO83" s="465"/>
      <c r="AP83" s="465"/>
      <c r="AQ83" s="465"/>
      <c r="AR83" s="465"/>
      <c r="AS83" s="465"/>
      <c r="AT83" s="465"/>
      <c r="AU83" s="465"/>
      <c r="AV83" s="465"/>
      <c r="AW83" s="465"/>
      <c r="AX83" s="465"/>
      <c r="AY83" s="465"/>
      <c r="AZ83" s="465"/>
      <c r="BA83" s="465"/>
      <c r="BB83" s="465"/>
      <c r="BC83" s="465"/>
      <c r="BD83" s="465"/>
      <c r="BE83" s="465"/>
      <c r="BF83" s="465"/>
      <c r="BH83" s="462"/>
    </row>
    <row r="84" spans="1:60" x14ac:dyDescent="0.2">
      <c r="A84" s="461"/>
      <c r="B84" s="462"/>
      <c r="C84" s="117" t="s">
        <v>823</v>
      </c>
      <c r="F84" s="436"/>
      <c r="G84" s="436"/>
      <c r="H84" s="436"/>
      <c r="I84" s="482">
        <f>SUMIF(RefineriesData!$J$16:$J$270,B82&amp;C84,RefineriesData!$N$16:$N$270)</f>
        <v>0.1589295424742827</v>
      </c>
      <c r="J84" s="439"/>
      <c r="K84" s="435"/>
      <c r="L84" s="435"/>
      <c r="M84" s="435"/>
      <c r="N84" s="435"/>
      <c r="O84" s="439"/>
      <c r="P84" s="436"/>
      <c r="Q84" s="439"/>
      <c r="R84" s="435"/>
      <c r="S84" s="435"/>
      <c r="T84" s="435"/>
      <c r="U84" s="436"/>
      <c r="V84" s="436"/>
      <c r="W84" s="436"/>
      <c r="X84" s="436"/>
      <c r="Y84" s="436"/>
      <c r="Z84" s="436"/>
      <c r="AA84" s="436"/>
      <c r="AB84" s="436"/>
      <c r="AC84" s="436"/>
      <c r="AD84" s="436"/>
      <c r="AE84" s="465"/>
      <c r="AF84" s="465"/>
      <c r="AG84" s="465"/>
      <c r="AH84" s="465"/>
      <c r="AI84" s="465"/>
      <c r="AJ84" s="465"/>
      <c r="AK84" s="465"/>
      <c r="AL84" s="465"/>
      <c r="AM84" s="465"/>
      <c r="AN84" s="465"/>
      <c r="AO84" s="465"/>
      <c r="AP84" s="465"/>
      <c r="AQ84" s="465"/>
      <c r="AR84" s="465"/>
      <c r="AS84" s="465"/>
      <c r="AT84" s="465"/>
      <c r="AU84" s="465"/>
      <c r="AV84" s="465"/>
      <c r="AW84" s="465"/>
      <c r="AX84" s="465"/>
      <c r="AY84" s="465"/>
      <c r="AZ84" s="465"/>
      <c r="BA84" s="465"/>
      <c r="BB84" s="465"/>
      <c r="BC84" s="465"/>
      <c r="BD84" s="465"/>
      <c r="BE84" s="465"/>
      <c r="BF84" s="465"/>
      <c r="BH84" s="462"/>
    </row>
    <row r="85" spans="1:60" x14ac:dyDescent="0.2">
      <c r="A85" s="461"/>
      <c r="B85" s="462"/>
      <c r="C85" s="117" t="s">
        <v>837</v>
      </c>
      <c r="F85" s="436"/>
      <c r="G85" s="436"/>
      <c r="H85" s="436"/>
      <c r="I85" s="482">
        <f>SUMIF(RefineriesData!$J$16:$J$270,B82&amp;C85,RefineriesData!$N$16:$N$270)</f>
        <v>0.86910570466129278</v>
      </c>
      <c r="J85" s="439"/>
      <c r="K85" s="435"/>
      <c r="L85" s="435"/>
      <c r="M85" s="435"/>
      <c r="N85" s="435"/>
      <c r="O85" s="439"/>
      <c r="P85" s="436"/>
      <c r="Q85" s="439"/>
      <c r="R85" s="435"/>
      <c r="S85" s="435"/>
      <c r="T85" s="435"/>
      <c r="U85" s="436"/>
      <c r="V85" s="436"/>
      <c r="W85" s="436"/>
      <c r="X85" s="436"/>
      <c r="Y85" s="436"/>
      <c r="Z85" s="436"/>
      <c r="AA85" s="436"/>
      <c r="AB85" s="436"/>
      <c r="AC85" s="436"/>
      <c r="AD85" s="436"/>
      <c r="AE85" s="465"/>
      <c r="AF85" s="465"/>
      <c r="AG85" s="465"/>
      <c r="AH85" s="465"/>
      <c r="AI85" s="465"/>
      <c r="AJ85" s="465"/>
      <c r="AK85" s="465"/>
      <c r="AL85" s="465"/>
      <c r="AM85" s="465"/>
      <c r="AN85" s="465"/>
      <c r="AO85" s="465"/>
      <c r="AP85" s="465"/>
      <c r="AQ85" s="465"/>
      <c r="AR85" s="465"/>
      <c r="AS85" s="465"/>
      <c r="AT85" s="465"/>
      <c r="AU85" s="465"/>
      <c r="AV85" s="465"/>
      <c r="AW85" s="465"/>
      <c r="AX85" s="465"/>
      <c r="AY85" s="465"/>
      <c r="AZ85" s="465"/>
      <c r="BA85" s="465"/>
      <c r="BB85" s="465"/>
      <c r="BC85" s="465"/>
      <c r="BD85" s="465"/>
      <c r="BE85" s="465"/>
      <c r="BF85" s="465"/>
      <c r="BH85" s="462"/>
    </row>
    <row r="86" spans="1:60" x14ac:dyDescent="0.2">
      <c r="A86" s="461"/>
      <c r="B86" s="462"/>
      <c r="C86" s="462"/>
      <c r="E86" s="117" t="s">
        <v>525</v>
      </c>
      <c r="F86" s="436"/>
      <c r="G86" s="437">
        <v>3</v>
      </c>
      <c r="H86" s="442">
        <f>SUMIF(RefineriesData!$J$16:$J$245,$B82&amp;RIGHT($E86,3),RefineriesData!$N$16:$N$245)</f>
        <v>0</v>
      </c>
      <c r="I86" s="442"/>
      <c r="J86" s="439"/>
      <c r="K86" s="435"/>
      <c r="L86" s="435"/>
      <c r="M86" s="435"/>
      <c r="N86" s="435"/>
      <c r="O86" s="439"/>
      <c r="P86" s="436"/>
      <c r="Q86" s="439"/>
      <c r="R86" s="435"/>
      <c r="S86" s="435"/>
      <c r="T86" s="435"/>
      <c r="U86" s="436"/>
      <c r="V86" s="436"/>
      <c r="W86" s="436"/>
      <c r="X86" s="436"/>
      <c r="Y86" s="436"/>
      <c r="Z86" s="436"/>
      <c r="AA86" s="436"/>
      <c r="AB86" s="436"/>
      <c r="AC86" s="436"/>
      <c r="AD86" s="436"/>
      <c r="AE86" s="465"/>
      <c r="AF86" s="465"/>
      <c r="AG86" s="465"/>
      <c r="AH86" s="465"/>
      <c r="AI86" s="465"/>
      <c r="AJ86" s="465"/>
      <c r="AK86" s="465"/>
      <c r="AL86" s="465"/>
      <c r="AM86" s="465"/>
      <c r="AN86" s="465"/>
      <c r="AO86" s="465"/>
      <c r="AP86" s="465"/>
      <c r="AQ86" s="465"/>
      <c r="AR86" s="465"/>
      <c r="AS86" s="465"/>
      <c r="AT86" s="465"/>
      <c r="AU86" s="465"/>
      <c r="AV86" s="465"/>
      <c r="AW86" s="465"/>
      <c r="AX86" s="465"/>
      <c r="AY86" s="465"/>
      <c r="AZ86" s="465"/>
      <c r="BA86" s="465"/>
      <c r="BB86" s="465"/>
      <c r="BC86" s="465"/>
      <c r="BD86" s="465"/>
      <c r="BE86" s="465"/>
      <c r="BF86" s="465"/>
      <c r="BH86" s="462"/>
    </row>
    <row r="87" spans="1:60" x14ac:dyDescent="0.2">
      <c r="A87" s="461"/>
      <c r="B87" s="462"/>
      <c r="C87" s="462"/>
      <c r="E87" s="117" t="s">
        <v>499</v>
      </c>
      <c r="F87" s="436"/>
      <c r="G87" s="437">
        <v>3</v>
      </c>
      <c r="H87" s="442">
        <f>SUMIF(RefineriesData!$J$16:$J$245,$B82&amp;RIGHT($E87,3),RefineriesData!$N$16:$N$245)</f>
        <v>0.73</v>
      </c>
      <c r="I87" s="442"/>
      <c r="J87" s="439"/>
      <c r="K87" s="435"/>
      <c r="L87" s="435"/>
      <c r="M87" s="435"/>
      <c r="N87" s="435"/>
      <c r="O87" s="439"/>
      <c r="P87" s="436"/>
      <c r="Q87" s="439"/>
      <c r="R87" s="435"/>
      <c r="S87" s="435"/>
      <c r="T87" s="435"/>
      <c r="U87" s="436"/>
      <c r="V87" s="436"/>
      <c r="W87" s="436"/>
      <c r="X87" s="436"/>
      <c r="Y87" s="436"/>
      <c r="Z87" s="436"/>
      <c r="AA87" s="436"/>
      <c r="AB87" s="436"/>
      <c r="AC87" s="436"/>
      <c r="AD87" s="436"/>
      <c r="AE87" s="465"/>
      <c r="AF87" s="465"/>
      <c r="AG87" s="465"/>
      <c r="AH87" s="465"/>
      <c r="AI87" s="465"/>
      <c r="AJ87" s="465"/>
      <c r="AK87" s="465"/>
      <c r="AL87" s="465"/>
      <c r="AM87" s="465"/>
      <c r="AN87" s="465"/>
      <c r="AO87" s="465"/>
      <c r="AP87" s="465"/>
      <c r="AQ87" s="465"/>
      <c r="AR87" s="465"/>
      <c r="AS87" s="465"/>
      <c r="AT87" s="465"/>
      <c r="AU87" s="465"/>
      <c r="AV87" s="465"/>
      <c r="AW87" s="465"/>
      <c r="AX87" s="465"/>
      <c r="AY87" s="465"/>
      <c r="AZ87" s="465"/>
      <c r="BA87" s="465"/>
      <c r="BB87" s="465"/>
      <c r="BC87" s="465"/>
      <c r="BD87" s="465"/>
      <c r="BE87" s="465"/>
      <c r="BF87" s="465"/>
      <c r="BH87" s="462"/>
    </row>
    <row r="88" spans="1:60" x14ac:dyDescent="0.2">
      <c r="A88" s="461"/>
      <c r="B88" s="462"/>
      <c r="C88" s="462"/>
      <c r="E88" s="117" t="s">
        <v>497</v>
      </c>
      <c r="F88" s="436"/>
      <c r="G88" s="437">
        <v>3</v>
      </c>
      <c r="H88" s="442">
        <f>SUMIF(RefineriesData!$J$16:$J$245,$B82&amp;RIGHT($E88,3),RefineriesData!$N$16:$N$245)</f>
        <v>0.23499999999999999</v>
      </c>
      <c r="I88" s="442"/>
      <c r="J88" s="439"/>
      <c r="K88" s="435"/>
      <c r="L88" s="435"/>
      <c r="M88" s="435"/>
      <c r="N88" s="435"/>
      <c r="O88" s="439"/>
      <c r="P88" s="436"/>
      <c r="Q88" s="439"/>
      <c r="R88" s="435"/>
      <c r="S88" s="435"/>
      <c r="T88" s="435"/>
      <c r="U88" s="436"/>
      <c r="V88" s="436"/>
      <c r="W88" s="436"/>
      <c r="X88" s="436"/>
      <c r="Y88" s="436"/>
      <c r="Z88" s="436"/>
      <c r="AA88" s="436"/>
      <c r="AB88" s="436"/>
      <c r="AC88" s="436"/>
      <c r="AD88" s="436"/>
      <c r="AE88" s="465"/>
      <c r="AF88" s="465"/>
      <c r="AG88" s="465"/>
      <c r="AH88" s="465"/>
      <c r="AI88" s="465"/>
      <c r="AJ88" s="465"/>
      <c r="AK88" s="465"/>
      <c r="AL88" s="465"/>
      <c r="AM88" s="465"/>
      <c r="AN88" s="465"/>
      <c r="AO88" s="465"/>
      <c r="AP88" s="465"/>
      <c r="AQ88" s="465"/>
      <c r="AR88" s="465"/>
      <c r="AS88" s="465"/>
      <c r="AT88" s="465"/>
      <c r="AU88" s="465"/>
      <c r="AV88" s="465"/>
      <c r="AW88" s="465"/>
      <c r="AX88" s="465"/>
      <c r="AY88" s="465"/>
      <c r="AZ88" s="465"/>
      <c r="BA88" s="465"/>
      <c r="BB88" s="465"/>
      <c r="BC88" s="465"/>
      <c r="BD88" s="465"/>
      <c r="BE88" s="465"/>
      <c r="BF88" s="465"/>
      <c r="BH88" s="462"/>
    </row>
    <row r="89" spans="1:60" x14ac:dyDescent="0.2">
      <c r="A89" s="461"/>
      <c r="B89" s="462"/>
      <c r="C89" s="462"/>
      <c r="E89" s="117" t="s">
        <v>733</v>
      </c>
      <c r="F89" s="436"/>
      <c r="G89" s="437">
        <v>3</v>
      </c>
      <c r="H89" s="442">
        <f>SUMIF(RefineriesData!$J$16:$J$245,$B82&amp;RIGHT($E89,3),RefineriesData!$N$16:$N$245)</f>
        <v>0</v>
      </c>
      <c r="I89" s="442"/>
      <c r="J89" s="439"/>
      <c r="K89" s="435"/>
      <c r="L89" s="435"/>
      <c r="M89" s="435"/>
      <c r="N89" s="435"/>
      <c r="O89" s="439"/>
      <c r="P89" s="436"/>
      <c r="Q89" s="439"/>
      <c r="R89" s="435"/>
      <c r="S89" s="435"/>
      <c r="T89" s="435"/>
      <c r="U89" s="436"/>
      <c r="V89" s="436"/>
      <c r="W89" s="436"/>
      <c r="X89" s="436"/>
      <c r="Y89" s="436"/>
      <c r="Z89" s="436"/>
      <c r="AA89" s="436"/>
      <c r="AB89" s="436"/>
      <c r="AC89" s="436"/>
      <c r="AD89" s="436"/>
      <c r="AE89" s="465"/>
      <c r="AF89" s="465"/>
      <c r="AG89" s="465"/>
      <c r="AH89" s="465"/>
      <c r="AI89" s="465"/>
      <c r="AJ89" s="465"/>
      <c r="AK89" s="465"/>
      <c r="AL89" s="465"/>
      <c r="AM89" s="465"/>
      <c r="AN89" s="465"/>
      <c r="AO89" s="465"/>
      <c r="AP89" s="465"/>
      <c r="AQ89" s="465"/>
      <c r="AR89" s="465"/>
      <c r="AS89" s="465"/>
      <c r="AT89" s="465"/>
      <c r="AU89" s="465"/>
      <c r="AV89" s="465"/>
      <c r="AW89" s="465"/>
      <c r="AX89" s="465"/>
      <c r="AY89" s="465"/>
      <c r="AZ89" s="465"/>
      <c r="BA89" s="465"/>
      <c r="BB89" s="465"/>
      <c r="BC89" s="465"/>
      <c r="BD89" s="465"/>
      <c r="BE89" s="465"/>
      <c r="BF89" s="465"/>
      <c r="BH89" s="462"/>
    </row>
    <row r="90" spans="1:60" x14ac:dyDescent="0.2">
      <c r="A90" s="461"/>
      <c r="B90" s="462"/>
      <c r="C90" s="462"/>
      <c r="E90" s="117" t="s">
        <v>490</v>
      </c>
      <c r="F90" s="436"/>
      <c r="G90" s="437">
        <v>3</v>
      </c>
      <c r="H90" s="442">
        <f>SUMIF(RefineriesData!$J$16:$J$245,$B82&amp;RIGHT($E90,3),RefineriesData!$N$16:$N$245)</f>
        <v>0</v>
      </c>
      <c r="I90" s="442"/>
      <c r="J90" s="439"/>
      <c r="K90" s="435"/>
      <c r="L90" s="435"/>
      <c r="M90" s="435"/>
      <c r="N90" s="435"/>
      <c r="O90" s="439"/>
      <c r="P90" s="436"/>
      <c r="Q90" s="439"/>
      <c r="R90" s="435"/>
      <c r="S90" s="435"/>
      <c r="T90" s="435"/>
      <c r="U90" s="436"/>
      <c r="V90" s="436"/>
      <c r="W90" s="436"/>
      <c r="X90" s="436"/>
      <c r="Y90" s="436"/>
      <c r="Z90" s="436"/>
      <c r="AA90" s="436"/>
      <c r="AB90" s="436"/>
      <c r="AC90" s="436"/>
      <c r="AD90" s="436"/>
      <c r="AE90" s="465"/>
      <c r="AF90" s="465"/>
      <c r="AG90" s="465"/>
      <c r="AH90" s="465"/>
      <c r="AI90" s="465"/>
      <c r="AJ90" s="465"/>
      <c r="AK90" s="465"/>
      <c r="AL90" s="465"/>
      <c r="AM90" s="465"/>
      <c r="AN90" s="465"/>
      <c r="AO90" s="465"/>
      <c r="AP90" s="465"/>
      <c r="AQ90" s="465"/>
      <c r="AR90" s="465"/>
      <c r="AS90" s="465"/>
      <c r="AT90" s="465"/>
      <c r="AU90" s="465"/>
      <c r="AV90" s="465"/>
      <c r="AW90" s="465"/>
      <c r="AX90" s="465"/>
      <c r="AY90" s="465"/>
      <c r="AZ90" s="465"/>
      <c r="BA90" s="465"/>
      <c r="BB90" s="465"/>
      <c r="BC90" s="465"/>
      <c r="BD90" s="465"/>
      <c r="BE90" s="465"/>
      <c r="BF90" s="465"/>
      <c r="BH90" s="462"/>
    </row>
    <row r="91" spans="1:60" x14ac:dyDescent="0.2">
      <c r="A91" s="461"/>
      <c r="B91" s="462"/>
      <c r="C91" s="462"/>
      <c r="E91" s="117" t="s">
        <v>487</v>
      </c>
      <c r="F91" s="436"/>
      <c r="G91" s="437">
        <v>3</v>
      </c>
      <c r="H91" s="442">
        <f>SUMIF(RefineriesData!$J$16:$J$245,$B82&amp;RIGHT($E91,3),RefineriesData!$N$16:$N$245)</f>
        <v>3.5000000000000003E-2</v>
      </c>
      <c r="I91" s="442"/>
      <c r="J91" s="439"/>
      <c r="K91" s="435"/>
      <c r="L91" s="435"/>
      <c r="M91" s="435"/>
      <c r="N91" s="435"/>
      <c r="O91" s="439"/>
      <c r="P91" s="436"/>
      <c r="Q91" s="439"/>
      <c r="R91" s="435"/>
      <c r="S91" s="435"/>
      <c r="T91" s="435"/>
      <c r="U91" s="436"/>
      <c r="V91" s="436"/>
      <c r="W91" s="436"/>
      <c r="X91" s="436"/>
      <c r="Y91" s="436"/>
      <c r="Z91" s="436"/>
      <c r="AA91" s="436"/>
      <c r="AB91" s="436"/>
      <c r="AC91" s="436"/>
      <c r="AD91" s="436"/>
      <c r="AE91" s="465"/>
      <c r="AF91" s="465"/>
      <c r="AG91" s="465"/>
      <c r="AH91" s="465"/>
      <c r="AI91" s="465"/>
      <c r="AJ91" s="465"/>
      <c r="AK91" s="465"/>
      <c r="AL91" s="465"/>
      <c r="AM91" s="465"/>
      <c r="AN91" s="465"/>
      <c r="AO91" s="465"/>
      <c r="AP91" s="465"/>
      <c r="AQ91" s="465"/>
      <c r="AR91" s="465"/>
      <c r="AS91" s="465"/>
      <c r="AT91" s="465"/>
      <c r="AU91" s="465"/>
      <c r="AV91" s="465"/>
      <c r="AW91" s="465"/>
      <c r="AX91" s="465"/>
      <c r="AY91" s="465"/>
      <c r="AZ91" s="465"/>
      <c r="BA91" s="465"/>
      <c r="BB91" s="465"/>
      <c r="BC91" s="465"/>
      <c r="BD91" s="465"/>
      <c r="BE91" s="465"/>
      <c r="BF91" s="465"/>
      <c r="BH91" s="462"/>
    </row>
    <row r="92" spans="1:60" x14ac:dyDescent="0.2">
      <c r="A92" s="461"/>
      <c r="B92" s="462"/>
      <c r="C92" s="462"/>
      <c r="E92" s="117" t="s">
        <v>485</v>
      </c>
      <c r="F92" s="436"/>
      <c r="G92" s="437">
        <v>3</v>
      </c>
      <c r="H92" s="442">
        <f>SUMIF(RefineriesData!$J$16:$J$245,$B82&amp;RIGHT($E92,3),RefineriesData!$N$16:$N$245)</f>
        <v>0</v>
      </c>
      <c r="I92" s="442"/>
      <c r="J92" s="439"/>
      <c r="K92" s="435"/>
      <c r="L92" s="435"/>
      <c r="M92" s="435"/>
      <c r="N92" s="435"/>
      <c r="O92" s="439"/>
      <c r="P92" s="436"/>
      <c r="Q92" s="439"/>
      <c r="R92" s="435"/>
      <c r="S92" s="435"/>
      <c r="T92" s="435"/>
      <c r="U92" s="436"/>
      <c r="V92" s="436"/>
      <c r="W92" s="436"/>
      <c r="X92" s="436"/>
      <c r="Y92" s="436"/>
      <c r="Z92" s="436"/>
      <c r="AA92" s="436"/>
      <c r="AB92" s="436"/>
      <c r="AC92" s="436"/>
      <c r="AD92" s="436"/>
      <c r="AE92" s="465"/>
      <c r="AF92" s="465"/>
      <c r="AG92" s="465"/>
      <c r="AH92" s="465"/>
      <c r="AI92" s="465"/>
      <c r="AJ92" s="465"/>
      <c r="AK92" s="465"/>
      <c r="AL92" s="465"/>
      <c r="AM92" s="465"/>
      <c r="AN92" s="465"/>
      <c r="AO92" s="465"/>
      <c r="AP92" s="465"/>
      <c r="AQ92" s="465"/>
      <c r="AR92" s="465"/>
      <c r="AS92" s="465"/>
      <c r="AT92" s="465"/>
      <c r="AU92" s="465"/>
      <c r="AV92" s="465"/>
      <c r="AW92" s="465"/>
      <c r="AX92" s="465"/>
      <c r="AY92" s="465"/>
      <c r="AZ92" s="465"/>
      <c r="BA92" s="465"/>
      <c r="BB92" s="465"/>
      <c r="BC92" s="465"/>
      <c r="BD92" s="465"/>
      <c r="BE92" s="465"/>
      <c r="BF92" s="465"/>
      <c r="BH92" s="462"/>
    </row>
    <row r="93" spans="1:60" x14ac:dyDescent="0.2">
      <c r="A93" s="461" t="s">
        <v>799</v>
      </c>
      <c r="B93" s="462"/>
      <c r="C93" s="462"/>
      <c r="F93" s="436"/>
      <c r="G93" s="436"/>
      <c r="H93" s="436"/>
      <c r="I93" s="436"/>
      <c r="J93" s="439"/>
      <c r="K93" s="435"/>
      <c r="L93" s="435"/>
      <c r="M93" s="435"/>
      <c r="N93" s="435"/>
      <c r="O93" s="439"/>
      <c r="P93" s="436"/>
      <c r="Q93" s="439"/>
      <c r="R93" s="435"/>
      <c r="S93" s="435"/>
      <c r="T93" s="435"/>
      <c r="U93" s="436"/>
      <c r="V93" s="436"/>
      <c r="W93" s="436"/>
      <c r="X93" s="436"/>
      <c r="Y93" s="436"/>
      <c r="Z93" s="436"/>
      <c r="AA93" s="436"/>
      <c r="AB93" s="436"/>
      <c r="AC93" s="436"/>
      <c r="AD93" s="436"/>
      <c r="AE93" s="465"/>
      <c r="AF93" s="465"/>
      <c r="AG93" s="465"/>
      <c r="AH93" s="465"/>
      <c r="AI93" s="465"/>
      <c r="AJ93" s="465"/>
      <c r="AK93" s="465"/>
      <c r="AL93" s="465"/>
      <c r="AM93" s="465"/>
      <c r="AN93" s="465"/>
      <c r="AO93" s="465"/>
      <c r="AP93" s="465"/>
      <c r="AQ93" s="465"/>
      <c r="AR93" s="465"/>
      <c r="AS93" s="465"/>
      <c r="AT93" s="465"/>
      <c r="AU93" s="465"/>
      <c r="AV93" s="465"/>
      <c r="AW93" s="465"/>
      <c r="AX93" s="465"/>
      <c r="AY93" s="465"/>
      <c r="AZ93" s="465"/>
      <c r="BA93" s="465"/>
      <c r="BB93" s="465"/>
      <c r="BC93" s="465"/>
      <c r="BD93" s="465"/>
      <c r="BE93" s="465"/>
      <c r="BF93" s="465"/>
      <c r="BH93" s="462"/>
    </row>
    <row r="94" spans="1:60" x14ac:dyDescent="0.2">
      <c r="A94" s="461" t="s">
        <v>838</v>
      </c>
      <c r="B94" s="462" t="s">
        <v>131</v>
      </c>
      <c r="C94" s="462"/>
      <c r="D94" s="117" t="s">
        <v>821</v>
      </c>
      <c r="F94" s="435">
        <f>SUMIF(RefineriesData!$J$16:$J$245,$B94&amp;F$4,RefineriesData!$N$16:$N$245)</f>
        <v>0.97</v>
      </c>
      <c r="G94" s="436"/>
      <c r="H94" s="436"/>
      <c r="I94" s="436"/>
      <c r="J94" s="441">
        <f>IFERROR(zar.2010*SUMIF(RefineriesData!$J$13:$J$269,$B94&amp;J$4,RefineriesData!$N$13:$N$269),"")</f>
        <v>50.509956475237367</v>
      </c>
      <c r="K94" s="435">
        <f>SUMIF(RefineriesData!$J$13:$J$245,$B94&amp;K$5,RefineriesData!$N$13:$N$245)</f>
        <v>3.9048398119126899</v>
      </c>
      <c r="L94" s="435">
        <f>SUMIF(RefineriesData!$J$13:$J$245,$B94&amp;L$5,RefineriesData!$N$13:$N$245)</f>
        <v>0</v>
      </c>
      <c r="M94" s="435"/>
      <c r="N94" s="435"/>
      <c r="O94" s="439">
        <f>SUMIF(RefineriesData!$J$13:$J$267,$B94&amp;O$4,RefineriesData!$N$13:$N$267)</f>
        <v>2030</v>
      </c>
      <c r="P94" s="435">
        <f>SUMIF(RefineriesData!$J$16:$J$245,$B94&amp;P$4,RefineriesData!$N$16:$N$245)</f>
        <v>50</v>
      </c>
      <c r="Q94" s="435">
        <f>IFERROR(SUMIF(RefineriesData!$J$13:$J$269,$B94&amp;Q$4,RefineriesData!$N$13:$N$269),"")</f>
        <v>360.38200986736047</v>
      </c>
      <c r="R94" s="435">
        <v>-5</v>
      </c>
      <c r="S94" s="435" t="str">
        <f>""</f>
        <v/>
      </c>
      <c r="T94" s="435" t="str">
        <f>""</f>
        <v/>
      </c>
      <c r="U94" s="435" t="str">
        <f>""</f>
        <v/>
      </c>
      <c r="V94" s="435">
        <v>0.95</v>
      </c>
      <c r="W94" s="435"/>
      <c r="X94" s="435"/>
      <c r="Y94" s="435"/>
      <c r="Z94" s="435"/>
      <c r="AA94" s="435"/>
      <c r="AB94" s="435"/>
      <c r="AC94" s="435"/>
      <c r="AD94" s="435"/>
      <c r="AE94" s="465"/>
      <c r="AF94" s="465"/>
      <c r="AG94" s="465"/>
      <c r="AH94" s="465"/>
      <c r="AI94" s="465"/>
      <c r="AJ94" s="465"/>
      <c r="AK94" s="465"/>
      <c r="AL94" s="465"/>
      <c r="AM94" s="465"/>
      <c r="AN94" s="465"/>
      <c r="AO94" s="465"/>
      <c r="AP94" s="465"/>
      <c r="AQ94" s="465"/>
      <c r="AR94" s="465"/>
      <c r="AS94" s="465"/>
      <c r="AT94" s="465"/>
      <c r="AU94" s="465"/>
      <c r="AV94" s="465"/>
      <c r="AW94" s="465"/>
      <c r="AX94" s="465"/>
      <c r="AY94" s="465"/>
      <c r="AZ94" s="465"/>
      <c r="BA94" s="465"/>
      <c r="BB94" s="465"/>
      <c r="BC94" s="465"/>
      <c r="BD94" s="465"/>
      <c r="BE94" s="465"/>
      <c r="BF94" s="465"/>
      <c r="BH94" s="462"/>
    </row>
    <row r="95" spans="1:60" x14ac:dyDescent="0.2">
      <c r="A95" s="461"/>
      <c r="B95" s="462"/>
      <c r="C95" s="117" t="s">
        <v>822</v>
      </c>
      <c r="F95" s="436"/>
      <c r="G95" s="436"/>
      <c r="H95" s="436"/>
      <c r="I95" s="482">
        <f>SUMIF(RefineriesData!$J$16:$J$270,B94&amp;C95,RefineriesData!$N$16:$N$270)</f>
        <v>0</v>
      </c>
      <c r="J95" s="439"/>
      <c r="K95" s="435"/>
      <c r="L95" s="435"/>
      <c r="M95" s="435"/>
      <c r="N95" s="435"/>
      <c r="O95" s="439"/>
      <c r="P95" s="436"/>
      <c r="Q95" s="439"/>
      <c r="R95" s="435"/>
      <c r="S95" s="435"/>
      <c r="T95" s="435"/>
      <c r="U95" s="436"/>
      <c r="V95" s="436"/>
      <c r="W95" s="436"/>
      <c r="X95" s="436"/>
      <c r="Y95" s="436"/>
      <c r="Z95" s="436"/>
      <c r="AA95" s="436"/>
      <c r="AB95" s="436"/>
      <c r="AC95" s="436"/>
      <c r="AD95" s="436"/>
      <c r="AE95" s="465"/>
      <c r="AF95" s="465"/>
      <c r="AG95" s="465"/>
      <c r="AH95" s="465"/>
      <c r="AI95" s="465"/>
      <c r="AJ95" s="465"/>
      <c r="AK95" s="465"/>
      <c r="AL95" s="465"/>
      <c r="AM95" s="465"/>
      <c r="AN95" s="465"/>
      <c r="AO95" s="465"/>
      <c r="AP95" s="465"/>
      <c r="AQ95" s="465"/>
      <c r="AR95" s="465"/>
      <c r="AS95" s="465"/>
      <c r="AT95" s="465"/>
      <c r="AU95" s="465"/>
      <c r="AV95" s="465"/>
      <c r="AW95" s="465"/>
      <c r="AX95" s="465"/>
      <c r="AY95" s="465"/>
      <c r="AZ95" s="465"/>
      <c r="BA95" s="465"/>
      <c r="BB95" s="465"/>
      <c r="BC95" s="465"/>
      <c r="BD95" s="465"/>
      <c r="BE95" s="465"/>
      <c r="BF95" s="465"/>
      <c r="BH95" s="462"/>
    </row>
    <row r="96" spans="1:60" x14ac:dyDescent="0.2">
      <c r="A96" s="461"/>
      <c r="B96" s="462"/>
      <c r="C96" s="117" t="s">
        <v>823</v>
      </c>
      <c r="F96" s="436"/>
      <c r="G96" s="436"/>
      <c r="H96" s="436"/>
      <c r="I96" s="482">
        <f>SUMIF(RefineriesData!$J$16:$J$270,B94&amp;C96,RefineriesData!$N$16:$N$270)</f>
        <v>4.4562907610366017E-3</v>
      </c>
      <c r="J96" s="439"/>
      <c r="K96" s="435"/>
      <c r="L96" s="435"/>
      <c r="M96" s="435"/>
      <c r="N96" s="435"/>
      <c r="O96" s="439"/>
      <c r="P96" s="436"/>
      <c r="Q96" s="439"/>
      <c r="R96" s="435"/>
      <c r="S96" s="435"/>
      <c r="T96" s="435"/>
      <c r="U96" s="436"/>
      <c r="V96" s="436"/>
      <c r="W96" s="436"/>
      <c r="X96" s="436"/>
      <c r="Y96" s="436"/>
      <c r="Z96" s="436"/>
      <c r="AA96" s="436"/>
      <c r="AB96" s="436"/>
      <c r="AC96" s="436"/>
      <c r="AD96" s="436"/>
      <c r="AE96" s="465"/>
      <c r="AF96" s="465"/>
      <c r="AG96" s="465"/>
      <c r="AH96" s="465"/>
      <c r="AI96" s="465"/>
      <c r="AJ96" s="465"/>
      <c r="AK96" s="465"/>
      <c r="AL96" s="465"/>
      <c r="AM96" s="465"/>
      <c r="AN96" s="465"/>
      <c r="AO96" s="465"/>
      <c r="AP96" s="465"/>
      <c r="AQ96" s="465"/>
      <c r="AR96" s="465"/>
      <c r="AS96" s="465"/>
      <c r="AT96" s="465"/>
      <c r="AU96" s="465"/>
      <c r="AV96" s="465"/>
      <c r="AW96" s="465"/>
      <c r="AX96" s="465"/>
      <c r="AY96" s="465"/>
      <c r="AZ96" s="465"/>
      <c r="BA96" s="465"/>
      <c r="BB96" s="465"/>
      <c r="BC96" s="465"/>
      <c r="BD96" s="465"/>
      <c r="BE96" s="465"/>
      <c r="BF96" s="465"/>
      <c r="BH96" s="462"/>
    </row>
    <row r="97" spans="1:60" x14ac:dyDescent="0.2">
      <c r="A97" s="461"/>
      <c r="B97" s="462"/>
      <c r="C97" s="462"/>
      <c r="E97" s="117" t="s">
        <v>525</v>
      </c>
      <c r="F97" s="436"/>
      <c r="G97" s="437">
        <v>3</v>
      </c>
      <c r="H97" s="442">
        <f>SUMIF(RefineriesData!$J$16:$J$245,$B94&amp;RIGHT($E97,3),RefineriesData!$N$16:$N$245)</f>
        <v>0</v>
      </c>
      <c r="I97" s="442"/>
      <c r="J97" s="439"/>
      <c r="K97" s="435"/>
      <c r="L97" s="435"/>
      <c r="M97" s="435"/>
      <c r="N97" s="435"/>
      <c r="O97" s="436"/>
      <c r="P97" s="436"/>
      <c r="Q97" s="439"/>
      <c r="R97" s="435"/>
      <c r="S97" s="435"/>
      <c r="T97" s="435"/>
      <c r="U97" s="436"/>
      <c r="V97" s="436"/>
      <c r="W97" s="436"/>
      <c r="X97" s="436"/>
      <c r="Y97" s="436"/>
      <c r="Z97" s="436"/>
      <c r="AA97" s="436"/>
      <c r="AB97" s="436"/>
      <c r="AC97" s="436"/>
      <c r="AD97" s="436"/>
      <c r="AE97" s="465"/>
      <c r="AF97" s="465"/>
      <c r="AG97" s="465"/>
      <c r="AH97" s="465"/>
      <c r="AI97" s="465"/>
      <c r="AJ97" s="465"/>
      <c r="AK97" s="465"/>
      <c r="AL97" s="465"/>
      <c r="AM97" s="465"/>
      <c r="AN97" s="465"/>
      <c r="AO97" s="465"/>
      <c r="AP97" s="465"/>
      <c r="AQ97" s="465"/>
      <c r="AR97" s="465"/>
      <c r="AS97" s="465"/>
      <c r="AT97" s="465"/>
      <c r="AU97" s="465"/>
      <c r="AV97" s="465"/>
      <c r="AW97" s="465"/>
      <c r="AX97" s="465"/>
      <c r="AY97" s="465"/>
      <c r="AZ97" s="465"/>
      <c r="BA97" s="465"/>
      <c r="BB97" s="465"/>
      <c r="BC97" s="465"/>
      <c r="BD97" s="465"/>
      <c r="BE97" s="465"/>
      <c r="BF97" s="465"/>
      <c r="BH97" s="462"/>
    </row>
    <row r="98" spans="1:60" x14ac:dyDescent="0.2">
      <c r="A98" s="461"/>
      <c r="B98" s="462"/>
      <c r="C98" s="462"/>
      <c r="E98" s="117" t="s">
        <v>499</v>
      </c>
      <c r="F98" s="436"/>
      <c r="G98" s="437">
        <v>3</v>
      </c>
      <c r="H98" s="442">
        <f>SUMIF(RefineriesData!$J$16:$J$245,$B94&amp;RIGHT($E98,3),RefineriesData!$N$16:$N$245)</f>
        <v>0.375</v>
      </c>
      <c r="I98" s="442"/>
      <c r="J98" s="439"/>
      <c r="K98" s="435"/>
      <c r="L98" s="435"/>
      <c r="M98" s="435"/>
      <c r="N98" s="435"/>
      <c r="O98" s="436"/>
      <c r="P98" s="436"/>
      <c r="Q98" s="439"/>
      <c r="R98" s="435"/>
      <c r="S98" s="435"/>
      <c r="T98" s="435"/>
      <c r="U98" s="436"/>
      <c r="V98" s="436"/>
      <c r="W98" s="436"/>
      <c r="X98" s="436"/>
      <c r="Y98" s="436"/>
      <c r="Z98" s="436"/>
      <c r="AA98" s="436"/>
      <c r="AB98" s="436"/>
      <c r="AC98" s="436"/>
      <c r="AD98" s="436"/>
      <c r="AE98" s="465"/>
      <c r="AF98" s="465"/>
      <c r="AG98" s="465"/>
      <c r="AH98" s="465"/>
      <c r="AI98" s="465"/>
      <c r="AJ98" s="465"/>
      <c r="AK98" s="465"/>
      <c r="AL98" s="465"/>
      <c r="AM98" s="465"/>
      <c r="AN98" s="465"/>
      <c r="AO98" s="465"/>
      <c r="AP98" s="465"/>
      <c r="AQ98" s="465"/>
      <c r="AR98" s="465"/>
      <c r="AS98" s="465"/>
      <c r="AT98" s="465"/>
      <c r="AU98" s="465"/>
      <c r="AV98" s="465"/>
      <c r="AW98" s="465"/>
      <c r="AX98" s="465"/>
      <c r="AY98" s="465"/>
      <c r="AZ98" s="465"/>
      <c r="BA98" s="465"/>
      <c r="BB98" s="465"/>
      <c r="BC98" s="465"/>
      <c r="BD98" s="465"/>
      <c r="BE98" s="465"/>
      <c r="BF98" s="465"/>
      <c r="BH98" s="462"/>
    </row>
    <row r="99" spans="1:60" x14ac:dyDescent="0.2">
      <c r="A99" s="461"/>
      <c r="B99" s="462"/>
      <c r="C99" s="462"/>
      <c r="E99" s="117" t="s">
        <v>497</v>
      </c>
      <c r="F99" s="436"/>
      <c r="G99" s="437">
        <v>3</v>
      </c>
      <c r="H99" s="442">
        <f>SUMIF(RefineriesData!$J$16:$J$245,$B94&amp;RIGHT($E99,3),RefineriesData!$N$16:$N$245)</f>
        <v>0.375</v>
      </c>
      <c r="I99" s="442"/>
      <c r="J99" s="439"/>
      <c r="K99" s="435"/>
      <c r="L99" s="435"/>
      <c r="M99" s="435"/>
      <c r="N99" s="435"/>
      <c r="O99" s="436"/>
      <c r="P99" s="436"/>
      <c r="Q99" s="439"/>
      <c r="R99" s="435"/>
      <c r="S99" s="435"/>
      <c r="T99" s="435"/>
      <c r="U99" s="436"/>
      <c r="V99" s="436"/>
      <c r="W99" s="436"/>
      <c r="X99" s="436"/>
      <c r="Y99" s="436"/>
      <c r="Z99" s="436"/>
      <c r="AA99" s="436"/>
      <c r="AB99" s="436"/>
      <c r="AC99" s="436"/>
      <c r="AD99" s="436"/>
      <c r="AE99" s="465"/>
      <c r="AF99" s="465"/>
      <c r="AG99" s="465"/>
      <c r="AH99" s="465"/>
      <c r="AI99" s="465"/>
      <c r="AJ99" s="465"/>
      <c r="AK99" s="465"/>
      <c r="AL99" s="465"/>
      <c r="AM99" s="465"/>
      <c r="AN99" s="465"/>
      <c r="AO99" s="465"/>
      <c r="AP99" s="465"/>
      <c r="AQ99" s="465"/>
      <c r="AR99" s="465"/>
      <c r="AS99" s="465"/>
      <c r="AT99" s="465"/>
      <c r="AU99" s="465"/>
      <c r="AV99" s="465"/>
      <c r="AW99" s="465"/>
      <c r="AX99" s="465"/>
      <c r="AY99" s="465"/>
      <c r="AZ99" s="465"/>
      <c r="BA99" s="465"/>
      <c r="BB99" s="465"/>
      <c r="BC99" s="465"/>
      <c r="BD99" s="465"/>
      <c r="BE99" s="465"/>
      <c r="BF99" s="465"/>
      <c r="BH99" s="462"/>
    </row>
    <row r="100" spans="1:60" x14ac:dyDescent="0.2">
      <c r="A100" s="461"/>
      <c r="B100" s="462"/>
      <c r="C100" s="462"/>
      <c r="E100" s="117" t="s">
        <v>491</v>
      </c>
      <c r="F100" s="436"/>
      <c r="G100" s="437">
        <v>3</v>
      </c>
      <c r="H100" s="442">
        <f>SUMIF(RefineriesData!$J$16:$J$245,$B94&amp;RIGHT($E100,3),RefineriesData!$N$16:$N$245)</f>
        <v>0</v>
      </c>
      <c r="I100" s="442"/>
      <c r="J100" s="439"/>
      <c r="K100" s="435"/>
      <c r="L100" s="435"/>
      <c r="M100" s="435"/>
      <c r="N100" s="435"/>
      <c r="O100" s="436"/>
      <c r="P100" s="436"/>
      <c r="Q100" s="439"/>
      <c r="R100" s="435"/>
      <c r="S100" s="435"/>
      <c r="T100" s="435"/>
      <c r="U100" s="436"/>
      <c r="V100" s="436"/>
      <c r="W100" s="436"/>
      <c r="X100" s="436"/>
      <c r="Y100" s="436"/>
      <c r="Z100" s="436"/>
      <c r="AA100" s="436"/>
      <c r="AB100" s="436"/>
      <c r="AC100" s="436"/>
      <c r="AD100" s="436"/>
      <c r="AE100" s="465"/>
      <c r="AF100" s="465"/>
      <c r="AG100" s="465"/>
      <c r="AH100" s="465"/>
      <c r="AI100" s="465"/>
      <c r="AJ100" s="465"/>
      <c r="AK100" s="465"/>
      <c r="AL100" s="465"/>
      <c r="AM100" s="465"/>
      <c r="AN100" s="465"/>
      <c r="AO100" s="465"/>
      <c r="AP100" s="465"/>
      <c r="AQ100" s="465"/>
      <c r="AR100" s="465"/>
      <c r="AS100" s="465"/>
      <c r="AT100" s="465"/>
      <c r="AU100" s="465"/>
      <c r="AV100" s="465"/>
      <c r="AW100" s="465"/>
      <c r="AX100" s="465"/>
      <c r="AY100" s="465"/>
      <c r="AZ100" s="465"/>
      <c r="BA100" s="465"/>
      <c r="BB100" s="465"/>
      <c r="BC100" s="465"/>
      <c r="BD100" s="465"/>
      <c r="BE100" s="465"/>
      <c r="BF100" s="465"/>
      <c r="BH100" s="462"/>
    </row>
    <row r="101" spans="1:60" x14ac:dyDescent="0.2">
      <c r="A101" s="461"/>
      <c r="B101" s="462"/>
      <c r="C101" s="462"/>
      <c r="E101" s="117" t="s">
        <v>490</v>
      </c>
      <c r="F101" s="436"/>
      <c r="G101" s="437">
        <v>3</v>
      </c>
      <c r="H101" s="442">
        <f>SUMIF(RefineriesData!$J$16:$J$245,$B94&amp;RIGHT($E101,3),RefineriesData!$N$16:$N$245)</f>
        <v>0.2</v>
      </c>
      <c r="I101" s="442"/>
      <c r="J101" s="439"/>
      <c r="K101" s="435"/>
      <c r="L101" s="435"/>
      <c r="M101" s="435"/>
      <c r="N101" s="435"/>
      <c r="O101" s="436"/>
      <c r="P101" s="436"/>
      <c r="Q101" s="439"/>
      <c r="R101" s="435"/>
      <c r="S101" s="435"/>
      <c r="T101" s="435"/>
      <c r="U101" s="436"/>
      <c r="V101" s="436"/>
      <c r="W101" s="436"/>
      <c r="X101" s="436"/>
      <c r="Y101" s="436"/>
      <c r="Z101" s="436"/>
      <c r="AA101" s="436"/>
      <c r="AB101" s="436"/>
      <c r="AC101" s="436"/>
      <c r="AD101" s="436"/>
      <c r="AE101" s="465"/>
      <c r="AF101" s="465"/>
      <c r="AG101" s="465"/>
      <c r="AH101" s="465"/>
      <c r="AI101" s="465"/>
      <c r="AJ101" s="465"/>
      <c r="AK101" s="465"/>
      <c r="AL101" s="465"/>
      <c r="AM101" s="465"/>
      <c r="AN101" s="465"/>
      <c r="AO101" s="465"/>
      <c r="AP101" s="465"/>
      <c r="AQ101" s="465"/>
      <c r="AR101" s="465"/>
      <c r="AS101" s="465"/>
      <c r="AT101" s="465"/>
      <c r="AU101" s="465"/>
      <c r="AV101" s="465"/>
      <c r="AW101" s="465"/>
      <c r="AX101" s="465"/>
      <c r="AY101" s="465"/>
      <c r="AZ101" s="465"/>
      <c r="BA101" s="465"/>
      <c r="BB101" s="465"/>
      <c r="BC101" s="465"/>
      <c r="BD101" s="465"/>
      <c r="BE101" s="465"/>
      <c r="BF101" s="465"/>
      <c r="BH101" s="462"/>
    </row>
    <row r="102" spans="1:60" x14ac:dyDescent="0.2">
      <c r="A102" s="461"/>
      <c r="B102" s="462"/>
      <c r="C102" s="462"/>
      <c r="E102" s="117" t="s">
        <v>487</v>
      </c>
      <c r="F102" s="436"/>
      <c r="G102" s="437">
        <v>3</v>
      </c>
      <c r="H102" s="442">
        <f>SUMIF(RefineriesData!$J$16:$J$245,$B94&amp;RIGHT($E102,3),RefineriesData!$N$16:$N$245)</f>
        <v>0.03</v>
      </c>
      <c r="I102" s="442"/>
      <c r="J102" s="439"/>
      <c r="K102" s="435"/>
      <c r="L102" s="435"/>
      <c r="M102" s="435"/>
      <c r="N102" s="435"/>
      <c r="O102" s="436"/>
      <c r="P102" s="436"/>
      <c r="Q102" s="439"/>
      <c r="R102" s="435"/>
      <c r="S102" s="435"/>
      <c r="T102" s="435"/>
      <c r="U102" s="436"/>
      <c r="V102" s="436"/>
      <c r="W102" s="436"/>
      <c r="X102" s="436"/>
      <c r="Y102" s="436"/>
      <c r="Z102" s="436"/>
      <c r="AA102" s="436"/>
      <c r="AB102" s="436"/>
      <c r="AC102" s="436"/>
      <c r="AD102" s="436"/>
      <c r="AE102" s="465"/>
      <c r="AF102" s="465"/>
      <c r="AG102" s="465"/>
      <c r="AH102" s="465"/>
      <c r="AI102" s="465"/>
      <c r="AJ102" s="465"/>
      <c r="AK102" s="465"/>
      <c r="AL102" s="465"/>
      <c r="AM102" s="465"/>
      <c r="AN102" s="465"/>
      <c r="AO102" s="465"/>
      <c r="AP102" s="465"/>
      <c r="AQ102" s="465"/>
      <c r="AR102" s="465"/>
      <c r="AS102" s="465"/>
      <c r="AT102" s="465"/>
      <c r="AU102" s="465"/>
      <c r="AV102" s="465"/>
      <c r="AW102" s="465"/>
      <c r="AX102" s="465"/>
      <c r="AY102" s="465"/>
      <c r="AZ102" s="465"/>
      <c r="BA102" s="465"/>
      <c r="BB102" s="465"/>
      <c r="BC102" s="465"/>
      <c r="BD102" s="465"/>
      <c r="BE102" s="465"/>
      <c r="BF102" s="465"/>
      <c r="BH102" s="462"/>
    </row>
    <row r="103" spans="1:60" ht="15" x14ac:dyDescent="0.25">
      <c r="A103" s="461"/>
      <c r="B103" s="462"/>
      <c r="C103" s="462"/>
      <c r="E103" s="117" t="s">
        <v>485</v>
      </c>
      <c r="F103" s="436"/>
      <c r="G103" s="437">
        <v>3</v>
      </c>
      <c r="H103" s="463">
        <v>0.05</v>
      </c>
      <c r="I103" s="463"/>
      <c r="J103" s="439"/>
      <c r="K103" s="435"/>
      <c r="L103" s="435"/>
      <c r="M103" s="435"/>
      <c r="N103" s="435"/>
      <c r="O103" s="436"/>
      <c r="P103" s="436"/>
      <c r="Q103" s="439"/>
      <c r="R103" s="435"/>
      <c r="S103" s="435"/>
      <c r="T103" s="435"/>
      <c r="U103" s="436"/>
      <c r="V103" s="436"/>
      <c r="W103" s="436"/>
      <c r="X103" s="436"/>
      <c r="Y103" s="436"/>
      <c r="Z103" s="436"/>
      <c r="AA103" s="436"/>
      <c r="AB103" s="436"/>
      <c r="AC103" s="436"/>
      <c r="AD103" s="436"/>
      <c r="AE103" s="465"/>
      <c r="AF103" s="465"/>
      <c r="AG103" s="465"/>
      <c r="AH103" s="465"/>
      <c r="AI103" s="465"/>
      <c r="AJ103" s="465"/>
      <c r="AK103" s="465"/>
      <c r="AL103" s="465"/>
      <c r="AM103" s="465"/>
      <c r="AN103" s="465"/>
      <c r="AO103" s="465"/>
      <c r="AP103" s="465"/>
      <c r="AQ103" s="465"/>
      <c r="AR103" s="465"/>
      <c r="AS103" s="465"/>
      <c r="AT103" s="465"/>
      <c r="AU103" s="465"/>
      <c r="AV103" s="465"/>
      <c r="AW103" s="465"/>
      <c r="AX103" s="465"/>
      <c r="AY103" s="465"/>
      <c r="AZ103" s="465"/>
      <c r="BA103" s="465"/>
      <c r="BB103" s="465"/>
      <c r="BC103" s="465"/>
      <c r="BD103" s="465"/>
      <c r="BE103" s="465"/>
      <c r="BF103" s="465"/>
      <c r="BH103" s="462"/>
    </row>
    <row r="104" spans="1:60" x14ac:dyDescent="0.2">
      <c r="A104" s="461" t="s">
        <v>799</v>
      </c>
      <c r="B104" s="462"/>
      <c r="C104" s="462"/>
      <c r="F104" s="436"/>
      <c r="G104" s="436"/>
      <c r="H104" s="436"/>
      <c r="I104" s="436"/>
      <c r="J104" s="439"/>
      <c r="K104" s="435"/>
      <c r="L104" s="435"/>
      <c r="M104" s="435"/>
      <c r="N104" s="435"/>
      <c r="O104" s="436"/>
      <c r="P104" s="436"/>
      <c r="Q104" s="439"/>
      <c r="R104" s="435"/>
      <c r="S104" s="435"/>
      <c r="T104" s="435"/>
      <c r="U104" s="436"/>
      <c r="V104" s="436"/>
      <c r="W104" s="436"/>
      <c r="X104" s="436"/>
      <c r="Y104" s="436"/>
      <c r="Z104" s="436"/>
      <c r="AA104" s="436"/>
      <c r="AB104" s="436"/>
      <c r="AC104" s="436"/>
      <c r="AD104" s="436"/>
      <c r="AE104" s="465"/>
      <c r="AF104" s="465"/>
      <c r="AG104" s="465"/>
      <c r="AH104" s="465"/>
      <c r="AI104" s="465"/>
      <c r="AJ104" s="465"/>
      <c r="AK104" s="465"/>
      <c r="AL104" s="465"/>
      <c r="AM104" s="465"/>
      <c r="AN104" s="465"/>
      <c r="AO104" s="465"/>
      <c r="AP104" s="465"/>
      <c r="AQ104" s="465"/>
      <c r="AR104" s="465"/>
      <c r="AS104" s="465"/>
      <c r="AT104" s="465"/>
      <c r="AU104" s="465"/>
      <c r="AV104" s="465"/>
      <c r="AW104" s="465"/>
      <c r="AX104" s="465"/>
      <c r="AY104" s="465"/>
      <c r="AZ104" s="465"/>
      <c r="BA104" s="465"/>
      <c r="BB104" s="465"/>
      <c r="BC104" s="465"/>
      <c r="BD104" s="465"/>
      <c r="BE104" s="465"/>
      <c r="BF104" s="465"/>
      <c r="BH104" s="462"/>
    </row>
    <row r="105" spans="1:60" x14ac:dyDescent="0.2">
      <c r="A105" s="461" t="s">
        <v>798</v>
      </c>
      <c r="B105" s="462" t="s">
        <v>707</v>
      </c>
      <c r="C105" s="462"/>
      <c r="D105" s="117" t="s">
        <v>833</v>
      </c>
      <c r="E105" s="117" t="s">
        <v>834</v>
      </c>
      <c r="F105" s="435">
        <f>RefineriesData!D32</f>
        <v>0.85097909094621615</v>
      </c>
      <c r="G105" s="436"/>
      <c r="H105" s="436"/>
      <c r="I105" s="436"/>
      <c r="J105" s="435"/>
      <c r="K105" s="484">
        <f>RefineriesData!D33</f>
        <v>95.428011064048093</v>
      </c>
      <c r="L105" s="468">
        <f>[4]NameConv!$AZ$14/F105</f>
        <v>1.1751170042122719E-3</v>
      </c>
      <c r="M105" s="484"/>
      <c r="N105" s="468"/>
      <c r="O105" s="435"/>
      <c r="P105" s="436"/>
      <c r="Q105" s="435"/>
      <c r="R105" s="465"/>
      <c r="S105" s="465"/>
      <c r="T105" s="465"/>
      <c r="U105" s="436"/>
      <c r="V105" s="436"/>
      <c r="W105" s="436"/>
      <c r="X105" s="436"/>
      <c r="Y105" s="436"/>
      <c r="Z105" s="436"/>
      <c r="AA105" s="436"/>
      <c r="AB105" s="436"/>
      <c r="AC105" s="436"/>
      <c r="AD105" s="436"/>
      <c r="AE105" s="469"/>
      <c r="AF105" s="469"/>
      <c r="AG105" s="469"/>
      <c r="AH105" s="469"/>
      <c r="AI105" s="465"/>
      <c r="AJ105" s="465"/>
      <c r="AK105" s="465"/>
      <c r="AL105" s="465"/>
      <c r="AM105" s="465"/>
      <c r="AN105" s="465"/>
      <c r="AO105" s="465"/>
      <c r="AP105" s="465"/>
      <c r="AQ105" s="465"/>
      <c r="AR105" s="465"/>
      <c r="AS105" s="465"/>
      <c r="AT105" s="465"/>
      <c r="AU105" s="465"/>
      <c r="AV105" s="465"/>
      <c r="AW105" s="465"/>
      <c r="AX105" s="465"/>
      <c r="AY105" s="465"/>
      <c r="AZ105" s="465"/>
      <c r="BA105" s="465"/>
      <c r="BB105" s="465"/>
      <c r="BC105" s="465"/>
      <c r="BD105" s="465"/>
      <c r="BE105" s="465"/>
      <c r="BF105" s="465"/>
    </row>
    <row r="106" spans="1:60" x14ac:dyDescent="0.2">
      <c r="A106" s="461" t="s">
        <v>797</v>
      </c>
      <c r="B106" s="462" t="s">
        <v>839</v>
      </c>
      <c r="C106" s="462"/>
      <c r="D106" s="117" t="s">
        <v>833</v>
      </c>
      <c r="E106" s="117" t="s">
        <v>837</v>
      </c>
      <c r="F106" s="435">
        <f>F105</f>
        <v>0.85097909094621615</v>
      </c>
      <c r="G106" s="436"/>
      <c r="H106" s="436"/>
      <c r="I106" s="436"/>
      <c r="J106" s="435"/>
      <c r="K106" s="484">
        <f>RefineriesData!D31/F106</f>
        <v>95.428011064048093</v>
      </c>
      <c r="L106" s="468">
        <f>[4]NameConv!$AZ$14/F106</f>
        <v>1.1751170042122719E-3</v>
      </c>
      <c r="M106" s="484"/>
      <c r="N106" s="468"/>
      <c r="O106" s="435"/>
      <c r="P106" s="436"/>
      <c r="Q106" s="435"/>
      <c r="R106" s="465"/>
      <c r="S106" s="465"/>
      <c r="T106" s="465"/>
      <c r="U106" s="436"/>
      <c r="V106" s="436"/>
      <c r="W106" s="436"/>
      <c r="X106" s="436"/>
      <c r="Y106" s="436"/>
      <c r="Z106" s="436"/>
      <c r="AA106" s="436"/>
      <c r="AB106" s="436"/>
      <c r="AC106" s="436"/>
      <c r="AD106" s="436"/>
      <c r="AE106" s="465"/>
      <c r="AF106" s="465"/>
      <c r="AG106" s="465"/>
      <c r="AH106" s="465"/>
      <c r="AI106" s="465"/>
      <c r="AJ106" s="465"/>
      <c r="AK106" s="465"/>
      <c r="AL106" s="465"/>
      <c r="AM106" s="465"/>
      <c r="AN106" s="465"/>
      <c r="AO106" s="465"/>
      <c r="AP106" s="465"/>
      <c r="AQ106" s="465"/>
      <c r="AR106" s="465"/>
      <c r="AS106" s="465"/>
      <c r="AT106" s="465"/>
      <c r="AU106" s="465"/>
      <c r="AV106" s="465"/>
      <c r="AW106" s="465"/>
      <c r="AX106" s="465"/>
      <c r="AY106" s="465"/>
      <c r="AZ106" s="465"/>
      <c r="BA106" s="465"/>
      <c r="BB106" s="465"/>
      <c r="BC106" s="465"/>
      <c r="BD106" s="465"/>
      <c r="BE106" s="465"/>
      <c r="BF106" s="465"/>
    </row>
    <row r="107" spans="1:60" x14ac:dyDescent="0.2">
      <c r="A107" s="461" t="s">
        <v>796</v>
      </c>
      <c r="B107" s="462" t="s">
        <v>840</v>
      </c>
      <c r="D107" s="117" t="s">
        <v>733</v>
      </c>
      <c r="E107" s="438" t="s">
        <v>514</v>
      </c>
      <c r="F107" s="437">
        <v>1</v>
      </c>
      <c r="G107" s="435"/>
      <c r="H107" s="435"/>
      <c r="I107" s="435"/>
      <c r="J107" s="465"/>
      <c r="K107" s="484">
        <f>[4]NameConv!AY18</f>
        <v>56.1</v>
      </c>
      <c r="L107" s="468">
        <f>[4]NameConv!AZ18</f>
        <v>1E-3</v>
      </c>
      <c r="M107" s="484"/>
      <c r="N107" s="468"/>
      <c r="P107" s="436"/>
      <c r="Q107" s="435"/>
      <c r="R107" s="465"/>
      <c r="S107" s="465"/>
      <c r="T107" s="465"/>
      <c r="U107" s="436"/>
      <c r="V107" s="436"/>
      <c r="W107" s="436"/>
      <c r="X107" s="436"/>
      <c r="Y107" s="436"/>
      <c r="Z107" s="436"/>
      <c r="AA107" s="436"/>
      <c r="AB107" s="436"/>
      <c r="AC107" s="436"/>
      <c r="AD107" s="436"/>
      <c r="AE107" s="465"/>
      <c r="AF107" s="465"/>
      <c r="AG107" s="465"/>
      <c r="AH107" s="465"/>
      <c r="AI107" s="465"/>
      <c r="AJ107" s="465"/>
      <c r="AK107" s="465"/>
      <c r="AL107" s="465"/>
      <c r="AM107" s="465"/>
      <c r="AN107" s="465"/>
      <c r="AO107" s="465"/>
      <c r="AP107" s="465"/>
      <c r="AQ107" s="465"/>
      <c r="AR107" s="465"/>
      <c r="AS107" s="465"/>
      <c r="AT107" s="465"/>
      <c r="AU107" s="465"/>
      <c r="AV107" s="465"/>
      <c r="AW107" s="465"/>
      <c r="AX107" s="465"/>
      <c r="AY107" s="465"/>
      <c r="AZ107" s="465"/>
      <c r="BA107" s="465"/>
      <c r="BB107" s="465"/>
      <c r="BC107" s="465"/>
      <c r="BD107" s="465"/>
      <c r="BE107" s="465"/>
      <c r="BF107" s="465"/>
    </row>
    <row r="110" spans="1:60" x14ac:dyDescent="0.2">
      <c r="E110" s="117" t="s">
        <v>791</v>
      </c>
    </row>
    <row r="111" spans="1:60" x14ac:dyDescent="0.2">
      <c r="E111" s="117" t="s">
        <v>525</v>
      </c>
      <c r="AD111" s="117">
        <f>SUMIF($E$7:$E$107,E111,$AD$7:$AD$107)</f>
        <v>2.5081333868762536</v>
      </c>
    </row>
    <row r="112" spans="1:60" x14ac:dyDescent="0.2">
      <c r="E112" s="117" t="s">
        <v>499</v>
      </c>
      <c r="AD112" s="117">
        <f t="shared" ref="AD112:AD117" si="14">SUMIF($E$7:$E$107,E112,$AD$7:$AD$107)</f>
        <v>303.09899561263535</v>
      </c>
    </row>
    <row r="113" spans="5:30" x14ac:dyDescent="0.2">
      <c r="E113" s="117" t="s">
        <v>497</v>
      </c>
      <c r="AD113" s="117">
        <f t="shared" si="14"/>
        <v>349.69632725204076</v>
      </c>
    </row>
    <row r="114" spans="5:30" x14ac:dyDescent="0.2">
      <c r="E114" s="117" t="s">
        <v>491</v>
      </c>
      <c r="AD114" s="117">
        <f t="shared" si="14"/>
        <v>135.16558341186152</v>
      </c>
    </row>
    <row r="115" spans="5:30" x14ac:dyDescent="0.2">
      <c r="E115" s="117" t="s">
        <v>490</v>
      </c>
      <c r="AD115" s="117">
        <f t="shared" si="14"/>
        <v>106.74674803946569</v>
      </c>
    </row>
    <row r="116" spans="5:30" x14ac:dyDescent="0.2">
      <c r="E116" s="117" t="s">
        <v>487</v>
      </c>
      <c r="AD116" s="117">
        <f t="shared" si="14"/>
        <v>16.6051042631893</v>
      </c>
    </row>
    <row r="117" spans="5:30" x14ac:dyDescent="0.2">
      <c r="E117" s="117" t="s">
        <v>485</v>
      </c>
      <c r="AD117" s="117">
        <f t="shared" si="14"/>
        <v>52.183618971427094</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96F12-77DD-4A7C-83A1-AE9ADF683872}">
  <sheetPr codeName="Sheet9">
    <tabColor theme="9"/>
  </sheetPr>
  <dimension ref="A1:AH286"/>
  <sheetViews>
    <sheetView tabSelected="1" topLeftCell="A237" workbookViewId="0">
      <selection activeCell="N267" sqref="N267"/>
    </sheetView>
  </sheetViews>
  <sheetFormatPr defaultColWidth="11.42578125" defaultRowHeight="15" x14ac:dyDescent="0.25"/>
  <cols>
    <col min="1" max="1" width="11.42578125" style="252" customWidth="1"/>
    <col min="2" max="2" width="39.28515625" style="252" customWidth="1"/>
    <col min="3" max="3" width="12.42578125" style="252" customWidth="1"/>
    <col min="4" max="4" width="11.85546875" style="252" customWidth="1"/>
    <col min="5" max="9" width="11.42578125" style="252" customWidth="1"/>
    <col min="10" max="10" width="23" style="252" customWidth="1"/>
    <col min="11" max="11" width="9.28515625" style="252" customWidth="1"/>
    <col min="12" max="12" width="35.42578125" style="252" customWidth="1"/>
    <col min="13" max="13" width="11.42578125" style="252" customWidth="1"/>
    <col min="14" max="14" width="12.28515625" style="252" customWidth="1"/>
    <col min="15" max="15" width="11.42578125" style="252" customWidth="1"/>
    <col min="16" max="16" width="12.42578125" customWidth="1"/>
    <col min="17" max="17" width="12.7109375" customWidth="1"/>
    <col min="18" max="18" width="34.42578125" customWidth="1"/>
    <col min="19" max="19" width="16.7109375" customWidth="1"/>
    <col min="20" max="22" width="11.42578125" customWidth="1"/>
    <col min="23" max="26" width="11.42578125" style="252"/>
    <col min="27" max="27" width="17.28515625" style="252" bestFit="1" customWidth="1"/>
    <col min="28" max="16384" width="11.42578125" style="252"/>
  </cols>
  <sheetData>
    <row r="1" spans="2:30" ht="20.25" thickBot="1" x14ac:dyDescent="0.35">
      <c r="B1" s="434" t="s">
        <v>795</v>
      </c>
      <c r="C1" s="434"/>
      <c r="D1" s="434"/>
      <c r="E1" s="434"/>
      <c r="F1" s="434"/>
      <c r="G1" s="434"/>
      <c r="H1" s="434"/>
      <c r="I1" s="434"/>
      <c r="J1" s="434"/>
    </row>
    <row r="2" spans="2:30" ht="15.75" thickTop="1" x14ac:dyDescent="0.25"/>
    <row r="3" spans="2:30" ht="15.75" thickBot="1" x14ac:dyDescent="0.3">
      <c r="B3" s="316" t="s">
        <v>314</v>
      </c>
    </row>
    <row r="4" spans="2:30" x14ac:dyDescent="0.25">
      <c r="B4" s="390" t="s">
        <v>794</v>
      </c>
      <c r="L4" s="342" t="s">
        <v>793</v>
      </c>
      <c r="M4" s="373">
        <v>0.08</v>
      </c>
    </row>
    <row r="5" spans="2:30" x14ac:dyDescent="0.25">
      <c r="B5" s="433" t="s">
        <v>792</v>
      </c>
    </row>
    <row r="6" spans="2:30" x14ac:dyDescent="0.25">
      <c r="B6" s="432" t="s">
        <v>791</v>
      </c>
    </row>
    <row r="7" spans="2:30" x14ac:dyDescent="0.25">
      <c r="B7" s="431" t="s">
        <v>790</v>
      </c>
    </row>
    <row r="8" spans="2:30" x14ac:dyDescent="0.25">
      <c r="H8" s="106"/>
      <c r="I8" s="106"/>
    </row>
    <row r="9" spans="2:30" ht="18" thickBot="1" x14ac:dyDescent="0.35">
      <c r="B9" s="384" t="s">
        <v>789</v>
      </c>
      <c r="L9" s="384" t="s">
        <v>788</v>
      </c>
      <c r="N9" s="252" t="str">
        <f>UPS!$B$70</f>
        <v>UCTLCLEIN-E</v>
      </c>
      <c r="U9" t="s">
        <v>781</v>
      </c>
      <c r="Z9" s="316" t="s">
        <v>787</v>
      </c>
    </row>
    <row r="10" spans="2:30" ht="16.5" thickTop="1" thickBot="1" x14ac:dyDescent="0.3">
      <c r="B10" s="316" t="s">
        <v>786</v>
      </c>
      <c r="C10" s="342" t="s">
        <v>785</v>
      </c>
      <c r="D10" s="342" t="s">
        <v>784</v>
      </c>
      <c r="E10" s="342" t="s">
        <v>781</v>
      </c>
      <c r="M10" s="342" t="s">
        <v>194</v>
      </c>
      <c r="N10" s="342" t="s">
        <v>783</v>
      </c>
      <c r="O10" s="342" t="s">
        <v>782</v>
      </c>
      <c r="P10" s="20" t="s">
        <v>781</v>
      </c>
      <c r="T10">
        <v>2010</v>
      </c>
      <c r="AA10" s="252">
        <v>300000</v>
      </c>
    </row>
    <row r="11" spans="2:30" x14ac:dyDescent="0.25">
      <c r="B11" s="252" t="s">
        <v>183</v>
      </c>
      <c r="C11" s="252" t="s">
        <v>768</v>
      </c>
      <c r="D11" s="395">
        <v>36</v>
      </c>
      <c r="E11" s="430" t="s">
        <v>779</v>
      </c>
      <c r="M11" s="342"/>
      <c r="N11" s="342"/>
      <c r="O11" s="342"/>
      <c r="P11" s="20"/>
      <c r="Q11" s="426"/>
      <c r="R11" s="423" t="s">
        <v>531</v>
      </c>
    </row>
    <row r="12" spans="2:30" ht="15.75" thickBot="1" x14ac:dyDescent="0.3">
      <c r="B12" s="252" t="s">
        <v>780</v>
      </c>
      <c r="C12" s="252" t="s">
        <v>768</v>
      </c>
      <c r="D12" s="395">
        <f>D11-D15+D16</f>
        <v>41</v>
      </c>
      <c r="E12" s="430" t="s">
        <v>779</v>
      </c>
      <c r="L12" s="316" t="s">
        <v>778</v>
      </c>
      <c r="P12" s="20"/>
      <c r="Q12" s="423" t="s">
        <v>504</v>
      </c>
      <c r="R12" s="429">
        <f>R34*N53</f>
        <v>26466.55541304715</v>
      </c>
      <c r="T12" s="195"/>
      <c r="Z12" s="252" t="s">
        <v>777</v>
      </c>
      <c r="AA12" s="252">
        <v>0.2089</v>
      </c>
      <c r="AB12" s="195">
        <f>AA12*$AA$10</f>
        <v>62670</v>
      </c>
      <c r="AC12" s="252">
        <f>N29</f>
        <v>74.066699999999997</v>
      </c>
      <c r="AD12" s="195">
        <f t="shared" ref="AD12:AD18" si="0">AC12*AB12/1000</f>
        <v>4641.7600889999994</v>
      </c>
    </row>
    <row r="13" spans="2:30" x14ac:dyDescent="0.25">
      <c r="B13" s="252" t="s">
        <v>641</v>
      </c>
      <c r="C13" s="252" t="s">
        <v>768</v>
      </c>
      <c r="D13" s="395">
        <v>1.2</v>
      </c>
      <c r="L13" s="252" t="s">
        <v>776</v>
      </c>
      <c r="M13" s="195">
        <f>D21*D24</f>
        <v>553766.3687872201</v>
      </c>
      <c r="N13" s="106">
        <v>96.25</v>
      </c>
      <c r="O13" s="195">
        <f>M13*N13/1000</f>
        <v>53300.012995769932</v>
      </c>
      <c r="P13" s="20"/>
      <c r="Q13" s="423" t="s">
        <v>399</v>
      </c>
      <c r="R13" s="429">
        <f>'SASOL CC 2019 report'!O33</f>
        <v>25578.843000000001</v>
      </c>
      <c r="S13" s="252" t="str">
        <f>L13</f>
        <v>Coal Material Input</v>
      </c>
      <c r="T13" s="195">
        <v>542321</v>
      </c>
      <c r="U13" t="s">
        <v>775</v>
      </c>
      <c r="Z13" s="252" t="s">
        <v>774</v>
      </c>
      <c r="AA13" s="252">
        <v>0.1241</v>
      </c>
      <c r="AB13" s="195"/>
      <c r="AD13" s="195">
        <f t="shared" si="0"/>
        <v>0</v>
      </c>
    </row>
    <row r="14" spans="2:30" x14ac:dyDescent="0.25">
      <c r="B14" s="252" t="s">
        <v>675</v>
      </c>
      <c r="C14" s="252" t="s">
        <v>768</v>
      </c>
      <c r="D14" s="395">
        <f>D12-D13</f>
        <v>39.799999999999997</v>
      </c>
      <c r="I14"/>
      <c r="L14" s="252" t="s">
        <v>773</v>
      </c>
      <c r="M14" s="428">
        <v>51780</v>
      </c>
      <c r="N14" s="382">
        <f>M14/SUM(M13:M14)</f>
        <v>8.5509554129940976E-2</v>
      </c>
      <c r="O14" s="195"/>
      <c r="P14" s="20"/>
      <c r="Q14" s="423" t="s">
        <v>577</v>
      </c>
      <c r="R14" s="427">
        <f>1- R12/R13</f>
        <v>-3.4704947876146974E-2</v>
      </c>
      <c r="S14" s="252" t="str">
        <f>L14</f>
        <v>Gas Material Input</v>
      </c>
      <c r="T14" s="195">
        <v>66763.742000000013</v>
      </c>
      <c r="U14" t="s">
        <v>772</v>
      </c>
      <c r="Z14" s="252" t="s">
        <v>771</v>
      </c>
      <c r="AA14" s="252">
        <v>2.2200000000000001E-2</v>
      </c>
      <c r="AB14" s="195">
        <f>AA14*$AA$10</f>
        <v>6660</v>
      </c>
      <c r="AC14" s="252">
        <f>N31</f>
        <v>71.5</v>
      </c>
      <c r="AD14" s="195">
        <f t="shared" si="0"/>
        <v>476.19</v>
      </c>
    </row>
    <row r="15" spans="2:30" x14ac:dyDescent="0.25">
      <c r="B15" s="252" t="s">
        <v>770</v>
      </c>
      <c r="C15" s="252" t="s">
        <v>768</v>
      </c>
      <c r="D15" s="395">
        <v>3</v>
      </c>
      <c r="N15" s="106"/>
      <c r="Q15" s="426"/>
      <c r="R15" s="426"/>
      <c r="Z15" s="252" t="s">
        <v>55</v>
      </c>
      <c r="AA15" s="252">
        <v>1.89E-2</v>
      </c>
      <c r="AB15" s="195">
        <f>AA15*$AA$10</f>
        <v>5670</v>
      </c>
      <c r="AC15" s="252">
        <f>N32</f>
        <v>63.07</v>
      </c>
      <c r="AD15" s="195">
        <f t="shared" si="0"/>
        <v>357.6069</v>
      </c>
    </row>
    <row r="16" spans="2:30" x14ac:dyDescent="0.25">
      <c r="B16" s="252" t="s">
        <v>769</v>
      </c>
      <c r="C16" s="252" t="s">
        <v>768</v>
      </c>
      <c r="D16" s="395">
        <v>8</v>
      </c>
      <c r="J16" s="106">
        <v>49.353049907578551</v>
      </c>
      <c r="L16" s="252" t="s">
        <v>767</v>
      </c>
      <c r="M16" s="195">
        <v>0</v>
      </c>
      <c r="N16" s="106">
        <f>N27</f>
        <v>56.1</v>
      </c>
      <c r="O16" s="195">
        <f>M16*N16/1000</f>
        <v>0</v>
      </c>
      <c r="Q16" s="426"/>
      <c r="R16" s="423" t="s">
        <v>766</v>
      </c>
      <c r="T16" s="195">
        <f t="shared" ref="T16:T22" si="1">M16</f>
        <v>0</v>
      </c>
      <c r="Z16" s="252" t="s">
        <v>765</v>
      </c>
      <c r="AA16" s="252">
        <v>2.87E-2</v>
      </c>
      <c r="AB16" s="195">
        <f>AA16*$AA$10</f>
        <v>8610</v>
      </c>
      <c r="AC16" s="252">
        <f>N27</f>
        <v>56.1</v>
      </c>
      <c r="AD16" s="195">
        <f t="shared" si="0"/>
        <v>483.02100000000002</v>
      </c>
    </row>
    <row r="17" spans="2:30" x14ac:dyDescent="0.25">
      <c r="K17" s="195">
        <f>M17/$D$32</f>
        <v>120216.09418090434</v>
      </c>
      <c r="L17" s="252" t="s">
        <v>764</v>
      </c>
      <c r="M17" s="195">
        <f>D48</f>
        <v>102301.38254317068</v>
      </c>
      <c r="N17" s="106"/>
      <c r="O17" s="195">
        <f>M17*$D$30/1000</f>
        <v>9762.4174651971061</v>
      </c>
      <c r="Q17" s="423" t="s">
        <v>763</v>
      </c>
      <c r="R17" s="425">
        <f>R39+O19</f>
        <v>46555.749753157987</v>
      </c>
      <c r="T17" s="195">
        <f t="shared" si="1"/>
        <v>102301.38254317068</v>
      </c>
      <c r="Z17" s="252" t="s">
        <v>762</v>
      </c>
      <c r="AA17" s="252">
        <v>2.2200000000000001E-2</v>
      </c>
      <c r="AB17" s="195">
        <f>AA17*$AA$10</f>
        <v>6660</v>
      </c>
      <c r="AC17" s="252">
        <f>N31</f>
        <v>71.5</v>
      </c>
      <c r="AD17" s="195">
        <f t="shared" si="0"/>
        <v>476.19</v>
      </c>
    </row>
    <row r="18" spans="2:30" ht="15.75" thickBot="1" x14ac:dyDescent="0.3">
      <c r="B18" s="316" t="s">
        <v>761</v>
      </c>
      <c r="K18" s="195">
        <f>M18/$D$32</f>
        <v>112351.48988869568</v>
      </c>
      <c r="L18" s="252" t="s">
        <v>760</v>
      </c>
      <c r="M18" s="195">
        <f>D46</f>
        <v>95608.768731935241</v>
      </c>
      <c r="N18" s="106"/>
      <c r="O18" s="195">
        <f>M18*$D$30/1000</f>
        <v>9123.7546403711312</v>
      </c>
      <c r="Q18" s="423" t="s">
        <v>759</v>
      </c>
      <c r="R18" s="424">
        <f>E90</f>
        <v>49718</v>
      </c>
      <c r="T18" s="195">
        <f t="shared" si="1"/>
        <v>95608.768731935241</v>
      </c>
      <c r="Z18" s="252" t="s">
        <v>758</v>
      </c>
      <c r="AA18" s="252">
        <v>0.57499999999999996</v>
      </c>
      <c r="AB18" s="195">
        <f>AA18*$AA$10</f>
        <v>172500</v>
      </c>
      <c r="AC18" s="252">
        <f>N30</f>
        <v>69.3</v>
      </c>
      <c r="AD18" s="195">
        <f t="shared" si="0"/>
        <v>11954.25</v>
      </c>
    </row>
    <row r="19" spans="2:30" x14ac:dyDescent="0.25">
      <c r="B19" s="252" t="s">
        <v>757</v>
      </c>
      <c r="C19" s="252" t="s">
        <v>749</v>
      </c>
      <c r="D19" s="176">
        <v>16740.538019959145</v>
      </c>
      <c r="E19" s="252" t="s">
        <v>756</v>
      </c>
      <c r="K19" s="195">
        <f>M19/$D$32</f>
        <v>54552.890090400004</v>
      </c>
      <c r="L19" s="252" t="s">
        <v>755</v>
      </c>
      <c r="M19" s="195">
        <f>D37</f>
        <v>46423.36881761744</v>
      </c>
      <c r="N19" s="106"/>
      <c r="O19" s="418">
        <f>M19*$D$30/1000</f>
        <v>4430.0897531579812</v>
      </c>
      <c r="Q19" s="423" t="s">
        <v>577</v>
      </c>
      <c r="R19" s="422">
        <f>1- R17/R18</f>
        <v>6.3603729973893075E-2</v>
      </c>
      <c r="T19" s="195">
        <f t="shared" si="1"/>
        <v>46423.36881761744</v>
      </c>
      <c r="AB19" s="195">
        <f>SUM(AB12:AB18)</f>
        <v>262770</v>
      </c>
      <c r="AD19" s="195">
        <f>SUM(AD12:AD18)</f>
        <v>18389.017989</v>
      </c>
    </row>
    <row r="20" spans="2:30" x14ac:dyDescent="0.25">
      <c r="B20" s="252" t="s">
        <v>754</v>
      </c>
      <c r="D20" s="399">
        <v>0.63</v>
      </c>
      <c r="L20" s="252" t="s">
        <v>753</v>
      </c>
      <c r="M20" s="195">
        <f>SUM(M16:M19)</f>
        <v>244333.52009272337</v>
      </c>
      <c r="N20" s="106"/>
      <c r="O20" s="195">
        <f>SUM(O16:O19)</f>
        <v>23316.261858726219</v>
      </c>
      <c r="P20" s="113">
        <f>D22*D24*D31*0.001</f>
        <v>23316.261858726222</v>
      </c>
      <c r="Q20" s="113"/>
      <c r="R20" s="203">
        <f>R17-R18</f>
        <v>-3162.2502468420134</v>
      </c>
      <c r="T20" s="195">
        <f t="shared" si="1"/>
        <v>244333.52009272337</v>
      </c>
    </row>
    <row r="21" spans="2:30" x14ac:dyDescent="0.25">
      <c r="B21" s="252" t="s">
        <v>752</v>
      </c>
      <c r="C21" s="252" t="s">
        <v>749</v>
      </c>
      <c r="D21" s="195">
        <f>D19/D20</f>
        <v>26572.282571363721</v>
      </c>
      <c r="E21" s="195"/>
      <c r="F21" s="195"/>
      <c r="L21" s="421" t="s">
        <v>751</v>
      </c>
      <c r="M21" s="419">
        <f>D63</f>
        <v>17960.96</v>
      </c>
      <c r="N21" s="420"/>
      <c r="O21" s="419">
        <f>F90</f>
        <v>5843.5</v>
      </c>
      <c r="Q21" s="470">
        <f>(M21+M22)/3.6</f>
        <v>10053.044444444444</v>
      </c>
      <c r="T21" s="195">
        <f t="shared" si="1"/>
        <v>17960.96</v>
      </c>
    </row>
    <row r="22" spans="2:30" x14ac:dyDescent="0.25">
      <c r="B22" s="252" t="s">
        <v>750</v>
      </c>
      <c r="C22" s="252" t="s">
        <v>749</v>
      </c>
      <c r="D22" s="195">
        <f>'Secunda Emissions 2019'!$F$95/1000</f>
        <v>13777.374</v>
      </c>
      <c r="E22" s="195">
        <f>(D14)*1000-D21</f>
        <v>13227.717428636279</v>
      </c>
      <c r="L22" s="252" t="s">
        <v>748</v>
      </c>
      <c r="M22" s="195">
        <f>D67</f>
        <v>18230</v>
      </c>
      <c r="N22" s="106"/>
      <c r="O22" s="195"/>
      <c r="T22" s="195">
        <f t="shared" si="1"/>
        <v>18230</v>
      </c>
    </row>
    <row r="23" spans="2:30" x14ac:dyDescent="0.25">
      <c r="B23" s="252" t="s">
        <v>405</v>
      </c>
      <c r="C23" s="252" t="s">
        <v>194</v>
      </c>
      <c r="D23" s="176">
        <f>D22*D24</f>
        <v>287120.47416000004</v>
      </c>
      <c r="L23" s="252" t="s">
        <v>747</v>
      </c>
      <c r="N23" s="106"/>
      <c r="O23" s="415">
        <f>SUM(O17:O18)</f>
        <v>18886.172105568236</v>
      </c>
      <c r="P23" s="414"/>
      <c r="R23" s="414"/>
    </row>
    <row r="24" spans="2:30" x14ac:dyDescent="0.25">
      <c r="B24" s="252" t="s">
        <v>746</v>
      </c>
      <c r="C24" s="252" t="s">
        <v>741</v>
      </c>
      <c r="D24" s="417">
        <v>20.840000000000003</v>
      </c>
      <c r="E24" s="252" t="s">
        <v>745</v>
      </c>
      <c r="L24" s="252" t="s">
        <v>744</v>
      </c>
      <c r="N24" s="106"/>
      <c r="O24" s="418">
        <f>E90-O21</f>
        <v>43874.5</v>
      </c>
      <c r="P24" s="195"/>
      <c r="Q24" s="414"/>
      <c r="R24" s="414"/>
      <c r="T24" t="s">
        <v>743</v>
      </c>
    </row>
    <row r="25" spans="2:30" x14ac:dyDescent="0.25">
      <c r="B25" s="252" t="s">
        <v>742</v>
      </c>
      <c r="C25" s="252" t="s">
        <v>741</v>
      </c>
      <c r="D25" s="417">
        <v>18.670000000000002</v>
      </c>
      <c r="I25" s="252" t="s">
        <v>740</v>
      </c>
      <c r="J25" s="416" t="s">
        <v>739</v>
      </c>
      <c r="L25" s="252" t="s">
        <v>560</v>
      </c>
      <c r="N25" s="106"/>
      <c r="O25" s="415">
        <f>O24-O23+P25</f>
        <v>24988.327894431764</v>
      </c>
      <c r="P25" s="395">
        <v>0</v>
      </c>
      <c r="Q25" s="414"/>
      <c r="T25" t="s">
        <v>242</v>
      </c>
      <c r="U25">
        <v>23600</v>
      </c>
    </row>
    <row r="26" spans="2:30" ht="15.75" thickBot="1" x14ac:dyDescent="0.3">
      <c r="B26" s="316" t="s">
        <v>738</v>
      </c>
      <c r="I26" s="252" t="s">
        <v>737</v>
      </c>
      <c r="J26" s="252" t="s">
        <v>737</v>
      </c>
      <c r="K26" s="354" t="s">
        <v>736</v>
      </c>
      <c r="L26" s="342" t="s">
        <v>677</v>
      </c>
      <c r="N26" s="106"/>
      <c r="Q26" s="414"/>
      <c r="R26" s="381" t="s">
        <v>573</v>
      </c>
      <c r="T26" t="s">
        <v>589</v>
      </c>
      <c r="U26">
        <f>6.8/25*1000000</f>
        <v>272000</v>
      </c>
    </row>
    <row r="27" spans="2:30" x14ac:dyDescent="0.25">
      <c r="B27" s="252" t="s">
        <v>735</v>
      </c>
      <c r="C27" s="195"/>
      <c r="K27" s="211">
        <f t="shared" ref="K27:K33" si="2">M27/$M$34</f>
        <v>2.7824192294791578E-2</v>
      </c>
      <c r="L27" s="252" t="s">
        <v>734</v>
      </c>
      <c r="M27" s="176">
        <f>'GTL and CTL'!T21</f>
        <v>6336.0418377599999</v>
      </c>
      <c r="N27" s="106">
        <v>56.1</v>
      </c>
      <c r="O27" s="195">
        <f t="shared" ref="O27:O33" si="3">N27*M27/1000</f>
        <v>355.45194709833601</v>
      </c>
      <c r="P27" t="str">
        <f>E12</f>
        <v>SASOL Additional Analyst Information - 31 December 2017 2018</v>
      </c>
      <c r="R27" s="381">
        <v>33.003399999999999</v>
      </c>
      <c r="S27" s="381" t="s">
        <v>733</v>
      </c>
      <c r="U27" s="176">
        <f>M28</f>
        <v>968.6782907999999</v>
      </c>
    </row>
    <row r="28" spans="2:30" x14ac:dyDescent="0.25">
      <c r="B28" s="252" t="s">
        <v>732</v>
      </c>
      <c r="C28" s="252" t="s">
        <v>227</v>
      </c>
      <c r="D28" s="176">
        <v>2778.39</v>
      </c>
      <c r="E28" s="252" t="s">
        <v>731</v>
      </c>
      <c r="G28" s="252" t="s">
        <v>730</v>
      </c>
      <c r="H28" s="399">
        <v>84.6</v>
      </c>
      <c r="K28" s="211">
        <f t="shared" si="2"/>
        <v>4.2538688545872829E-3</v>
      </c>
      <c r="L28" s="252" t="s">
        <v>66</v>
      </c>
      <c r="M28" s="176">
        <f>'GTL and CTL'!$T$15</f>
        <v>968.6782907999999</v>
      </c>
      <c r="N28" s="106">
        <v>74.066699999999997</v>
      </c>
      <c r="O28" s="195">
        <f t="shared" si="3"/>
        <v>71.746804361196354</v>
      </c>
      <c r="P28" t="s">
        <v>688</v>
      </c>
      <c r="R28" s="381">
        <v>0.93010000000000004</v>
      </c>
      <c r="S28" s="381" t="s">
        <v>525</v>
      </c>
      <c r="U28" s="176">
        <f>M29</f>
        <v>56558.323077979323</v>
      </c>
    </row>
    <row r="29" spans="2:30" x14ac:dyDescent="0.25">
      <c r="B29" s="252" t="s">
        <v>727</v>
      </c>
      <c r="C29" s="252" t="s">
        <v>729</v>
      </c>
      <c r="D29" s="413">
        <f>H28*D24*D31/H30/1000</f>
        <v>0.26513623166024053</v>
      </c>
      <c r="G29" s="343" t="s">
        <v>728</v>
      </c>
      <c r="H29" s="348">
        <v>1.679</v>
      </c>
      <c r="I29" s="106">
        <f>1000*1.218735</f>
        <v>1218.7349999999999</v>
      </c>
      <c r="J29" s="106">
        <f>R29/45.4112038140644*1000</f>
        <v>1195.8260393700778</v>
      </c>
      <c r="K29" s="211">
        <f t="shared" si="2"/>
        <v>0.24837109625983722</v>
      </c>
      <c r="L29" s="252" t="s">
        <v>60</v>
      </c>
      <c r="M29" s="176">
        <f>'GTL and CTL'!T18</f>
        <v>56558.323077979323</v>
      </c>
      <c r="N29" s="106">
        <v>74.066699999999997</v>
      </c>
      <c r="O29" s="195">
        <f t="shared" si="3"/>
        <v>4189.088347919771</v>
      </c>
      <c r="P29" t="s">
        <v>688</v>
      </c>
      <c r="R29" s="381">
        <v>54.303899999999999</v>
      </c>
      <c r="S29" s="381" t="s">
        <v>499</v>
      </c>
      <c r="U29" s="176">
        <f>M27</f>
        <v>6336.0418377599999</v>
      </c>
    </row>
    <row r="30" spans="2:30" x14ac:dyDescent="0.25">
      <c r="B30" s="252" t="s">
        <v>727</v>
      </c>
      <c r="C30" s="252" t="s">
        <v>724</v>
      </c>
      <c r="D30" s="113">
        <f>D29/D28*1000000</f>
        <v>95.428011064048079</v>
      </c>
      <c r="E30" s="106"/>
      <c r="G30" s="343" t="s">
        <v>726</v>
      </c>
      <c r="H30" s="176">
        <v>540</v>
      </c>
      <c r="I30" s="106">
        <f>1000*3.168711</f>
        <v>3168.7110000000002</v>
      </c>
      <c r="J30" s="106">
        <f>R30/45.4112038140644*1000</f>
        <v>2715.1427322834625</v>
      </c>
      <c r="K30" s="211">
        <f t="shared" si="2"/>
        <v>0.56393035832270655</v>
      </c>
      <c r="L30" s="252" t="s">
        <v>671</v>
      </c>
      <c r="M30" s="176">
        <f>'GTL and CTL'!U28</f>
        <v>128416.53429000001</v>
      </c>
      <c r="N30" s="106">
        <v>69.3</v>
      </c>
      <c r="O30" s="195">
        <f t="shared" si="3"/>
        <v>8899.2658262969999</v>
      </c>
      <c r="P30" t="s">
        <v>688</v>
      </c>
      <c r="R30" s="381">
        <v>123.2979</v>
      </c>
      <c r="S30" s="381" t="s">
        <v>497</v>
      </c>
      <c r="U30" s="176">
        <f>M31</f>
        <v>10300</v>
      </c>
    </row>
    <row r="31" spans="2:30" x14ac:dyDescent="0.25">
      <c r="B31" s="252" t="s">
        <v>725</v>
      </c>
      <c r="C31" s="252" t="s">
        <v>724</v>
      </c>
      <c r="D31" s="410">
        <f>E31</f>
        <v>81.207242106089097</v>
      </c>
      <c r="E31" s="111">
        <f>0.0812072421060891*1000</f>
        <v>81.207242106089097</v>
      </c>
      <c r="F31" s="412"/>
      <c r="G31" s="412" t="s">
        <v>723</v>
      </c>
      <c r="H31" s="411">
        <f>(H30*D28/1000)/(H28*D24)</f>
        <v>0.85097909094621615</v>
      </c>
      <c r="I31" s="106">
        <v>487</v>
      </c>
      <c r="J31" s="106">
        <f>R31/45.4112038140644*1000</f>
        <v>217.77445144356938</v>
      </c>
      <c r="K31" s="211">
        <f t="shared" si="2"/>
        <v>4.5231579584656276E-2</v>
      </c>
      <c r="L31" s="252" t="s">
        <v>673</v>
      </c>
      <c r="M31" s="176">
        <f>10086+214</f>
        <v>10300</v>
      </c>
      <c r="N31" s="106">
        <v>71.5</v>
      </c>
      <c r="O31" s="195">
        <f t="shared" si="3"/>
        <v>736.45</v>
      </c>
      <c r="P31" t="s">
        <v>688</v>
      </c>
      <c r="R31" s="381">
        <v>9.8894000000000002</v>
      </c>
      <c r="S31" s="381" t="s">
        <v>490</v>
      </c>
      <c r="U31" s="176">
        <f>M32</f>
        <v>3267.7613077999999</v>
      </c>
    </row>
    <row r="32" spans="2:30" x14ac:dyDescent="0.25">
      <c r="B32" s="252" t="s">
        <v>722</v>
      </c>
      <c r="D32" s="395">
        <f>H31</f>
        <v>0.85097909094621615</v>
      </c>
      <c r="F32" s="297"/>
      <c r="G32" s="412" t="s">
        <v>721</v>
      </c>
      <c r="H32" s="411">
        <f>D31/D30</f>
        <v>0.85097909094621627</v>
      </c>
      <c r="J32" s="106">
        <f>R32/45.4112038140644*1000</f>
        <v>69.0908792650918</v>
      </c>
      <c r="K32" s="211">
        <f t="shared" si="2"/>
        <v>1.4350097636642347E-2</v>
      </c>
      <c r="L32" s="252" t="s">
        <v>55</v>
      </c>
      <c r="M32" s="176">
        <f>'GTL and CTL'!T23</f>
        <v>3267.7613077999999</v>
      </c>
      <c r="N32" s="106">
        <v>63.07</v>
      </c>
      <c r="O32" s="195">
        <f t="shared" si="3"/>
        <v>206.09770568294599</v>
      </c>
      <c r="P32" t="s">
        <v>688</v>
      </c>
      <c r="R32" s="381">
        <v>3.1375000000000002</v>
      </c>
      <c r="S32" s="381" t="s">
        <v>487</v>
      </c>
      <c r="U32" s="176">
        <f>M30</f>
        <v>128416.53429000001</v>
      </c>
      <c r="X32" s="252" t="s">
        <v>720</v>
      </c>
      <c r="Y32" s="252" t="s">
        <v>719</v>
      </c>
      <c r="Z32" s="252" t="s">
        <v>718</v>
      </c>
      <c r="AA32" s="252" t="s">
        <v>717</v>
      </c>
    </row>
    <row r="33" spans="2:27" x14ac:dyDescent="0.25">
      <c r="B33" s="252" t="s">
        <v>590</v>
      </c>
      <c r="C33" s="252" t="s">
        <v>587</v>
      </c>
      <c r="D33" s="410">
        <f>D31/D32</f>
        <v>95.428011064048093</v>
      </c>
      <c r="J33" s="106"/>
      <c r="K33" s="211">
        <f t="shared" si="2"/>
        <v>9.603880704677871E-2</v>
      </c>
      <c r="L33" s="252" t="s">
        <v>894</v>
      </c>
      <c r="M33" s="176">
        <f>'GTL and CTL'!T31-SUM(M27:M32)</f>
        <v>21869.669855999964</v>
      </c>
      <c r="N33" s="106">
        <f>AA33</f>
        <v>71.649568474189863</v>
      </c>
      <c r="O33" s="195">
        <f t="shared" si="3"/>
        <v>1566.9524078553954</v>
      </c>
      <c r="P33" t="s">
        <v>688</v>
      </c>
      <c r="R33" s="381">
        <v>16.625800000000002</v>
      </c>
      <c r="S33" s="381" t="s">
        <v>485</v>
      </c>
      <c r="U33" s="176">
        <f>M33</f>
        <v>21869.669855999964</v>
      </c>
      <c r="W33" s="252" t="s">
        <v>716</v>
      </c>
      <c r="X33" s="252">
        <v>26700</v>
      </c>
      <c r="Y33" s="252">
        <f>24/46</f>
        <v>0.52173913043478259</v>
      </c>
      <c r="Z33" s="252">
        <f>Y33*(12+32)/12</f>
        <v>1.9130434782608694</v>
      </c>
      <c r="AA33" s="252">
        <f>Z33/X33*1000000</f>
        <v>71.649568474189863</v>
      </c>
    </row>
    <row r="34" spans="2:27" ht="15.75" thickBot="1" x14ac:dyDescent="0.3">
      <c r="B34" s="316" t="s">
        <v>715</v>
      </c>
      <c r="H34" s="106"/>
      <c r="J34" s="303">
        <f>'[2]SASOL Commodities'!$D$10</f>
        <v>3809</v>
      </c>
      <c r="K34" s="211">
        <f>SUM(K27:K33)</f>
        <v>0.99999999999999989</v>
      </c>
      <c r="L34" s="252" t="s">
        <v>714</v>
      </c>
      <c r="M34" s="195">
        <f>SUM(M27:M33)</f>
        <v>227717.00866033931</v>
      </c>
      <c r="O34" s="402">
        <f>SUM(O28:O33)</f>
        <v>15669.601092116309</v>
      </c>
      <c r="R34" s="380">
        <f>SUM(R27:R33)</f>
        <v>241.18799999999999</v>
      </c>
      <c r="U34" s="195">
        <f>SUM(U27:U33)</f>
        <v>227717.00866033931</v>
      </c>
    </row>
    <row r="35" spans="2:27" x14ac:dyDescent="0.25">
      <c r="B35" s="252" t="s">
        <v>411</v>
      </c>
      <c r="C35" s="252" t="s">
        <v>194</v>
      </c>
      <c r="D35" s="195">
        <f>D32*D23</f>
        <v>244333.52009272337</v>
      </c>
      <c r="I35" s="342" t="s">
        <v>713</v>
      </c>
      <c r="J35" s="409">
        <f>1-J34/SUM(J25:J33)</f>
        <v>9.2627315153639866E-2</v>
      </c>
      <c r="L35" s="252" t="s">
        <v>574</v>
      </c>
      <c r="M35" s="195">
        <f>M13+M14+M16+M17+M18+M21+M22</f>
        <v>839647.48006232595</v>
      </c>
      <c r="O35" s="195"/>
      <c r="R35" s="408">
        <f>R34/N56</f>
        <v>1.0156297315872926</v>
      </c>
      <c r="U35" s="195">
        <f>T13+T14+T16+T17+T18+T21+T22</f>
        <v>843185.85327510582</v>
      </c>
    </row>
    <row r="36" spans="2:27" x14ac:dyDescent="0.25">
      <c r="B36" s="252" t="s">
        <v>712</v>
      </c>
      <c r="C36" s="252" t="s">
        <v>464</v>
      </c>
      <c r="D36" s="407">
        <v>0.19</v>
      </c>
      <c r="E36" s="406"/>
      <c r="M36" s="195"/>
    </row>
    <row r="37" spans="2:27" x14ac:dyDescent="0.25">
      <c r="B37" s="252" t="s">
        <v>711</v>
      </c>
      <c r="C37" s="252" t="s">
        <v>194</v>
      </c>
      <c r="D37" s="195">
        <f>D36*D35</f>
        <v>46423.36881761744</v>
      </c>
      <c r="J37" s="252" t="str">
        <f t="shared" ref="J37:J60" si="4">$N$9&amp;K37</f>
        <v>UCTLCLEIN-EEFF</v>
      </c>
      <c r="K37" s="252" t="s">
        <v>465</v>
      </c>
      <c r="L37" s="342" t="s">
        <v>896</v>
      </c>
      <c r="N37" s="301">
        <f>M34/M13</f>
        <v>0.41121494820830767</v>
      </c>
      <c r="Q37" s="381" t="s">
        <v>710</v>
      </c>
      <c r="R37" s="405">
        <v>25578.84</v>
      </c>
      <c r="U37" s="301">
        <f>U34/U35</f>
        <v>0.27006739709381983</v>
      </c>
    </row>
    <row r="38" spans="2:27" x14ac:dyDescent="0.25">
      <c r="B38" s="252" t="s">
        <v>709</v>
      </c>
      <c r="C38" s="252" t="s">
        <v>210</v>
      </c>
      <c r="D38" s="395">
        <v>130</v>
      </c>
      <c r="E38" s="252" t="s">
        <v>708</v>
      </c>
      <c r="J38" s="252" t="str">
        <f t="shared" si="4"/>
        <v>UCTLCLEIN-E</v>
      </c>
      <c r="L38" s="342" t="s">
        <v>897</v>
      </c>
      <c r="Q38" s="381" t="s">
        <v>707</v>
      </c>
      <c r="R38" s="405">
        <v>16546.82</v>
      </c>
      <c r="U38" s="252"/>
    </row>
    <row r="39" spans="2:27" x14ac:dyDescent="0.25">
      <c r="B39" s="252" t="s">
        <v>706</v>
      </c>
      <c r="C39" s="252" t="s">
        <v>705</v>
      </c>
      <c r="D39" s="395">
        <v>600</v>
      </c>
      <c r="E39" s="252" t="s">
        <v>704</v>
      </c>
      <c r="N39" s="301"/>
      <c r="R39">
        <f>SUM(R37:R38)</f>
        <v>42125.66</v>
      </c>
      <c r="U39" s="301">
        <f>T13/U35</f>
        <v>0.64318085733235997</v>
      </c>
    </row>
    <row r="40" spans="2:27" x14ac:dyDescent="0.25">
      <c r="J40" s="252" t="str">
        <f t="shared" si="4"/>
        <v>UCTLCLEIN-EUPSGAS</v>
      </c>
      <c r="K40" s="252" t="s">
        <v>825</v>
      </c>
      <c r="L40" s="252" t="str">
        <f>L14</f>
        <v>Gas Material Input</v>
      </c>
      <c r="N40" s="480">
        <f>M14/M34</f>
        <v>0.22738749426150504</v>
      </c>
      <c r="R40" s="106"/>
      <c r="U40" s="301">
        <f>T14/U35</f>
        <v>7.9180339353033521E-2</v>
      </c>
    </row>
    <row r="41" spans="2:27" x14ac:dyDescent="0.25">
      <c r="B41" s="252" t="s">
        <v>703</v>
      </c>
      <c r="C41" s="252" t="s">
        <v>194</v>
      </c>
      <c r="D41" s="195">
        <f>D38/(D39+D38)*D37</f>
        <v>8267.1752688907764</v>
      </c>
      <c r="J41" s="252" t="str">
        <f t="shared" si="4"/>
        <v>UCTLCLEIN-E</v>
      </c>
      <c r="L41" s="252" t="str">
        <f>L16</f>
        <v>Gas Heat Input</v>
      </c>
      <c r="N41" s="301"/>
      <c r="U41" s="301">
        <f>T16/U35</f>
        <v>0</v>
      </c>
    </row>
    <row r="42" spans="2:27" x14ac:dyDescent="0.25">
      <c r="B42" s="252" t="s">
        <v>702</v>
      </c>
      <c r="C42" s="252" t="s">
        <v>194</v>
      </c>
      <c r="D42" s="195">
        <f>D13*D25*1000-D41</f>
        <v>14136.824731109224</v>
      </c>
      <c r="J42" s="252" t="str">
        <f t="shared" si="4"/>
        <v>UCTLCLEIN-EUPSHEE</v>
      </c>
      <c r="K42" s="252" t="s">
        <v>834</v>
      </c>
      <c r="L42" s="252" t="s">
        <v>701</v>
      </c>
      <c r="N42" s="480">
        <f>(M17+M18)/M34</f>
        <v>0.86910570466129278</v>
      </c>
      <c r="U42" s="301">
        <f>(T17+T18)/U35</f>
        <v>0.23471711545726548</v>
      </c>
    </row>
    <row r="43" spans="2:27" x14ac:dyDescent="0.25">
      <c r="J43" s="252" t="str">
        <f t="shared" si="4"/>
        <v>UCTLCLEIN-EUPSELC</v>
      </c>
      <c r="K43" s="252" t="s">
        <v>823</v>
      </c>
      <c r="L43" s="252" t="s">
        <v>575</v>
      </c>
      <c r="N43" s="480">
        <f>(M21+M22)/M34</f>
        <v>0.1589295424742827</v>
      </c>
      <c r="R43" s="383"/>
      <c r="U43" s="301">
        <f>(T21+T22)/U35</f>
        <v>4.2921687857341212E-2</v>
      </c>
    </row>
    <row r="44" spans="2:27" x14ac:dyDescent="0.25">
      <c r="B44" s="252" t="s">
        <v>700</v>
      </c>
      <c r="C44" s="252" t="s">
        <v>194</v>
      </c>
      <c r="D44" s="195">
        <f>D35</f>
        <v>244333.52009272337</v>
      </c>
      <c r="J44" s="252" t="str">
        <f t="shared" si="4"/>
        <v>UCTLCLEIN-E</v>
      </c>
      <c r="L44" s="342" t="s">
        <v>660</v>
      </c>
      <c r="R44" s="195"/>
    </row>
    <row r="45" spans="2:27" x14ac:dyDescent="0.25">
      <c r="B45" s="252" t="s">
        <v>699</v>
      </c>
      <c r="C45" s="252" t="s">
        <v>464</v>
      </c>
      <c r="D45" s="387">
        <f>'Secunda Emissions 2019'!T49</f>
        <v>0.39130434782608697</v>
      </c>
      <c r="J45" s="252" t="str">
        <f t="shared" si="4"/>
        <v>UCTLCLEIN-EOAG</v>
      </c>
      <c r="K45" s="252" t="s">
        <v>525</v>
      </c>
      <c r="L45" s="252" t="str">
        <f>L28</f>
        <v>Avgas</v>
      </c>
      <c r="N45" s="301">
        <f>M28/$M$34</f>
        <v>4.2538688545872829E-3</v>
      </c>
      <c r="R45" s="383"/>
    </row>
    <row r="46" spans="2:27" x14ac:dyDescent="0.25">
      <c r="B46" s="252" t="s">
        <v>698</v>
      </c>
      <c r="C46" s="252" t="s">
        <v>194</v>
      </c>
      <c r="D46" s="195">
        <f>D45*D44</f>
        <v>95608.768731935241</v>
      </c>
      <c r="J46" s="252" t="str">
        <f t="shared" si="4"/>
        <v>UCTLCLEIN-EODS</v>
      </c>
      <c r="K46" s="252" t="s">
        <v>499</v>
      </c>
      <c r="L46" s="252" t="str">
        <f>L29</f>
        <v>Diesel</v>
      </c>
      <c r="N46" s="301">
        <f>M29/$M$34</f>
        <v>0.24837109625983722</v>
      </c>
    </row>
    <row r="47" spans="2:27" x14ac:dyDescent="0.25">
      <c r="B47" s="252" t="s">
        <v>697</v>
      </c>
      <c r="C47" s="252" t="s">
        <v>194</v>
      </c>
      <c r="D47" s="195">
        <f>D36*D35</f>
        <v>46423.36881761744</v>
      </c>
      <c r="J47" s="252" t="str">
        <f t="shared" si="4"/>
        <v>UCTLCLEIN-EGIM</v>
      </c>
      <c r="K47" s="252" t="s">
        <v>733</v>
      </c>
      <c r="L47" s="252" t="str">
        <f>L27</f>
        <v>Methane Rich Gas</v>
      </c>
      <c r="N47" s="301">
        <f>M27/$M$34</f>
        <v>2.7824192294791578E-2</v>
      </c>
    </row>
    <row r="48" spans="2:27" x14ac:dyDescent="0.25">
      <c r="B48" s="252" t="s">
        <v>696</v>
      </c>
      <c r="C48" s="252" t="s">
        <v>194</v>
      </c>
      <c r="D48" s="195">
        <f>D44-D47-D46</f>
        <v>102301.38254317068</v>
      </c>
      <c r="J48" s="252" t="str">
        <f t="shared" si="4"/>
        <v>UCTLCLEIN-EOKE</v>
      </c>
      <c r="K48" s="252" t="s">
        <v>490</v>
      </c>
      <c r="L48" s="252" t="str">
        <f>L31</f>
        <v>Kerosene/Jet Fuel/paraffin</v>
      </c>
      <c r="N48" s="301">
        <f>M31/$M$34</f>
        <v>4.5231579584656276E-2</v>
      </c>
    </row>
    <row r="49" spans="2:21" x14ac:dyDescent="0.25">
      <c r="J49" s="252" t="str">
        <f t="shared" si="4"/>
        <v>UCTLCLEIN-EOLP</v>
      </c>
      <c r="K49" s="252" t="s">
        <v>487</v>
      </c>
      <c r="L49" s="252" t="str">
        <f>L32</f>
        <v>LPG</v>
      </c>
      <c r="N49" s="301">
        <f>M32/$M$34</f>
        <v>1.4350097636642347E-2</v>
      </c>
      <c r="R49" s="195"/>
    </row>
    <row r="50" spans="2:21" ht="15.75" thickBot="1" x14ac:dyDescent="0.3">
      <c r="B50" s="316" t="s">
        <v>695</v>
      </c>
      <c r="J50" s="252" t="str">
        <f t="shared" si="4"/>
        <v>UCTLCLEIN-EOGS</v>
      </c>
      <c r="K50" s="252" t="s">
        <v>497</v>
      </c>
      <c r="L50" s="252" t="str">
        <f>L30</f>
        <v>Gasoline/Petrol</v>
      </c>
      <c r="N50" s="301">
        <f>M30/$M$34</f>
        <v>0.56393035832270655</v>
      </c>
    </row>
    <row r="51" spans="2:21" x14ac:dyDescent="0.25">
      <c r="B51" s="252" t="s">
        <v>694</v>
      </c>
      <c r="C51" s="252" t="s">
        <v>194</v>
      </c>
      <c r="D51" s="176">
        <f>'SasolRES-2017'!D8*3.6</f>
        <v>28064</v>
      </c>
      <c r="E51" s="252" t="s">
        <v>678</v>
      </c>
      <c r="J51" s="252" t="str">
        <f t="shared" si="4"/>
        <v>UCTLCLEIN-EOTH</v>
      </c>
      <c r="K51" s="252" t="s">
        <v>485</v>
      </c>
      <c r="L51" s="252" t="str">
        <f>L33</f>
        <v>Non Energy</v>
      </c>
      <c r="N51" s="301">
        <f>M33/$M$34</f>
        <v>9.603880704677871E-2</v>
      </c>
    </row>
    <row r="52" spans="2:21" x14ac:dyDescent="0.25">
      <c r="B52" s="252" t="s">
        <v>693</v>
      </c>
      <c r="C52" s="252" t="s">
        <v>464</v>
      </c>
      <c r="D52" s="387">
        <v>0.02</v>
      </c>
      <c r="E52" s="252" t="s">
        <v>692</v>
      </c>
      <c r="J52" s="252" t="str">
        <f t="shared" si="4"/>
        <v>UCTLCLEIN-E</v>
      </c>
    </row>
    <row r="53" spans="2:21" x14ac:dyDescent="0.25">
      <c r="B53" s="252" t="s">
        <v>691</v>
      </c>
      <c r="C53" s="252" t="s">
        <v>464</v>
      </c>
      <c r="D53" s="404">
        <v>6.5000000000000002E-2</v>
      </c>
      <c r="J53" s="252" t="str">
        <f t="shared" si="4"/>
        <v>UCTLCLEIN-ECO2</v>
      </c>
      <c r="K53" s="252" t="s">
        <v>242</v>
      </c>
      <c r="L53" s="252" t="s">
        <v>590</v>
      </c>
      <c r="M53" s="252" t="s">
        <v>587</v>
      </c>
      <c r="N53" s="386">
        <f>O25/M34*1000</f>
        <v>109.73413027616279</v>
      </c>
      <c r="R53" s="195"/>
      <c r="U53" s="386">
        <f>U25/U34*1000</f>
        <v>103.6374056502804</v>
      </c>
    </row>
    <row r="54" spans="2:21" x14ac:dyDescent="0.25">
      <c r="B54" s="252" t="s">
        <v>690</v>
      </c>
      <c r="C54" s="252" t="s">
        <v>464</v>
      </c>
      <c r="D54" s="387">
        <v>0.24</v>
      </c>
      <c r="J54" s="252" t="str">
        <f t="shared" si="4"/>
        <v>UCTLCLEIN-ECH4</v>
      </c>
      <c r="K54" s="252" t="s">
        <v>589</v>
      </c>
      <c r="L54" s="252" t="s">
        <v>588</v>
      </c>
      <c r="M54" s="252" t="s">
        <v>587</v>
      </c>
      <c r="N54" s="388">
        <f>C90/M34</f>
        <v>0.43830718042180028</v>
      </c>
      <c r="P54" t="s">
        <v>571</v>
      </c>
      <c r="Q54">
        <v>2017</v>
      </c>
      <c r="R54" s="112">
        <f>MIN(N55,R35*R13/R12)</f>
        <v>0.95890410958904104</v>
      </c>
      <c r="U54" s="388">
        <f>U26/U34</f>
        <v>1.1944650142744182</v>
      </c>
    </row>
    <row r="55" spans="2:21" x14ac:dyDescent="0.25">
      <c r="B55" s="252" t="s">
        <v>689</v>
      </c>
      <c r="C55" s="252" t="s">
        <v>464</v>
      </c>
      <c r="D55" s="391">
        <v>3.5000000000000003E-2</v>
      </c>
      <c r="J55" s="252" t="str">
        <f t="shared" si="4"/>
        <v>UCTLCLEIN-EAFA~UP~2017</v>
      </c>
      <c r="K55" s="252" t="s">
        <v>889</v>
      </c>
      <c r="L55" s="252" t="s">
        <v>86</v>
      </c>
      <c r="N55" s="391">
        <f>350/365</f>
        <v>0.95890410958904104</v>
      </c>
      <c r="O55" t="s">
        <v>688</v>
      </c>
      <c r="P55" t="s">
        <v>571</v>
      </c>
      <c r="Q55">
        <v>2019</v>
      </c>
      <c r="R55" s="112">
        <f>'SASOL CC 2019 report'!J4*RefineriesData!R54</f>
        <v>0.95755441779338735</v>
      </c>
    </row>
    <row r="56" spans="2:21" x14ac:dyDescent="0.25">
      <c r="B56" s="252" t="s">
        <v>687</v>
      </c>
      <c r="C56" s="252" t="s">
        <v>464</v>
      </c>
      <c r="D56" s="391">
        <f>1-SUM(D52:D55)</f>
        <v>0.64</v>
      </c>
      <c r="E56" s="106">
        <f>D56*D51/3.6</f>
        <v>4989.1555555555551</v>
      </c>
      <c r="J56" s="252" t="str">
        <f t="shared" si="4"/>
        <v>UCTLCLEIN-ERESID</v>
      </c>
      <c r="K56" s="252" t="s">
        <v>468</v>
      </c>
      <c r="L56" s="252" t="s">
        <v>686</v>
      </c>
      <c r="M56" s="252" t="s">
        <v>648</v>
      </c>
      <c r="N56" s="386">
        <f>M34/N55/1000</f>
        <v>237.47630903149673</v>
      </c>
      <c r="R56" s="195"/>
    </row>
    <row r="57" spans="2:21" x14ac:dyDescent="0.25">
      <c r="J57" s="252" t="str">
        <f t="shared" si="4"/>
        <v>UCTLCLEIN-EFIXOM</v>
      </c>
      <c r="K57" s="252" t="s">
        <v>496</v>
      </c>
      <c r="L57" s="252" t="s">
        <v>685</v>
      </c>
      <c r="M57" s="252" t="s">
        <v>498</v>
      </c>
      <c r="N57" s="386">
        <f>D118/(N56)/N55</f>
        <v>28.117899658301525</v>
      </c>
    </row>
    <row r="58" spans="2:21" x14ac:dyDescent="0.25">
      <c r="B58" s="403" t="s">
        <v>684</v>
      </c>
      <c r="J58" s="252" t="str">
        <f t="shared" si="4"/>
        <v>UCTLCLEIN-ELC</v>
      </c>
      <c r="K58" s="252" t="s">
        <v>912</v>
      </c>
      <c r="L58" s="252" t="s">
        <v>585</v>
      </c>
      <c r="M58" s="252" t="s">
        <v>455</v>
      </c>
      <c r="N58" s="295">
        <f>D119/(M34/1000)</f>
        <v>186.28695847114824</v>
      </c>
    </row>
    <row r="59" spans="2:21" x14ac:dyDescent="0.25">
      <c r="B59" s="252" t="s">
        <v>683</v>
      </c>
      <c r="C59" s="252" t="s">
        <v>194</v>
      </c>
      <c r="D59" s="195">
        <f>D52*$D$51</f>
        <v>561.28</v>
      </c>
      <c r="J59" s="252" t="str">
        <f t="shared" si="4"/>
        <v>UCTLCLEIN-ELC_Future</v>
      </c>
      <c r="K59" s="252" t="s">
        <v>457</v>
      </c>
      <c r="L59" s="252" t="s">
        <v>583</v>
      </c>
      <c r="M59" s="252" t="s">
        <v>455</v>
      </c>
      <c r="N59" s="295">
        <f>N58</f>
        <v>186.28695847114824</v>
      </c>
    </row>
    <row r="60" spans="2:21" x14ac:dyDescent="0.25">
      <c r="B60" s="252" t="s">
        <v>642</v>
      </c>
      <c r="C60" s="252" t="s">
        <v>194</v>
      </c>
      <c r="D60" s="195">
        <f>D53*$D$51</f>
        <v>1824.16</v>
      </c>
      <c r="J60" s="252" t="str">
        <f t="shared" si="4"/>
        <v>UCTLCLEIN-E</v>
      </c>
    </row>
    <row r="61" spans="2:21" ht="15.75" thickBot="1" x14ac:dyDescent="0.3">
      <c r="B61" s="252" t="s">
        <v>641</v>
      </c>
      <c r="C61" s="252" t="s">
        <v>194</v>
      </c>
      <c r="D61" s="195">
        <f>D54*$D$51</f>
        <v>6735.36</v>
      </c>
      <c r="L61" s="316" t="s">
        <v>17</v>
      </c>
      <c r="N61" s="252" t="str">
        <f>UPS!$B$29</f>
        <v>UREFOCRIN-E</v>
      </c>
      <c r="P61" s="20" t="s">
        <v>581</v>
      </c>
      <c r="Q61" s="20" t="s">
        <v>504</v>
      </c>
      <c r="R61" s="113">
        <f>R84*N84</f>
        <v>838.53744960065694</v>
      </c>
    </row>
    <row r="62" spans="2:21" x14ac:dyDescent="0.25">
      <c r="B62" s="252" t="s">
        <v>17</v>
      </c>
      <c r="C62" s="252" t="s">
        <v>194</v>
      </c>
      <c r="D62" s="195">
        <f>D55*$D$51</f>
        <v>982.24000000000012</v>
      </c>
      <c r="L62" s="252" t="s">
        <v>682</v>
      </c>
      <c r="M62" s="252" t="s">
        <v>194</v>
      </c>
      <c r="N62" s="195">
        <f>D83</f>
        <v>216343.2875182417</v>
      </c>
      <c r="P62" s="20"/>
      <c r="Q62" s="20" t="s">
        <v>399</v>
      </c>
      <c r="R62" s="195">
        <f>E89</f>
        <v>920.5</v>
      </c>
    </row>
    <row r="63" spans="2:21" x14ac:dyDescent="0.25">
      <c r="B63" s="252" t="s">
        <v>675</v>
      </c>
      <c r="C63" s="252" t="s">
        <v>194</v>
      </c>
      <c r="D63" s="195">
        <f>D56*$D$51</f>
        <v>17960.96</v>
      </c>
      <c r="L63" s="252" t="s">
        <v>575</v>
      </c>
      <c r="M63" s="252" t="s">
        <v>194</v>
      </c>
      <c r="N63" s="195">
        <f>D62</f>
        <v>982.24000000000012</v>
      </c>
      <c r="P63" s="20"/>
      <c r="Q63" s="20" t="s">
        <v>577</v>
      </c>
    </row>
    <row r="64" spans="2:21" x14ac:dyDescent="0.25">
      <c r="B64" s="252" t="s">
        <v>681</v>
      </c>
      <c r="D64" s="195">
        <f>D62*('Crude refineries'!D5+'Crude refineries'!G5+'Crude refineries'!J5)/'Crude refineries'!M5</f>
        <v>3233.3067096296299</v>
      </c>
      <c r="L64" s="252" t="s">
        <v>680</v>
      </c>
      <c r="M64" s="252" t="s">
        <v>194</v>
      </c>
      <c r="N64" s="195">
        <f>N63+N62</f>
        <v>217325.5275182417</v>
      </c>
    </row>
    <row r="65" spans="2:19" x14ac:dyDescent="0.25">
      <c r="B65" s="403" t="s">
        <v>679</v>
      </c>
      <c r="C65" s="252" t="s">
        <v>194</v>
      </c>
      <c r="D65" s="176">
        <v>26708</v>
      </c>
      <c r="E65" s="252" t="s">
        <v>678</v>
      </c>
      <c r="H65" s="211">
        <f>D65/SUM(D65,D51)</f>
        <v>0.48762141240049661</v>
      </c>
      <c r="L65" s="342" t="s">
        <v>677</v>
      </c>
    </row>
    <row r="66" spans="2:19" x14ac:dyDescent="0.25">
      <c r="B66" s="252" t="s">
        <v>641</v>
      </c>
      <c r="C66" s="252" t="s">
        <v>194</v>
      </c>
      <c r="D66" s="195">
        <f>D38/(D38+D39)*RefineriesData!D65</f>
        <v>4756.2191780821913</v>
      </c>
      <c r="L66" s="252" t="s">
        <v>60</v>
      </c>
      <c r="M66" s="252" t="s">
        <v>194</v>
      </c>
      <c r="N66" s="176">
        <f>'Crude refineries'!$AD$14</f>
        <v>78363.603915510073</v>
      </c>
      <c r="O66" s="195"/>
      <c r="P66" t="s">
        <v>676</v>
      </c>
    </row>
    <row r="67" spans="2:19" x14ac:dyDescent="0.25">
      <c r="B67" s="252" t="s">
        <v>675</v>
      </c>
      <c r="C67" s="252" t="s">
        <v>194</v>
      </c>
      <c r="D67" s="402">
        <v>18230</v>
      </c>
      <c r="L67" s="252" t="s">
        <v>198</v>
      </c>
      <c r="M67" s="252" t="s">
        <v>194</v>
      </c>
      <c r="N67" s="176">
        <f>'Crude refineries'!$AD$15</f>
        <v>7538.9011900219784</v>
      </c>
      <c r="O67" s="195"/>
    </row>
    <row r="68" spans="2:19" x14ac:dyDescent="0.25">
      <c r="B68" s="252" t="s">
        <v>674</v>
      </c>
      <c r="C68" s="252" t="s">
        <v>464</v>
      </c>
      <c r="D68" s="401">
        <f>D65/D37</f>
        <v>0.57531369825673762</v>
      </c>
      <c r="L68" s="252" t="s">
        <v>673</v>
      </c>
      <c r="M68" s="252" t="s">
        <v>194</v>
      </c>
      <c r="N68" s="176">
        <f>'Crude refineries'!$AD$17</f>
        <v>43484.734440000007</v>
      </c>
      <c r="O68" s="195"/>
    </row>
    <row r="69" spans="2:19" x14ac:dyDescent="0.25">
      <c r="B69" s="252" t="s">
        <v>672</v>
      </c>
      <c r="C69" s="252" t="s">
        <v>464</v>
      </c>
      <c r="D69" s="401">
        <f>D68*D32</f>
        <v>0.4895799279514243</v>
      </c>
      <c r="L69" s="252" t="s">
        <v>55</v>
      </c>
      <c r="M69" s="252" t="s">
        <v>194</v>
      </c>
      <c r="N69" s="176">
        <f>'Crude refineries'!$AD$18</f>
        <v>539.60618239120879</v>
      </c>
      <c r="O69" s="195"/>
    </row>
    <row r="70" spans="2:19" x14ac:dyDescent="0.25">
      <c r="L70" s="252" t="s">
        <v>671</v>
      </c>
      <c r="M70" s="252" t="s">
        <v>194</v>
      </c>
      <c r="N70" s="176">
        <f>SUM('Crude refineries'!$AD$21:$AD$23)</f>
        <v>65892.213079120877</v>
      </c>
      <c r="O70" s="195"/>
    </row>
    <row r="71" spans="2:19" ht="15.75" thickBot="1" x14ac:dyDescent="0.3">
      <c r="B71" s="316" t="s">
        <v>670</v>
      </c>
      <c r="D71" s="176">
        <f>'[2]SASOL NIR 2017'!$U$11 *1000</f>
        <v>30761.111000000001</v>
      </c>
      <c r="E71" s="252" t="s">
        <v>662</v>
      </c>
      <c r="L71" s="252" t="s">
        <v>669</v>
      </c>
      <c r="M71" s="252" t="s">
        <v>194</v>
      </c>
      <c r="N71" s="176">
        <f>'Crude refineries'!$AD$12</f>
        <v>7621.8370692764838</v>
      </c>
    </row>
    <row r="72" spans="2:19" x14ac:dyDescent="0.25">
      <c r="B72" s="252" t="s">
        <v>668</v>
      </c>
      <c r="C72" s="252" t="s">
        <v>194</v>
      </c>
      <c r="D72" s="176">
        <v>126165.20000000001</v>
      </c>
      <c r="E72" s="252" t="s">
        <v>667</v>
      </c>
      <c r="L72" s="252" t="s">
        <v>898</v>
      </c>
      <c r="M72" s="252" t="s">
        <v>194</v>
      </c>
      <c r="N72" s="195">
        <f>SUM(N66:N71)</f>
        <v>203440.89587632063</v>
      </c>
    </row>
    <row r="73" spans="2:19" x14ac:dyDescent="0.25">
      <c r="B73" s="252" t="s">
        <v>666</v>
      </c>
      <c r="C73" s="252" t="s">
        <v>194</v>
      </c>
      <c r="D73" s="176">
        <v>51780</v>
      </c>
      <c r="E73" s="252" t="s">
        <v>664</v>
      </c>
      <c r="J73" s="252" t="str">
        <f>$N$61&amp;K73</f>
        <v>UREFOCRIN-EEFF</v>
      </c>
      <c r="K73" s="252" t="s">
        <v>465</v>
      </c>
      <c r="L73" s="342" t="s">
        <v>868</v>
      </c>
      <c r="N73" s="301">
        <f>'Crude refineries'!AD6</f>
        <v>0.96421412348881386</v>
      </c>
      <c r="O73" s="195"/>
    </row>
    <row r="74" spans="2:19" x14ac:dyDescent="0.25">
      <c r="B74" s="252" t="s">
        <v>665</v>
      </c>
      <c r="C74" s="252" t="s">
        <v>194</v>
      </c>
      <c r="D74" s="176">
        <v>43624.089</v>
      </c>
      <c r="E74" s="252" t="s">
        <v>664</v>
      </c>
      <c r="L74" s="342" t="s">
        <v>869</v>
      </c>
    </row>
    <row r="75" spans="2:19" x14ac:dyDescent="0.25">
      <c r="B75" s="252" t="s">
        <v>663</v>
      </c>
      <c r="C75" s="252" t="s">
        <v>194</v>
      </c>
      <c r="D75" s="400">
        <v>28640.346999999998</v>
      </c>
      <c r="E75" s="252" t="s">
        <v>662</v>
      </c>
      <c r="N75" s="301"/>
    </row>
    <row r="76" spans="2:19" x14ac:dyDescent="0.25">
      <c r="J76" s="252" t="str">
        <f>$N$61&amp;K76</f>
        <v>UREFOCRIN-EUPSELC</v>
      </c>
      <c r="K76" s="252" t="s">
        <v>823</v>
      </c>
      <c r="L76" s="252" t="s">
        <v>870</v>
      </c>
      <c r="N76" s="471">
        <f>N63/N72</f>
        <v>4.8281344602274104E-3</v>
      </c>
    </row>
    <row r="77" spans="2:19" ht="15.75" thickBot="1" x14ac:dyDescent="0.3">
      <c r="B77" s="316" t="s">
        <v>661</v>
      </c>
      <c r="L77" s="342" t="s">
        <v>660</v>
      </c>
      <c r="R77" s="381" t="s">
        <v>573</v>
      </c>
    </row>
    <row r="78" spans="2:19" x14ac:dyDescent="0.25">
      <c r="B78" s="252" t="s">
        <v>654</v>
      </c>
      <c r="C78" s="252" t="s">
        <v>659</v>
      </c>
      <c r="D78" s="176">
        <v>4379</v>
      </c>
      <c r="J78" s="252" t="str">
        <f t="shared" ref="J78:J89" si="5">$N$61&amp;K78</f>
        <v>UREFOCRIN-EODS</v>
      </c>
      <c r="K78" s="252" t="s">
        <v>499</v>
      </c>
      <c r="L78" s="252" t="str">
        <f t="shared" ref="L78:L83" si="6">L66</f>
        <v>Diesel</v>
      </c>
      <c r="N78" s="301">
        <f t="shared" ref="N78:N83" si="7">N66/$N$72</f>
        <v>0.38519100880852519</v>
      </c>
      <c r="R78" s="381">
        <v>74.445400000000006</v>
      </c>
      <c r="S78" s="381" t="s">
        <v>499</v>
      </c>
    </row>
    <row r="79" spans="2:19" x14ac:dyDescent="0.25">
      <c r="B79" s="252" t="s">
        <v>658</v>
      </c>
      <c r="C79" s="252" t="s">
        <v>657</v>
      </c>
      <c r="D79" s="399">
        <v>42.66</v>
      </c>
      <c r="E79" s="252" t="s">
        <v>656</v>
      </c>
      <c r="J79" s="252" t="str">
        <f t="shared" si="5"/>
        <v>UREFOCRIN-EOHF</v>
      </c>
      <c r="K79" s="252" t="s">
        <v>491</v>
      </c>
      <c r="L79" s="252" t="str">
        <f t="shared" si="6"/>
        <v>HFO</v>
      </c>
      <c r="N79" s="301">
        <f t="shared" si="7"/>
        <v>3.70569602416869E-2</v>
      </c>
      <c r="R79" s="381">
        <v>62.5976</v>
      </c>
      <c r="S79" s="381" t="s">
        <v>497</v>
      </c>
    </row>
    <row r="80" spans="2:19" x14ac:dyDescent="0.25">
      <c r="B80" s="252" t="s">
        <v>655</v>
      </c>
      <c r="C80" s="252" t="s">
        <v>194</v>
      </c>
      <c r="D80" s="195">
        <f>D78*D79</f>
        <v>186808.13999999998</v>
      </c>
      <c r="J80" s="252" t="str">
        <f t="shared" si="5"/>
        <v>UREFOCRIN-EOKE</v>
      </c>
      <c r="K80" s="252" t="s">
        <v>490</v>
      </c>
      <c r="L80" s="252" t="str">
        <f t="shared" si="6"/>
        <v>Kerosene/Jet Fuel/paraffin</v>
      </c>
      <c r="N80" s="301">
        <f t="shared" si="7"/>
        <v>0.21374627875427765</v>
      </c>
      <c r="R80" s="381">
        <v>7.1619999999999999</v>
      </c>
      <c r="S80" s="381" t="s">
        <v>491</v>
      </c>
    </row>
    <row r="81" spans="2:19" x14ac:dyDescent="0.25">
      <c r="B81" s="252" t="s">
        <v>654</v>
      </c>
      <c r="C81" s="252" t="s">
        <v>653</v>
      </c>
      <c r="D81" s="176">
        <f>'Crude refineries'!$M$6</f>
        <v>5980351.6483516479</v>
      </c>
      <c r="J81" s="252" t="str">
        <f t="shared" si="5"/>
        <v>UREFOCRIN-EOLP</v>
      </c>
      <c r="K81" s="252" t="s">
        <v>487</v>
      </c>
      <c r="L81" s="252" t="str">
        <f t="shared" si="6"/>
        <v>LPG</v>
      </c>
      <c r="N81" s="301">
        <f t="shared" si="7"/>
        <v>2.6523977888853558E-3</v>
      </c>
      <c r="R81" s="381">
        <v>41.310499999999998</v>
      </c>
      <c r="S81" s="381" t="s">
        <v>490</v>
      </c>
    </row>
    <row r="82" spans="2:19" x14ac:dyDescent="0.25">
      <c r="B82" s="252" t="s">
        <v>652</v>
      </c>
      <c r="C82" s="252" t="s">
        <v>651</v>
      </c>
      <c r="D82" s="348">
        <f>'Crude refineries'!$L$7/1000</f>
        <v>0.84799999999999998</v>
      </c>
      <c r="E82" s="252" t="s">
        <v>650</v>
      </c>
      <c r="J82" s="252" t="str">
        <f t="shared" si="5"/>
        <v>UREFOCRIN-EOGS</v>
      </c>
      <c r="K82" s="252" t="s">
        <v>497</v>
      </c>
      <c r="L82" s="252" t="str">
        <f t="shared" si="6"/>
        <v>Gasoline/Petrol</v>
      </c>
      <c r="N82" s="301">
        <f t="shared" si="7"/>
        <v>0.32388872844513639</v>
      </c>
      <c r="R82" s="381">
        <v>0.51259999999999994</v>
      </c>
      <c r="S82" s="381" t="s">
        <v>487</v>
      </c>
    </row>
    <row r="83" spans="2:19" x14ac:dyDescent="0.25">
      <c r="B83" s="252" t="s">
        <v>649</v>
      </c>
      <c r="C83" s="252" t="s">
        <v>194</v>
      </c>
      <c r="D83" s="195">
        <f>D81*D82*D79/1000</f>
        <v>216343.2875182417</v>
      </c>
      <c r="J83" s="252" t="str">
        <f t="shared" si="5"/>
        <v>UREFOCRIN-EOTH</v>
      </c>
      <c r="K83" s="252" t="s">
        <v>485</v>
      </c>
      <c r="L83" s="252" t="str">
        <f t="shared" si="6"/>
        <v>Non Energy Products</v>
      </c>
      <c r="N83" s="301">
        <f t="shared" si="7"/>
        <v>3.7464625961488515E-2</v>
      </c>
      <c r="R83" s="381">
        <v>7.2407000000000004</v>
      </c>
      <c r="S83" s="381" t="s">
        <v>485</v>
      </c>
    </row>
    <row r="84" spans="2:19" x14ac:dyDescent="0.25">
      <c r="J84" s="252" t="str">
        <f t="shared" si="5"/>
        <v>UREFOCRIN-ECO2</v>
      </c>
      <c r="K84" s="252" t="s">
        <v>242</v>
      </c>
      <c r="L84" s="252" t="s">
        <v>590</v>
      </c>
      <c r="M84" s="252" t="s">
        <v>587</v>
      </c>
      <c r="N84" s="398">
        <f>E89/N72*1000 *N85</f>
        <v>4.3387109021252108</v>
      </c>
      <c r="R84" s="380">
        <f>SUM(R78:R83)</f>
        <v>193.2688</v>
      </c>
    </row>
    <row r="85" spans="2:19" x14ac:dyDescent="0.25">
      <c r="J85" s="252" t="str">
        <f t="shared" si="5"/>
        <v>UREFOCRIN-EAFA~UP~2017</v>
      </c>
      <c r="K85" s="252" t="s">
        <v>889</v>
      </c>
      <c r="L85" s="252" t="s">
        <v>86</v>
      </c>
      <c r="N85" s="387">
        <f>350/365</f>
        <v>0.95890410958904104</v>
      </c>
      <c r="P85" t="str">
        <f>E82</f>
        <v>Lloyd, PJD, 2001. The South African Petroleum Industry: A Review, Energy Research Institute, University of Cape Town</v>
      </c>
      <c r="R85" s="378">
        <f>R84/N86</f>
        <v>0.91095866333585762</v>
      </c>
    </row>
    <row r="86" spans="2:19" x14ac:dyDescent="0.25">
      <c r="J86" s="252" t="str">
        <f t="shared" si="5"/>
        <v>UREFOCRIN-ERESID</v>
      </c>
      <c r="K86" s="252" t="s">
        <v>468</v>
      </c>
      <c r="L86" s="252" t="s">
        <v>470</v>
      </c>
      <c r="M86" s="252" t="s">
        <v>648</v>
      </c>
      <c r="N86" s="386">
        <f>N72/N85/1000</f>
        <v>212.15979141387726</v>
      </c>
    </row>
    <row r="87" spans="2:19" ht="15.75" thickBot="1" x14ac:dyDescent="0.3">
      <c r="B87" s="316" t="s">
        <v>647</v>
      </c>
      <c r="C87" s="252" t="s">
        <v>646</v>
      </c>
      <c r="D87" s="252" t="s">
        <v>645</v>
      </c>
      <c r="E87" s="252" t="s">
        <v>644</v>
      </c>
      <c r="F87" s="252" t="s">
        <v>643</v>
      </c>
      <c r="J87" s="252" t="str">
        <f t="shared" si="5"/>
        <v>UREFOCRIN-EFIXOM</v>
      </c>
      <c r="K87" s="252" t="s">
        <v>496</v>
      </c>
      <c r="L87" s="252" t="s">
        <v>611</v>
      </c>
      <c r="M87" s="252" t="s">
        <v>498</v>
      </c>
      <c r="N87" s="386">
        <f>D113</f>
        <v>27.763122599999996</v>
      </c>
    </row>
    <row r="88" spans="2:19" x14ac:dyDescent="0.25">
      <c r="B88" s="252" t="s">
        <v>642</v>
      </c>
      <c r="C88" s="176">
        <f>AVERAGE('SASOL CC 2019 report'!F17,'SASOL CC 2019 report'!G17)*1000</f>
        <v>3870</v>
      </c>
      <c r="D88" s="176">
        <v>0</v>
      </c>
      <c r="E88" s="176">
        <f>AVERAGE('SASOL CC 2019 report'!F35,'SASOL CC 2019 report'!G35)</f>
        <v>16</v>
      </c>
      <c r="F88" s="176">
        <f>AVERAGE('SASOL CC 2019 report'!F44,'SASOL CC 2019 report'!G44)</f>
        <v>722</v>
      </c>
      <c r="J88" s="252" t="str">
        <f t="shared" si="5"/>
        <v>UREFOCRIN-ELC</v>
      </c>
      <c r="K88" s="252" t="s">
        <v>912</v>
      </c>
      <c r="L88" s="252" t="s">
        <v>486</v>
      </c>
      <c r="M88" s="252" t="s">
        <v>455</v>
      </c>
      <c r="N88" s="295">
        <f>N87+$D$107/N73</f>
        <v>216.51787692932862</v>
      </c>
      <c r="O88" s="106">
        <f>zar.2006*N88</f>
        <v>383.98864488881486</v>
      </c>
      <c r="P88" t="s">
        <v>571</v>
      </c>
      <c r="Q88">
        <v>2017</v>
      </c>
      <c r="R88" s="106">
        <f>UPS!U29</f>
        <v>0</v>
      </c>
    </row>
    <row r="89" spans="2:19" x14ac:dyDescent="0.25">
      <c r="B89" s="252" t="s">
        <v>17</v>
      </c>
      <c r="C89" s="176">
        <v>0</v>
      </c>
      <c r="D89" s="176">
        <v>0</v>
      </c>
      <c r="E89" s="176">
        <f>AVERAGE('SASOL CC 2019 report'!F36,'SASOL CC 2019 report'!G36)</f>
        <v>920.5</v>
      </c>
      <c r="F89" s="176">
        <f>AVERAGE('SASOL CC 2019 report'!F45,'SASOL CC 2019 report'!G45)</f>
        <v>262</v>
      </c>
      <c r="J89" s="252" t="str">
        <f t="shared" si="5"/>
        <v>UREFOCRIN-ELC_Future</v>
      </c>
      <c r="K89" s="252" t="s">
        <v>457</v>
      </c>
      <c r="L89" s="252" t="s">
        <v>484</v>
      </c>
      <c r="M89" s="252" t="s">
        <v>455</v>
      </c>
      <c r="N89" s="295">
        <f>N87+$D$108/N73</f>
        <v>279.43612837243813</v>
      </c>
      <c r="P89" t="s">
        <v>571</v>
      </c>
      <c r="Q89">
        <v>2019</v>
      </c>
    </row>
    <row r="90" spans="2:19" x14ac:dyDescent="0.25">
      <c r="B90" s="397" t="s">
        <v>340</v>
      </c>
      <c r="C90" s="176">
        <f>AVERAGE('SASOL CC 2019 report'!F15,'SASOL CC 2019 report'!G15)*1000</f>
        <v>99810</v>
      </c>
      <c r="D90" s="176">
        <f>AVERAGE('SASOL CC 2019 report'!F24,'SASOL CC 2019 report'!G24)*1000</f>
        <v>325</v>
      </c>
      <c r="E90" s="176">
        <f>AVERAGE('SASOL CC 2019 report'!F33,'SASOL CC 2019 report'!G33)</f>
        <v>49718</v>
      </c>
      <c r="F90" s="176">
        <f>AVERAGE('SASOL CC 2019 report'!F42,'SASOL CC 2019 report'!G42)</f>
        <v>5843.5</v>
      </c>
    </row>
    <row r="91" spans="2:19" ht="15.75" thickBot="1" x14ac:dyDescent="0.3">
      <c r="B91" s="397" t="s">
        <v>336</v>
      </c>
      <c r="C91" s="176">
        <f>AVERAGE('SASOL CC 2019 report'!F16,'SASOL CC 2019 report'!G16)*1000</f>
        <v>8980</v>
      </c>
      <c r="D91" s="176">
        <f>AVERAGE('SASOL CC 2019 report'!F25,'SASOL CC 2019 report'!G25)*1000</f>
        <v>150.00000000000003</v>
      </c>
      <c r="E91" s="176">
        <f>AVERAGE('SASOL CC 2019 report'!F34,'SASOL CC 2019 report'!G34)</f>
        <v>5106.5</v>
      </c>
      <c r="F91" s="176">
        <f>AVERAGE('SASOL CC 2019 report'!F43,'SASOL CC 2019 report'!G43)</f>
        <v>497.5</v>
      </c>
      <c r="L91" s="316" t="s">
        <v>641</v>
      </c>
    </row>
    <row r="92" spans="2:19" x14ac:dyDescent="0.25">
      <c r="L92" s="342" t="s">
        <v>640</v>
      </c>
    </row>
    <row r="93" spans="2:19" ht="15.75" thickBot="1" x14ac:dyDescent="0.3">
      <c r="B93" s="316" t="s">
        <v>639</v>
      </c>
      <c r="G93">
        <v>2012</v>
      </c>
      <c r="L93" s="252" t="s">
        <v>630</v>
      </c>
      <c r="M93" s="252" t="s">
        <v>194</v>
      </c>
      <c r="N93" s="195">
        <f>D42</f>
        <v>14136.824731109224</v>
      </c>
    </row>
    <row r="94" spans="2:19" x14ac:dyDescent="0.25">
      <c r="B94" s="252" t="s">
        <v>638</v>
      </c>
      <c r="D94" s="106">
        <v>0.93869999999999998</v>
      </c>
      <c r="L94" s="252" t="s">
        <v>628</v>
      </c>
      <c r="M94" s="252" t="s">
        <v>194</v>
      </c>
      <c r="N94" s="195">
        <f>D41</f>
        <v>8267.1752688907764</v>
      </c>
    </row>
    <row r="95" spans="2:19" x14ac:dyDescent="0.25">
      <c r="B95" s="252" t="s">
        <v>901</v>
      </c>
      <c r="D95" s="106">
        <f>1.31*1.829</f>
        <v>2.3959899999999998</v>
      </c>
      <c r="L95" s="252" t="s">
        <v>637</v>
      </c>
      <c r="M95" s="252" t="s">
        <v>194</v>
      </c>
      <c r="N95" s="195">
        <f>D61</f>
        <v>6735.36</v>
      </c>
    </row>
    <row r="96" spans="2:19" x14ac:dyDescent="0.25">
      <c r="B96" s="252" t="s">
        <v>879</v>
      </c>
      <c r="D96" s="106">
        <f>1.62*1.829</f>
        <v>2.9629799999999999</v>
      </c>
      <c r="L96" s="252" t="s">
        <v>636</v>
      </c>
      <c r="M96" s="252" t="s">
        <v>194</v>
      </c>
      <c r="N96" s="195">
        <f>D75</f>
        <v>28640.346999999998</v>
      </c>
    </row>
    <row r="97" spans="2:15" x14ac:dyDescent="0.25">
      <c r="B97" s="252" t="s">
        <v>634</v>
      </c>
      <c r="C97" s="252" t="s">
        <v>629</v>
      </c>
      <c r="D97" s="394">
        <f>90.4*D95</f>
        <v>216.59749600000001</v>
      </c>
      <c r="E97" s="252" t="s">
        <v>608</v>
      </c>
      <c r="G97">
        <v>197.6</v>
      </c>
      <c r="L97" s="252" t="s">
        <v>635</v>
      </c>
      <c r="M97" s="252" t="s">
        <v>194</v>
      </c>
      <c r="N97" s="195">
        <f>D74</f>
        <v>43624.089</v>
      </c>
      <c r="O97" s="195"/>
    </row>
    <row r="98" spans="2:15" x14ac:dyDescent="0.25">
      <c r="B98" s="252" t="s">
        <v>634</v>
      </c>
      <c r="C98" s="252" t="s">
        <v>455</v>
      </c>
      <c r="D98" s="106">
        <v>28.23</v>
      </c>
      <c r="E98" s="252" t="s">
        <v>904</v>
      </c>
      <c r="G98" s="106">
        <f>G97/$D$24</f>
        <v>9.4817658349328191</v>
      </c>
      <c r="L98" s="342" t="s">
        <v>633</v>
      </c>
      <c r="O98" s="195"/>
    </row>
    <row r="99" spans="2:15" x14ac:dyDescent="0.25">
      <c r="B99" s="252" t="s">
        <v>632</v>
      </c>
      <c r="C99" s="252" t="s">
        <v>455</v>
      </c>
      <c r="D99" s="394">
        <f>D98</f>
        <v>28.23</v>
      </c>
      <c r="E99" s="252" t="s">
        <v>631</v>
      </c>
      <c r="L99" s="252" t="s">
        <v>630</v>
      </c>
      <c r="N99" s="195">
        <f>N93*D30/1000</f>
        <v>1349.0490668507996</v>
      </c>
    </row>
    <row r="100" spans="2:15" x14ac:dyDescent="0.25">
      <c r="B100" s="252" t="s">
        <v>627</v>
      </c>
      <c r="C100" s="252" t="s">
        <v>629</v>
      </c>
      <c r="D100" s="394">
        <f>136.25*D95</f>
        <v>326.45363749999996</v>
      </c>
      <c r="E100" s="252" t="s">
        <v>608</v>
      </c>
      <c r="L100" s="252" t="s">
        <v>628</v>
      </c>
      <c r="N100" s="195">
        <f>N94*D31/1000</f>
        <v>671.35450359428546</v>
      </c>
      <c r="O100" s="195"/>
    </row>
    <row r="101" spans="2:15" x14ac:dyDescent="0.25">
      <c r="B101" s="252" t="s">
        <v>627</v>
      </c>
      <c r="C101" s="252" t="s">
        <v>455</v>
      </c>
      <c r="D101" s="106">
        <f>D98</f>
        <v>28.23</v>
      </c>
      <c r="E101" s="179"/>
      <c r="H101" s="106"/>
      <c r="L101" s="252" t="s">
        <v>626</v>
      </c>
      <c r="N101" s="195">
        <f>N96*N16/1000</f>
        <v>1606.7234667</v>
      </c>
      <c r="O101" s="195"/>
    </row>
    <row r="102" spans="2:15" x14ac:dyDescent="0.25">
      <c r="B102" s="252" t="s">
        <v>625</v>
      </c>
      <c r="C102" s="252" t="s">
        <v>455</v>
      </c>
      <c r="D102" s="395">
        <f>3209/105.7*D95</f>
        <v>72.741077672658463</v>
      </c>
      <c r="E102" s="252" t="s">
        <v>608</v>
      </c>
      <c r="G102" s="106">
        <f>6931/152.4</f>
        <v>45.479002624671914</v>
      </c>
      <c r="H102" s="106" t="s">
        <v>905</v>
      </c>
      <c r="I102" s="211"/>
      <c r="L102" s="252" t="s">
        <v>624</v>
      </c>
      <c r="M102" s="252" t="s">
        <v>623</v>
      </c>
      <c r="N102" s="396">
        <f>E91-N100-N99-N101</f>
        <v>1479.3729628549152</v>
      </c>
      <c r="O102" s="195"/>
    </row>
    <row r="103" spans="2:15" x14ac:dyDescent="0.25">
      <c r="B103" s="252" t="s">
        <v>622</v>
      </c>
      <c r="C103" s="252" t="s">
        <v>455</v>
      </c>
      <c r="D103" s="394">
        <v>120</v>
      </c>
      <c r="M103" s="252" t="s">
        <v>621</v>
      </c>
      <c r="N103" s="179">
        <f>C91/1000</f>
        <v>8.98</v>
      </c>
    </row>
    <row r="104" spans="2:15" x14ac:dyDescent="0.25">
      <c r="B104" s="252" t="s">
        <v>902</v>
      </c>
      <c r="C104" s="252" t="s">
        <v>23</v>
      </c>
      <c r="D104" s="395">
        <v>66</v>
      </c>
      <c r="E104" s="252" t="s">
        <v>620</v>
      </c>
      <c r="M104" s="252" t="s">
        <v>619</v>
      </c>
      <c r="N104" s="179">
        <f>D91/1000</f>
        <v>0.15000000000000002</v>
      </c>
    </row>
    <row r="105" spans="2:15" x14ac:dyDescent="0.25">
      <c r="B105" s="252" t="s">
        <v>903</v>
      </c>
      <c r="C105" s="252" t="s">
        <v>618</v>
      </c>
      <c r="D105" s="395">
        <v>6.77</v>
      </c>
      <c r="E105" s="252" t="s">
        <v>617</v>
      </c>
    </row>
    <row r="106" spans="2:15" x14ac:dyDescent="0.25">
      <c r="B106" s="252" t="s">
        <v>616</v>
      </c>
      <c r="C106" s="252" t="s">
        <v>615</v>
      </c>
      <c r="D106" s="179">
        <f>42.66*0.136</f>
        <v>5.8017599999999998</v>
      </c>
    </row>
    <row r="107" spans="2:15" x14ac:dyDescent="0.25">
      <c r="B107" s="252" t="s">
        <v>902</v>
      </c>
      <c r="C107" s="252" t="s">
        <v>455</v>
      </c>
      <c r="D107" s="179">
        <v>182</v>
      </c>
      <c r="E107" s="106"/>
    </row>
    <row r="108" spans="2:15" x14ac:dyDescent="0.25">
      <c r="B108" s="252" t="s">
        <v>614</v>
      </c>
      <c r="C108" s="252" t="s">
        <v>455</v>
      </c>
      <c r="D108" s="179">
        <f>D107*100/75</f>
        <v>242.66666666666666</v>
      </c>
      <c r="F108" s="179"/>
    </row>
    <row r="109" spans="2:15" x14ac:dyDescent="0.25">
      <c r="B109" s="252" t="s">
        <v>613</v>
      </c>
      <c r="C109" s="252" t="s">
        <v>455</v>
      </c>
      <c r="D109" s="106">
        <f>1/3.6*1000</f>
        <v>277.77777777777777</v>
      </c>
      <c r="F109" s="112"/>
    </row>
    <row r="110" spans="2:15" x14ac:dyDescent="0.25">
      <c r="B110" s="252" t="s">
        <v>612</v>
      </c>
      <c r="C110" s="252" t="s">
        <v>455</v>
      </c>
      <c r="D110" s="179">
        <f>D109</f>
        <v>277.77777777777777</v>
      </c>
    </row>
    <row r="111" spans="2:15" ht="15.75" thickBot="1" x14ac:dyDescent="0.3">
      <c r="B111" s="316" t="s">
        <v>611</v>
      </c>
    </row>
    <row r="112" spans="2:15" x14ac:dyDescent="0.25">
      <c r="B112" s="252" t="str">
        <f>B88</f>
        <v>Mining</v>
      </c>
    </row>
    <row r="113" spans="2:19" x14ac:dyDescent="0.25">
      <c r="B113" s="252" t="s">
        <v>610</v>
      </c>
      <c r="C113" s="252" t="s">
        <v>462</v>
      </c>
      <c r="D113" s="474">
        <f>D96*9.37</f>
        <v>27.763122599999996</v>
      </c>
      <c r="E113" s="252" t="s">
        <v>880</v>
      </c>
    </row>
    <row r="114" spans="2:19" x14ac:dyDescent="0.25">
      <c r="B114" s="252" t="s">
        <v>609</v>
      </c>
      <c r="C114" s="252" t="s">
        <v>603</v>
      </c>
      <c r="D114" s="176">
        <f>10311*D95</f>
        <v>24705.052889999999</v>
      </c>
      <c r="E114" s="252" t="s">
        <v>608</v>
      </c>
      <c r="S114" t="s">
        <v>874</v>
      </c>
    </row>
    <row r="115" spans="2:19" x14ac:dyDescent="0.25">
      <c r="B115" s="252" t="s">
        <v>607</v>
      </c>
      <c r="C115" s="252" t="s">
        <v>603</v>
      </c>
      <c r="D115" s="195">
        <f>(M13+SUM(M17:M18)/D32)*D98/1000</f>
        <v>22198.207489148033</v>
      </c>
    </row>
    <row r="116" spans="2:19" x14ac:dyDescent="0.25">
      <c r="B116" s="252" t="s">
        <v>606</v>
      </c>
      <c r="C116" s="252" t="s">
        <v>603</v>
      </c>
      <c r="D116" s="195">
        <f>M14*D102/1000</f>
        <v>3766.533001890255</v>
      </c>
    </row>
    <row r="117" spans="2:19" x14ac:dyDescent="0.25">
      <c r="B117" s="252" t="s">
        <v>605</v>
      </c>
      <c r="C117" s="252" t="s">
        <v>603</v>
      </c>
      <c r="D117" s="195">
        <f>(D63+D67)*D109/1000</f>
        <v>10053.044444444444</v>
      </c>
    </row>
    <row r="118" spans="2:19" x14ac:dyDescent="0.25">
      <c r="B118" s="252" t="s">
        <v>604</v>
      </c>
      <c r="C118" s="252" t="s">
        <v>603</v>
      </c>
      <c r="D118" s="182">
        <f>4554*1.406</f>
        <v>6402.924</v>
      </c>
      <c r="E118" s="252" t="s">
        <v>893</v>
      </c>
    </row>
    <row r="119" spans="2:19" x14ac:dyDescent="0.25">
      <c r="B119" s="252" t="s">
        <v>906</v>
      </c>
      <c r="D119" s="195">
        <f>SUM(D115:D118)</f>
        <v>42420.708935482733</v>
      </c>
    </row>
    <row r="121" spans="2:19" ht="18" thickBot="1" x14ac:dyDescent="0.35">
      <c r="B121" s="384" t="s">
        <v>602</v>
      </c>
      <c r="L121" s="384" t="s">
        <v>601</v>
      </c>
      <c r="N121" s="252" t="str">
        <f>UPS!$B$82</f>
        <v>UCTLCLEIN-N</v>
      </c>
    </row>
    <row r="122" spans="2:19" ht="15.75" thickTop="1" x14ac:dyDescent="0.25">
      <c r="J122" s="252" t="str">
        <f t="shared" ref="J122:J150" si="8">$N$121&amp;K122</f>
        <v>UCTLCLEIN-NRESID</v>
      </c>
      <c r="K122" s="252" t="s">
        <v>468</v>
      </c>
      <c r="L122" s="252" t="s">
        <v>600</v>
      </c>
      <c r="M122" s="252" t="s">
        <v>599</v>
      </c>
      <c r="N122" s="386">
        <f>D123/150000*N56</f>
        <v>126.65403148346492</v>
      </c>
    </row>
    <row r="123" spans="2:19" x14ac:dyDescent="0.25">
      <c r="B123" s="252" t="s">
        <v>470</v>
      </c>
      <c r="C123" s="252" t="s">
        <v>469</v>
      </c>
      <c r="D123" s="176">
        <v>80000</v>
      </c>
      <c r="E123" s="252" t="s">
        <v>533</v>
      </c>
      <c r="F123" s="393" t="s">
        <v>599</v>
      </c>
      <c r="G123" s="392">
        <f>H123*D123*365*N142*0.000001</f>
        <v>159.7824</v>
      </c>
      <c r="H123" s="106">
        <v>5.7</v>
      </c>
      <c r="J123" s="252" t="str">
        <f t="shared" si="8"/>
        <v>UCTLCLEIN-NEFF</v>
      </c>
      <c r="K123" s="252" t="s">
        <v>465</v>
      </c>
      <c r="L123" s="342" t="s">
        <v>909</v>
      </c>
      <c r="N123" s="373">
        <f>N37+5%</f>
        <v>0.46121494820830766</v>
      </c>
      <c r="P123" t="s">
        <v>598</v>
      </c>
    </row>
    <row r="124" spans="2:19" x14ac:dyDescent="0.25">
      <c r="B124" s="252" t="s">
        <v>597</v>
      </c>
      <c r="C124" s="252" t="s">
        <v>596</v>
      </c>
      <c r="D124" s="390"/>
      <c r="J124" s="252" t="str">
        <f t="shared" si="8"/>
        <v>UCTLCLEIN-N</v>
      </c>
      <c r="L124" s="252" t="s">
        <v>910</v>
      </c>
      <c r="N124" s="368">
        <f>D32*0.95</f>
        <v>0.80843013639890526</v>
      </c>
      <c r="P124" t="s">
        <v>595</v>
      </c>
    </row>
    <row r="125" spans="2:19" x14ac:dyDescent="0.25">
      <c r="B125" s="252" t="str">
        <f>L28</f>
        <v>Avgas</v>
      </c>
      <c r="D125" s="390"/>
      <c r="J125" s="252" t="str">
        <f t="shared" si="8"/>
        <v>UCTLCLEIN-N</v>
      </c>
      <c r="L125" s="342" t="s">
        <v>594</v>
      </c>
    </row>
    <row r="126" spans="2:19" x14ac:dyDescent="0.25">
      <c r="B126" s="252" t="str">
        <f>L29</f>
        <v>Diesel</v>
      </c>
      <c r="D126" s="387">
        <v>0.73</v>
      </c>
      <c r="E126" s="252" t="str">
        <f>E123</f>
        <v>LTMS</v>
      </c>
      <c r="J126" s="252" t="str">
        <f t="shared" si="8"/>
        <v>UCTLCLEIN-N</v>
      </c>
      <c r="N126" s="301"/>
    </row>
    <row r="127" spans="2:19" x14ac:dyDescent="0.25">
      <c r="B127" s="252" t="str">
        <f>L27</f>
        <v>Methane Rich Gas</v>
      </c>
      <c r="D127" s="390"/>
      <c r="J127" s="252" t="str">
        <f t="shared" si="8"/>
        <v>UCTLCLEIN-NUPSGAS</v>
      </c>
      <c r="K127" s="252" t="s">
        <v>825</v>
      </c>
      <c r="L127" s="252" t="str">
        <f>L40</f>
        <v>Gas Material Input</v>
      </c>
      <c r="N127" s="480">
        <f>N40</f>
        <v>0.22738749426150504</v>
      </c>
    </row>
    <row r="128" spans="2:19" x14ac:dyDescent="0.25">
      <c r="B128" s="252" t="str">
        <f>L31</f>
        <v>Kerosene/Jet Fuel/paraffin</v>
      </c>
      <c r="D128" s="390"/>
      <c r="J128" s="252" t="str">
        <f t="shared" si="8"/>
        <v>UCTLCLEIN-N</v>
      </c>
      <c r="N128" s="301"/>
    </row>
    <row r="129" spans="2:14" x14ac:dyDescent="0.25">
      <c r="B129" s="252" t="str">
        <f>L32</f>
        <v>LPG</v>
      </c>
      <c r="D129" s="391">
        <v>3.5000000000000003E-2</v>
      </c>
      <c r="E129" s="252" t="str">
        <f>E126</f>
        <v>LTMS</v>
      </c>
      <c r="J129" s="252" t="str">
        <f t="shared" si="8"/>
        <v>UCTLCLEIN-NUPSHEN</v>
      </c>
      <c r="K129" s="252" t="s">
        <v>837</v>
      </c>
      <c r="L129" s="252" t="str">
        <f>L42</f>
        <v>Steam Input (Stoich+heat)</v>
      </c>
      <c r="N129" s="480">
        <f>N42</f>
        <v>0.86910570466129278</v>
      </c>
    </row>
    <row r="130" spans="2:14" x14ac:dyDescent="0.25">
      <c r="B130" s="252" t="str">
        <f>L30</f>
        <v>Gasoline/Petrol</v>
      </c>
      <c r="D130" s="391">
        <f>1-D129-D126</f>
        <v>0.23499999999999999</v>
      </c>
      <c r="E130" s="252" t="str">
        <f>E129</f>
        <v>LTMS</v>
      </c>
      <c r="J130" s="252" t="str">
        <f t="shared" si="8"/>
        <v>UCTLCLEIN-NUPSELC</v>
      </c>
      <c r="K130" s="252" t="s">
        <v>823</v>
      </c>
      <c r="L130" s="252" t="str">
        <f>L43</f>
        <v>Electricity Input</v>
      </c>
      <c r="N130" s="480">
        <f>N43</f>
        <v>0.1589295424742827</v>
      </c>
    </row>
    <row r="131" spans="2:14" x14ac:dyDescent="0.25">
      <c r="B131" s="252" t="str">
        <f>L33</f>
        <v>Non Energy</v>
      </c>
      <c r="D131" s="390"/>
      <c r="J131" s="252" t="str">
        <f t="shared" si="8"/>
        <v>UCTLCLEIN-N</v>
      </c>
      <c r="L131" s="342" t="s">
        <v>593</v>
      </c>
    </row>
    <row r="132" spans="2:14" x14ac:dyDescent="0.25">
      <c r="J132" s="252" t="str">
        <f t="shared" si="8"/>
        <v>UCTLCLEIN-NOAG</v>
      </c>
      <c r="K132" s="252" t="s">
        <v>525</v>
      </c>
      <c r="L132" s="252" t="str">
        <f t="shared" ref="L132:L138" si="9">B125</f>
        <v>Avgas</v>
      </c>
      <c r="N132" s="301">
        <f t="shared" ref="N132:N138" si="10">D125</f>
        <v>0</v>
      </c>
    </row>
    <row r="133" spans="2:14" x14ac:dyDescent="0.25">
      <c r="B133" s="252" t="s">
        <v>592</v>
      </c>
      <c r="C133" s="252" t="s">
        <v>591</v>
      </c>
      <c r="D133" s="389">
        <f>272.16*D96*N122/1000</f>
        <v>102.13439825767931</v>
      </c>
      <c r="E133" s="252" t="s">
        <v>533</v>
      </c>
      <c r="J133" s="252" t="str">
        <f t="shared" si="8"/>
        <v>UCTLCLEIN-NODS</v>
      </c>
      <c r="K133" s="252" t="s">
        <v>499</v>
      </c>
      <c r="L133" s="252" t="str">
        <f t="shared" si="9"/>
        <v>Diesel</v>
      </c>
      <c r="N133" s="301">
        <f t="shared" si="10"/>
        <v>0.73</v>
      </c>
    </row>
    <row r="134" spans="2:14" x14ac:dyDescent="0.25">
      <c r="J134" s="252" t="str">
        <f t="shared" si="8"/>
        <v>UCTLCLEIN-NGIM</v>
      </c>
      <c r="K134" s="252" t="s">
        <v>733</v>
      </c>
      <c r="L134" s="252" t="str">
        <f t="shared" si="9"/>
        <v>Methane Rich Gas</v>
      </c>
      <c r="N134" s="301">
        <f t="shared" si="10"/>
        <v>0</v>
      </c>
    </row>
    <row r="135" spans="2:14" x14ac:dyDescent="0.25">
      <c r="J135" s="252" t="str">
        <f t="shared" si="8"/>
        <v>UCTLCLEIN-NOKE</v>
      </c>
      <c r="K135" s="252" t="s">
        <v>490</v>
      </c>
      <c r="L135" s="252" t="str">
        <f t="shared" si="9"/>
        <v>Kerosene/Jet Fuel/paraffin</v>
      </c>
      <c r="N135" s="301">
        <f t="shared" si="10"/>
        <v>0</v>
      </c>
    </row>
    <row r="136" spans="2:14" x14ac:dyDescent="0.25">
      <c r="J136" s="252" t="str">
        <f t="shared" si="8"/>
        <v>UCTLCLEIN-NOLP</v>
      </c>
      <c r="K136" s="252" t="s">
        <v>487</v>
      </c>
      <c r="L136" s="252" t="str">
        <f t="shared" si="9"/>
        <v>LPG</v>
      </c>
      <c r="N136" s="301">
        <f t="shared" si="10"/>
        <v>3.5000000000000003E-2</v>
      </c>
    </row>
    <row r="137" spans="2:14" x14ac:dyDescent="0.25">
      <c r="J137" s="252" t="str">
        <f t="shared" si="8"/>
        <v>UCTLCLEIN-NOGS</v>
      </c>
      <c r="K137" s="252" t="s">
        <v>497</v>
      </c>
      <c r="L137" s="252" t="str">
        <f t="shared" si="9"/>
        <v>Gasoline/Petrol</v>
      </c>
      <c r="N137" s="301">
        <f t="shared" si="10"/>
        <v>0.23499999999999999</v>
      </c>
    </row>
    <row r="138" spans="2:14" x14ac:dyDescent="0.25">
      <c r="J138" s="252" t="str">
        <f t="shared" si="8"/>
        <v>UCTLCLEIN-NOTH</v>
      </c>
      <c r="K138" s="252" t="s">
        <v>485</v>
      </c>
      <c r="L138" s="252" t="str">
        <f t="shared" si="9"/>
        <v>Non Energy</v>
      </c>
      <c r="N138" s="301">
        <f t="shared" si="10"/>
        <v>0</v>
      </c>
    </row>
    <row r="139" spans="2:14" x14ac:dyDescent="0.25">
      <c r="D139" s="252" t="s">
        <v>843</v>
      </c>
      <c r="J139" s="252" t="str">
        <f t="shared" si="8"/>
        <v>UCTLCLEIN-N</v>
      </c>
    </row>
    <row r="140" spans="2:14" x14ac:dyDescent="0.25">
      <c r="D140">
        <v>2017</v>
      </c>
      <c r="E140">
        <v>2018</v>
      </c>
      <c r="F140">
        <v>2019</v>
      </c>
      <c r="G140">
        <v>2020</v>
      </c>
      <c r="H140">
        <v>2021</v>
      </c>
      <c r="J140" s="252" t="str">
        <f t="shared" si="8"/>
        <v>UCTLCLEIN-NCO2</v>
      </c>
      <c r="K140" s="252" t="s">
        <v>242</v>
      </c>
      <c r="L140" s="252" t="s">
        <v>590</v>
      </c>
      <c r="M140" s="252" t="s">
        <v>587</v>
      </c>
      <c r="N140" s="386">
        <f>N53</f>
        <v>109.73413027616279</v>
      </c>
    </row>
    <row r="141" spans="2:14" ht="18" thickBot="1" x14ac:dyDescent="0.35">
      <c r="B141" s="384" t="s">
        <v>871</v>
      </c>
      <c r="C141" s="252" t="s">
        <v>749</v>
      </c>
      <c r="D141" s="470">
        <v>17103.169999999998</v>
      </c>
      <c r="E141" s="470">
        <f>Y147</f>
        <v>20238</v>
      </c>
      <c r="F141" s="470">
        <f t="shared" ref="F141:G141" si="11">Z147</f>
        <v>18207</v>
      </c>
      <c r="G141" s="470">
        <f t="shared" si="11"/>
        <v>12949</v>
      </c>
      <c r="J141" s="252" t="str">
        <f t="shared" si="8"/>
        <v>UCTLCLEIN-NCH4</v>
      </c>
      <c r="K141" s="252" t="s">
        <v>589</v>
      </c>
      <c r="L141" s="252" t="s">
        <v>588</v>
      </c>
      <c r="M141" s="252" t="s">
        <v>587</v>
      </c>
      <c r="N141" s="388">
        <f>N54</f>
        <v>0.43830718042180028</v>
      </c>
    </row>
    <row r="142" spans="2:14" ht="15.75" thickTop="1" x14ac:dyDescent="0.25">
      <c r="B142" s="252" t="s">
        <v>580</v>
      </c>
      <c r="C142" s="252" t="s">
        <v>194</v>
      </c>
      <c r="D142" s="470">
        <f>D141*$D$79</f>
        <v>729621.23219999985</v>
      </c>
      <c r="E142" s="470">
        <f t="shared" ref="E142:G142" si="12">E141*$D$79</f>
        <v>863353.08</v>
      </c>
      <c r="F142" s="470">
        <f t="shared" si="12"/>
        <v>776710.62</v>
      </c>
      <c r="G142" s="470">
        <f t="shared" si="12"/>
        <v>552404.34</v>
      </c>
      <c r="J142" s="252" t="str">
        <f t="shared" si="8"/>
        <v>UCTLCLEIN-NAFA~UP~2017</v>
      </c>
      <c r="K142" s="252" t="s">
        <v>889</v>
      </c>
      <c r="L142" s="252" t="s">
        <v>86</v>
      </c>
      <c r="N142" s="387">
        <v>0.96</v>
      </c>
    </row>
    <row r="143" spans="2:14" x14ac:dyDescent="0.25">
      <c r="B143" s="252" t="s">
        <v>872</v>
      </c>
      <c r="C143" s="252" t="s">
        <v>194</v>
      </c>
      <c r="D143" s="470">
        <f>AC219</f>
        <v>8711.8237454100363</v>
      </c>
      <c r="E143" s="470">
        <f>AG219</f>
        <v>11217.18482252142</v>
      </c>
      <c r="F143" s="470">
        <f>E143</f>
        <v>11217.18482252142</v>
      </c>
      <c r="G143" s="470">
        <v>0</v>
      </c>
      <c r="J143" s="252" t="str">
        <f t="shared" si="8"/>
        <v>UCTLCLEIN-NStart</v>
      </c>
      <c r="K143" s="252" t="s">
        <v>815</v>
      </c>
      <c r="L143" s="252" t="s">
        <v>492</v>
      </c>
      <c r="N143" s="320">
        <v>2030</v>
      </c>
    </row>
    <row r="144" spans="2:14" x14ac:dyDescent="0.25">
      <c r="B144" s="252" t="s">
        <v>470</v>
      </c>
      <c r="C144" s="252" t="s">
        <v>194</v>
      </c>
      <c r="D144" s="470">
        <f>'Crude refineries'!AB5+'Crude refineries'!AD5</f>
        <v>751186.42521824164</v>
      </c>
      <c r="E144" s="470">
        <f>D144</f>
        <v>751186.42521824164</v>
      </c>
      <c r="F144" s="470">
        <f>E144</f>
        <v>751186.42521824164</v>
      </c>
      <c r="G144" s="470"/>
      <c r="J144" s="252" t="str">
        <f t="shared" si="8"/>
        <v>UCTLCLEIN-NINVCOST</v>
      </c>
      <c r="K144" s="252" t="s">
        <v>461</v>
      </c>
      <c r="L144" s="252" t="s">
        <v>460</v>
      </c>
      <c r="M144" s="252" t="s">
        <v>498</v>
      </c>
      <c r="N144" s="386">
        <f>D133/N122*1000</f>
        <v>806.40463680000005</v>
      </c>
    </row>
    <row r="145" spans="2:27" x14ac:dyDescent="0.25">
      <c r="B145" s="252" t="s">
        <v>875</v>
      </c>
      <c r="D145" s="297">
        <f>(D142-D143)/D144</f>
        <v>0.95969440374956794</v>
      </c>
      <c r="E145" s="297">
        <f t="shared" ref="E145:F145" si="13">(E142-E143)/E144</f>
        <v>1.1343867069082194</v>
      </c>
      <c r="F145" s="297">
        <f t="shared" si="13"/>
        <v>1.0190458845886097</v>
      </c>
      <c r="J145" s="252" t="str">
        <f t="shared" si="8"/>
        <v>UCTLCLEIN-NFIXOM</v>
      </c>
      <c r="K145" s="252" t="s">
        <v>496</v>
      </c>
      <c r="L145" s="252" t="s">
        <v>586</v>
      </c>
      <c r="M145" s="252" t="s">
        <v>498</v>
      </c>
      <c r="N145" s="386">
        <f>N57</f>
        <v>28.117899658301525</v>
      </c>
    </row>
    <row r="146" spans="2:27" x14ac:dyDescent="0.25">
      <c r="J146" s="252" t="str">
        <f t="shared" si="8"/>
        <v>UCTLCLEIN-NLife</v>
      </c>
      <c r="K146" s="252" t="s">
        <v>489</v>
      </c>
      <c r="L146" s="252" t="s">
        <v>489</v>
      </c>
      <c r="M146" s="252" t="s">
        <v>488</v>
      </c>
      <c r="N146" s="296">
        <v>50</v>
      </c>
      <c r="X146">
        <v>2017</v>
      </c>
      <c r="Y146">
        <v>2018</v>
      </c>
      <c r="Z146">
        <v>2019</v>
      </c>
      <c r="AA146">
        <v>2020</v>
      </c>
    </row>
    <row r="147" spans="2:27" x14ac:dyDescent="0.25">
      <c r="J147" s="252" t="str">
        <f t="shared" si="8"/>
        <v>UCTLCLEIN-N</v>
      </c>
      <c r="N147" s="106"/>
      <c r="X147" s="470">
        <v>16770</v>
      </c>
      <c r="Y147" s="470">
        <v>20238</v>
      </c>
      <c r="Z147" s="470">
        <v>18207</v>
      </c>
      <c r="AA147" s="470">
        <v>12949</v>
      </c>
    </row>
    <row r="148" spans="2:27" x14ac:dyDescent="0.25">
      <c r="J148" s="252" t="str">
        <f t="shared" si="8"/>
        <v>UCTLCLEIN-NLC</v>
      </c>
      <c r="K148" s="252" t="s">
        <v>912</v>
      </c>
      <c r="L148" s="252" t="s">
        <v>585</v>
      </c>
      <c r="M148" s="252" t="s">
        <v>455</v>
      </c>
      <c r="N148" s="385">
        <f>(-PMT(M4,N146,N144)+N145)/N142+SUM(D115:D117)/(M34/1000)</f>
        <v>256.12293329733944</v>
      </c>
    </row>
    <row r="149" spans="2:27" ht="18" thickBot="1" x14ac:dyDescent="0.35">
      <c r="B149" s="384" t="s">
        <v>853</v>
      </c>
      <c r="J149" s="252" t="str">
        <f t="shared" si="8"/>
        <v>UCTLCLEIN-N</v>
      </c>
      <c r="L149" s="252" t="s">
        <v>584</v>
      </c>
      <c r="M149" s="252" t="s">
        <v>455</v>
      </c>
      <c r="N149" s="106">
        <f>N126*D99+N127*D103+N129/N124*D99+N130*D110</f>
        <v>101.7823567392434</v>
      </c>
    </row>
    <row r="150" spans="2:27" ht="15.75" thickTop="1" x14ac:dyDescent="0.25">
      <c r="B150" s="252" t="s">
        <v>470</v>
      </c>
      <c r="C150" s="252" t="s">
        <v>469</v>
      </c>
      <c r="D150" s="195">
        <f>D157+D180</f>
        <v>415000</v>
      </c>
      <c r="J150" s="252" t="str">
        <f t="shared" si="8"/>
        <v>UCTLCLEIN-NLC_Future</v>
      </c>
      <c r="K150" s="252" t="s">
        <v>457</v>
      </c>
      <c r="L150" s="252" t="s">
        <v>583</v>
      </c>
      <c r="M150" s="252" t="s">
        <v>455</v>
      </c>
      <c r="N150" s="385">
        <f>-PMT(M4,N146,N144)/N142+N145+N149/N123</f>
        <v>317.46542178891332</v>
      </c>
    </row>
    <row r="152" spans="2:27" ht="18" thickBot="1" x14ac:dyDescent="0.35">
      <c r="B152" s="252" t="s">
        <v>852</v>
      </c>
      <c r="C152" s="252" t="s">
        <v>194</v>
      </c>
      <c r="D152" s="377">
        <f>D142+D224-N62-D230</f>
        <v>505941.90593634819</v>
      </c>
      <c r="E152" s="252" t="s">
        <v>855</v>
      </c>
      <c r="L152" s="384" t="s">
        <v>582</v>
      </c>
    </row>
    <row r="153" spans="2:27" ht="15.75" thickTop="1" x14ac:dyDescent="0.25">
      <c r="B153" s="252" t="s">
        <v>867</v>
      </c>
      <c r="C153" s="252" t="s">
        <v>194</v>
      </c>
      <c r="D153" s="176">
        <f>1176*3.6</f>
        <v>4233.6000000000004</v>
      </c>
      <c r="E153" s="252" t="s">
        <v>856</v>
      </c>
    </row>
    <row r="154" spans="2:27" x14ac:dyDescent="0.25">
      <c r="B154" s="252" t="s">
        <v>854</v>
      </c>
      <c r="C154" s="252" t="s">
        <v>194</v>
      </c>
      <c r="D154" s="176">
        <f>D153-N63</f>
        <v>3251.36</v>
      </c>
      <c r="P154" s="20" t="s">
        <v>581</v>
      </c>
      <c r="Q154" s="20" t="s">
        <v>504</v>
      </c>
      <c r="R154" s="106">
        <f>R170*N171</f>
        <v>2251.9121383984811</v>
      </c>
    </row>
    <row r="155" spans="2:27" x14ac:dyDescent="0.25">
      <c r="P155" t="s">
        <v>242</v>
      </c>
      <c r="Q155" s="20" t="s">
        <v>399</v>
      </c>
      <c r="R155" s="383">
        <f>3328.02714 -R62</f>
        <v>2407.5271400000001</v>
      </c>
      <c r="S155" t="s">
        <v>579</v>
      </c>
    </row>
    <row r="156" spans="2:27" ht="15.75" thickBot="1" x14ac:dyDescent="0.3">
      <c r="B156" s="316" t="s">
        <v>841</v>
      </c>
      <c r="L156" s="316" t="s">
        <v>844</v>
      </c>
      <c r="N156" s="252" t="str">
        <f>UPS!$B$7</f>
        <v>UREFOCRCO-E</v>
      </c>
      <c r="P156" s="20"/>
      <c r="Q156" s="20" t="s">
        <v>577</v>
      </c>
      <c r="R156" s="382">
        <f>1 -R155/R154</f>
        <v>-6.9103496068096737E-2</v>
      </c>
    </row>
    <row r="157" spans="2:27" x14ac:dyDescent="0.25">
      <c r="B157" s="252" t="s">
        <v>470</v>
      </c>
      <c r="C157" s="252" t="s">
        <v>469</v>
      </c>
      <c r="D157" s="195">
        <f>F280</f>
        <v>315000</v>
      </c>
      <c r="J157" s="252" t="str">
        <f t="shared" ref="J157:J175" si="14">$N$156&amp;K157</f>
        <v>UREFOCRCO-EUPSGAS</v>
      </c>
      <c r="K157" s="252" t="s">
        <v>825</v>
      </c>
      <c r="L157" s="252" t="s">
        <v>100</v>
      </c>
      <c r="N157" s="471">
        <f>D159/D171</f>
        <v>2.1728907852209679E-3</v>
      </c>
    </row>
    <row r="158" spans="2:27" x14ac:dyDescent="0.25">
      <c r="D158" s="377"/>
      <c r="J158" s="252" t="str">
        <f t="shared" si="14"/>
        <v>UREFOCRCO-EUPSELC</v>
      </c>
      <c r="K158" s="252" t="s">
        <v>823</v>
      </c>
      <c r="L158" s="252" t="s">
        <v>575</v>
      </c>
      <c r="N158" s="471">
        <f>D160/D171</f>
        <v>4.8529200409580869E-3</v>
      </c>
    </row>
    <row r="159" spans="2:27" x14ac:dyDescent="0.25">
      <c r="B159" s="252" t="s">
        <v>100</v>
      </c>
      <c r="C159" s="252" t="s">
        <v>194</v>
      </c>
      <c r="D159" s="176">
        <v>1105</v>
      </c>
      <c r="E159" s="252" t="s">
        <v>576</v>
      </c>
      <c r="J159" s="252" t="str">
        <f t="shared" si="14"/>
        <v>UREFOCRCO-EOCR</v>
      </c>
      <c r="K159" s="252" t="s">
        <v>511</v>
      </c>
      <c r="L159" s="252" t="s">
        <v>890</v>
      </c>
      <c r="N159" s="301"/>
    </row>
    <row r="160" spans="2:27" x14ac:dyDescent="0.25">
      <c r="B160" s="252" t="s">
        <v>575</v>
      </c>
      <c r="C160" s="252" t="s">
        <v>194</v>
      </c>
      <c r="D160" s="377">
        <f>D154*$D$157/$D$150</f>
        <v>2467.8997590361446</v>
      </c>
      <c r="J160" s="252" t="str">
        <f t="shared" si="14"/>
        <v>UREFOCRCO-E</v>
      </c>
    </row>
    <row r="161" spans="2:19" x14ac:dyDescent="0.25">
      <c r="D161" s="195"/>
      <c r="J161" s="252" t="str">
        <f t="shared" si="14"/>
        <v>UREFOCRCO-EEFF</v>
      </c>
      <c r="K161" s="252" t="s">
        <v>465</v>
      </c>
      <c r="L161" s="252" t="str">
        <f t="shared" ref="L161:L169" si="15">B162</f>
        <v>Crude to energy products efficiency</v>
      </c>
      <c r="N161" s="301">
        <f>D162</f>
        <v>0.95081921966609462</v>
      </c>
    </row>
    <row r="162" spans="2:19" x14ac:dyDescent="0.25">
      <c r="B162" s="252" t="s">
        <v>866</v>
      </c>
      <c r="D162" s="376">
        <f>'Crude refineries'!AB6</f>
        <v>0.95081921966609462</v>
      </c>
      <c r="J162" s="252" t="str">
        <f t="shared" si="14"/>
        <v>UREFOCRCO-E</v>
      </c>
      <c r="L162" s="252" t="str">
        <f t="shared" si="15"/>
        <v>Energy Products Output Share</v>
      </c>
      <c r="R162" s="381" t="s">
        <v>573</v>
      </c>
    </row>
    <row r="163" spans="2:19" x14ac:dyDescent="0.25">
      <c r="B163" s="252" t="s">
        <v>551</v>
      </c>
      <c r="J163" s="252" t="str">
        <f t="shared" si="14"/>
        <v>UREFOCRCO-EOAG</v>
      </c>
      <c r="K163" s="252" t="s">
        <v>525</v>
      </c>
      <c r="L163" s="252" t="str">
        <f t="shared" si="15"/>
        <v>AvGas</v>
      </c>
      <c r="N163" s="301">
        <f t="shared" ref="N163:N169" si="16">D164</f>
        <v>3.7782040119212234E-3</v>
      </c>
      <c r="R163" s="381">
        <v>1.6444000000000001</v>
      </c>
      <c r="S163" s="381" t="s">
        <v>525</v>
      </c>
    </row>
    <row r="164" spans="2:19" x14ac:dyDescent="0.25">
      <c r="B164" s="252" t="s">
        <v>524</v>
      </c>
      <c r="D164" s="375">
        <f>'Crude refineries'!$AE$11</f>
        <v>3.7782040119212234E-3</v>
      </c>
      <c r="J164" s="252" t="str">
        <f t="shared" si="14"/>
        <v>UREFOCRCO-EODS</v>
      </c>
      <c r="K164" s="252" t="s">
        <v>499</v>
      </c>
      <c r="L164" s="252" t="str">
        <f t="shared" si="15"/>
        <v>Diesel</v>
      </c>
      <c r="N164" s="301">
        <f t="shared" si="16"/>
        <v>0.31968891523101722</v>
      </c>
      <c r="R164" s="381">
        <v>191.55680000000001</v>
      </c>
      <c r="S164" s="381" t="s">
        <v>499</v>
      </c>
    </row>
    <row r="165" spans="2:19" x14ac:dyDescent="0.25">
      <c r="B165" s="252" t="s">
        <v>60</v>
      </c>
      <c r="D165" s="375">
        <f>'Crude refineries'!$AE$14</f>
        <v>0.31968891523101722</v>
      </c>
      <c r="J165" s="252" t="str">
        <f t="shared" si="14"/>
        <v>UREFOCRCO-EOHF</v>
      </c>
      <c r="K165" s="252" t="s">
        <v>491</v>
      </c>
      <c r="L165" s="252" t="str">
        <f t="shared" si="15"/>
        <v>HFO</v>
      </c>
      <c r="N165" s="301">
        <f t="shared" si="16"/>
        <v>0.23372169677136084</v>
      </c>
      <c r="R165" s="381">
        <v>167.00640000000001</v>
      </c>
      <c r="S165" s="381" t="s">
        <v>497</v>
      </c>
    </row>
    <row r="166" spans="2:19" x14ac:dyDescent="0.25">
      <c r="B166" s="252" t="s">
        <v>198</v>
      </c>
      <c r="D166" s="375">
        <f>'Crude refineries'!$AE$15</f>
        <v>0.23372169677136084</v>
      </c>
      <c r="J166" s="252" t="str">
        <f t="shared" si="14"/>
        <v>UREFOCRCO-EOKE</v>
      </c>
      <c r="K166" s="252" t="s">
        <v>490</v>
      </c>
      <c r="L166" s="252" t="str">
        <f t="shared" si="15"/>
        <v>Kerosene/jet fuel/paraffin</v>
      </c>
      <c r="N166" s="301">
        <f t="shared" si="16"/>
        <v>9.8059797015436129E-2</v>
      </c>
      <c r="R166" s="381">
        <v>131.73570000000001</v>
      </c>
      <c r="S166" s="381" t="s">
        <v>491</v>
      </c>
    </row>
    <row r="167" spans="2:19" x14ac:dyDescent="0.25">
      <c r="B167" s="252" t="s">
        <v>502</v>
      </c>
      <c r="D167" s="375">
        <f>'Crude refineries'!$AE$17</f>
        <v>9.8059797015436129E-2</v>
      </c>
      <c r="J167" s="252" t="str">
        <f t="shared" si="14"/>
        <v>UREFOCRCO-EOLP</v>
      </c>
      <c r="K167" s="252" t="s">
        <v>487</v>
      </c>
      <c r="L167" s="252" t="str">
        <f t="shared" si="15"/>
        <v>LPG</v>
      </c>
      <c r="N167" s="301">
        <f t="shared" si="16"/>
        <v>2.1436699505158505E-2</v>
      </c>
      <c r="R167" s="381">
        <v>61.288699999999999</v>
      </c>
      <c r="S167" s="381" t="s">
        <v>490</v>
      </c>
    </row>
    <row r="168" spans="2:19" x14ac:dyDescent="0.25">
      <c r="B168" s="252" t="s">
        <v>55</v>
      </c>
      <c r="D168" s="375">
        <f>'Crude refineries'!$AE$18</f>
        <v>2.1436699505158505E-2</v>
      </c>
      <c r="J168" s="252" t="str">
        <f t="shared" si="14"/>
        <v>UREFOCRCO-EOGS</v>
      </c>
      <c r="K168" s="252" t="s">
        <v>497</v>
      </c>
      <c r="L168" s="252" t="str">
        <f t="shared" si="15"/>
        <v>Gasoline</v>
      </c>
      <c r="N168" s="301">
        <f t="shared" si="16"/>
        <v>0.28122161740282847</v>
      </c>
      <c r="R168" s="381">
        <v>11.223599999999999</v>
      </c>
      <c r="S168" s="381" t="s">
        <v>487</v>
      </c>
    </row>
    <row r="169" spans="2:19" x14ac:dyDescent="0.25">
      <c r="B169" s="252" t="s">
        <v>201</v>
      </c>
      <c r="D169" s="375">
        <f>SUM('Crude refineries'!$AE$20:$AE$23)</f>
        <v>0.28122161740282847</v>
      </c>
      <c r="J169" s="252" t="str">
        <f t="shared" si="14"/>
        <v>UREFOCRCO-EOTH</v>
      </c>
      <c r="K169" s="252" t="s">
        <v>485</v>
      </c>
      <c r="L169" s="252" t="str">
        <f t="shared" si="15"/>
        <v>Other non energy</v>
      </c>
      <c r="N169" s="301">
        <f t="shared" si="16"/>
        <v>4.2093070062277693E-2</v>
      </c>
      <c r="R169" s="381">
        <v>12.242100000000001</v>
      </c>
      <c r="S169" s="381" t="s">
        <v>485</v>
      </c>
    </row>
    <row r="170" spans="2:19" x14ac:dyDescent="0.25">
      <c r="B170" s="252" t="s">
        <v>493</v>
      </c>
      <c r="D170" s="375">
        <f>1-SUM(D164:D169)</f>
        <v>4.2093070062277693E-2</v>
      </c>
      <c r="J170" s="252" t="str">
        <f t="shared" si="14"/>
        <v>UREFOCRCO-EAFA~UP~2017</v>
      </c>
      <c r="K170" s="252" t="s">
        <v>889</v>
      </c>
      <c r="L170" s="252" t="s">
        <v>86</v>
      </c>
      <c r="N170" s="301">
        <f>D172</f>
        <v>0.91324200913242004</v>
      </c>
      <c r="R170" s="380">
        <f>SUM(R163:R169)</f>
        <v>576.69770000000005</v>
      </c>
    </row>
    <row r="171" spans="2:19" x14ac:dyDescent="0.25">
      <c r="B171" s="252" t="s">
        <v>572</v>
      </c>
      <c r="C171" s="252" t="s">
        <v>194</v>
      </c>
      <c r="D171" s="377">
        <f>'Crude refineries'!AB26</f>
        <v>508539.13483167958</v>
      </c>
      <c r="J171" s="252" t="str">
        <f t="shared" si="14"/>
        <v>UREFOCRCO-ECO2</v>
      </c>
      <c r="K171" s="252" t="s">
        <v>242</v>
      </c>
      <c r="L171" s="252" t="s">
        <v>560</v>
      </c>
      <c r="M171" s="252" t="s">
        <v>559</v>
      </c>
      <c r="N171" s="379">
        <f>N218</f>
        <v>3.9048398119126899</v>
      </c>
      <c r="P171">
        <f>2.9/N171</f>
        <v>0.7426681092404418</v>
      </c>
      <c r="R171" s="378">
        <f>R170/N172</f>
        <v>1.0356421563983771</v>
      </c>
    </row>
    <row r="172" spans="2:19" x14ac:dyDescent="0.25">
      <c r="B172" s="252" t="s">
        <v>86</v>
      </c>
      <c r="C172" s="252" t="s">
        <v>464</v>
      </c>
      <c r="D172" s="375">
        <f>'Crude refineries'!$AB$8</f>
        <v>0.91324200913242004</v>
      </c>
      <c r="E172" s="252" t="str">
        <f>O55</f>
        <v>Lloyd PJD 2001</v>
      </c>
      <c r="J172" s="252" t="str">
        <f t="shared" si="14"/>
        <v>UREFOCRCO-ERESID</v>
      </c>
      <c r="K172" s="252" t="s">
        <v>468</v>
      </c>
      <c r="L172" s="252" t="s">
        <v>470</v>
      </c>
      <c r="N172" s="299">
        <f>D171/D172/1000</f>
        <v>556.85035264068915</v>
      </c>
    </row>
    <row r="173" spans="2:19" x14ac:dyDescent="0.25">
      <c r="B173" s="252" t="s">
        <v>501</v>
      </c>
      <c r="C173" s="252" t="s">
        <v>498</v>
      </c>
      <c r="D173" s="351">
        <f>D96*9.37</f>
        <v>27.763122599999996</v>
      </c>
      <c r="E173" s="252" t="s">
        <v>533</v>
      </c>
      <c r="J173" s="252" t="str">
        <f t="shared" si="14"/>
        <v>UREFOCRCO-EFIXOM</v>
      </c>
      <c r="K173" s="252" t="s">
        <v>496</v>
      </c>
      <c r="L173" s="252" t="s">
        <v>501</v>
      </c>
      <c r="N173" s="299">
        <f>D173</f>
        <v>27.763122599999996</v>
      </c>
      <c r="P173" t="s">
        <v>571</v>
      </c>
      <c r="Q173">
        <v>2017</v>
      </c>
      <c r="R173" s="112">
        <f>R171*(1-R156)</f>
        <v>1.1072086500810077</v>
      </c>
    </row>
    <row r="174" spans="2:19" x14ac:dyDescent="0.25">
      <c r="J174" s="252" t="str">
        <f t="shared" si="14"/>
        <v>UREFOCRCO-ELC</v>
      </c>
      <c r="K174" s="252" t="s">
        <v>912</v>
      </c>
      <c r="L174" s="252" t="s">
        <v>486</v>
      </c>
      <c r="M174" s="252" t="s">
        <v>455</v>
      </c>
      <c r="N174" s="295">
        <f>N173+$D$107/N161</f>
        <v>219.17700679127049</v>
      </c>
      <c r="P174" t="s">
        <v>571</v>
      </c>
      <c r="Q174">
        <v>2019</v>
      </c>
    </row>
    <row r="175" spans="2:19" x14ac:dyDescent="0.25">
      <c r="J175" s="252" t="str">
        <f t="shared" si="14"/>
        <v>UREFOCRCO-ELC_Future</v>
      </c>
      <c r="K175" s="252" t="s">
        <v>457</v>
      </c>
      <c r="L175" s="252" t="s">
        <v>484</v>
      </c>
      <c r="M175" s="252" t="s">
        <v>455</v>
      </c>
      <c r="N175" s="295">
        <f>N173+$D$108/N161</f>
        <v>282.98163485502727</v>
      </c>
    </row>
    <row r="179" spans="2:14" ht="15.75" thickBot="1" x14ac:dyDescent="0.3">
      <c r="B179" s="316" t="s">
        <v>842</v>
      </c>
      <c r="L179" s="316" t="s">
        <v>845</v>
      </c>
      <c r="N179" s="252" t="str">
        <f>UPS!$B$18</f>
        <v>UREFOCRCA-E</v>
      </c>
    </row>
    <row r="180" spans="2:14" x14ac:dyDescent="0.25">
      <c r="B180" s="252" t="s">
        <v>470</v>
      </c>
      <c r="C180" s="252" t="s">
        <v>469</v>
      </c>
      <c r="D180" s="195">
        <f>G280</f>
        <v>100000</v>
      </c>
      <c r="J180" s="252" t="str">
        <f>$N$179&amp;K180</f>
        <v>UREFOCRCA-EUPSGAS</v>
      </c>
      <c r="K180" s="252" t="s">
        <v>825</v>
      </c>
      <c r="L180" s="252" t="s">
        <v>100</v>
      </c>
      <c r="N180" s="301">
        <v>0</v>
      </c>
    </row>
    <row r="181" spans="2:14" x14ac:dyDescent="0.25">
      <c r="B181" s="252" t="s">
        <v>100</v>
      </c>
      <c r="C181" s="252" t="s">
        <v>194</v>
      </c>
      <c r="D181" s="176">
        <v>1105</v>
      </c>
      <c r="J181" s="252" t="str">
        <f t="shared" ref="J181:J198" si="17">$N$179&amp;K181</f>
        <v>UREFOCRCA-EUPSELC</v>
      </c>
      <c r="K181" s="252" t="s">
        <v>823</v>
      </c>
      <c r="L181" s="252" t="s">
        <v>575</v>
      </c>
      <c r="N181" s="481">
        <f>D182/D193</f>
        <v>4.4562907610366017E-3</v>
      </c>
    </row>
    <row r="182" spans="2:14" x14ac:dyDescent="0.25">
      <c r="B182" s="252" t="s">
        <v>575</v>
      </c>
      <c r="C182" s="252" t="s">
        <v>194</v>
      </c>
      <c r="D182" s="377">
        <f>D154*$D$180/$D$150</f>
        <v>783.46024096385543</v>
      </c>
      <c r="J182" s="252" t="str">
        <f t="shared" si="17"/>
        <v>UREFOCRCA-EOCR</v>
      </c>
      <c r="K182" s="252" t="s">
        <v>511</v>
      </c>
      <c r="L182" s="252" t="s">
        <v>890</v>
      </c>
      <c r="N182" s="301"/>
    </row>
    <row r="183" spans="2:14" x14ac:dyDescent="0.25">
      <c r="D183" s="195"/>
      <c r="J183" s="252" t="str">
        <f t="shared" si="17"/>
        <v>UREFOCRCA-E</v>
      </c>
    </row>
    <row r="184" spans="2:14" x14ac:dyDescent="0.25">
      <c r="B184" s="252" t="s">
        <v>899</v>
      </c>
      <c r="D184" s="376">
        <f>'Crude refineries'!AC6</f>
        <v>0.96412108310809064</v>
      </c>
      <c r="J184" s="252" t="str">
        <f t="shared" si="17"/>
        <v>UREFOCRCA-EEFF</v>
      </c>
      <c r="K184" s="252" t="s">
        <v>465</v>
      </c>
      <c r="L184" s="252" t="str">
        <f t="shared" ref="L184:L192" si="18">B184</f>
        <v>Crude to products efficiency</v>
      </c>
      <c r="N184" s="301">
        <f>D184</f>
        <v>0.96412108310809064</v>
      </c>
    </row>
    <row r="185" spans="2:14" x14ac:dyDescent="0.25">
      <c r="B185" s="252" t="s">
        <v>900</v>
      </c>
      <c r="J185" s="252" t="str">
        <f t="shared" si="17"/>
        <v>UREFOCRCA-E</v>
      </c>
      <c r="L185" s="252" t="str">
        <f t="shared" si="18"/>
        <v>Products Output Share</v>
      </c>
    </row>
    <row r="186" spans="2:14" x14ac:dyDescent="0.25">
      <c r="B186" s="252" t="s">
        <v>524</v>
      </c>
      <c r="D186" s="375">
        <f>'Crude refineries'!$AF$11</f>
        <v>0</v>
      </c>
      <c r="J186" s="252" t="str">
        <f t="shared" si="17"/>
        <v>UREFOCRCA-EOAG</v>
      </c>
      <c r="K186" s="252" t="s">
        <v>525</v>
      </c>
      <c r="L186" s="252" t="str">
        <f t="shared" si="18"/>
        <v>AvGas</v>
      </c>
      <c r="N186" s="301">
        <f t="shared" ref="N186:N192" si="19">D186</f>
        <v>0</v>
      </c>
    </row>
    <row r="187" spans="2:14" x14ac:dyDescent="0.25">
      <c r="B187" s="252" t="s">
        <v>60</v>
      </c>
      <c r="D187" s="375">
        <f>'Crude refineries'!$AF$14</f>
        <v>0.34833055635651694</v>
      </c>
      <c r="J187" s="252" t="str">
        <f t="shared" si="17"/>
        <v>UREFOCRCA-EODS</v>
      </c>
      <c r="K187" s="252" t="s">
        <v>499</v>
      </c>
      <c r="L187" s="252" t="str">
        <f t="shared" si="18"/>
        <v>Diesel</v>
      </c>
      <c r="N187" s="301">
        <f t="shared" si="19"/>
        <v>0.34833055635651694</v>
      </c>
    </row>
    <row r="188" spans="2:14" x14ac:dyDescent="0.25">
      <c r="B188" s="252" t="s">
        <v>198</v>
      </c>
      <c r="D188" s="375">
        <f>'Crude refineries'!$AF$15</f>
        <v>0.19943636167892398</v>
      </c>
      <c r="J188" s="252" t="str">
        <f t="shared" si="17"/>
        <v>UREFOCRCA-EOHF</v>
      </c>
      <c r="K188" s="252" t="s">
        <v>491</v>
      </c>
      <c r="L188" s="252" t="str">
        <f t="shared" si="18"/>
        <v>HFO</v>
      </c>
      <c r="N188" s="301">
        <f t="shared" si="19"/>
        <v>0.19943636167892398</v>
      </c>
    </row>
    <row r="189" spans="2:14" x14ac:dyDescent="0.25">
      <c r="B189" s="252" t="s">
        <v>502</v>
      </c>
      <c r="D189" s="375">
        <f>'Crude refineries'!$AF$17</f>
        <v>0.12366927769468629</v>
      </c>
      <c r="J189" s="252" t="str">
        <f t="shared" si="17"/>
        <v>UREFOCRCA-EOKE</v>
      </c>
      <c r="K189" s="252" t="s">
        <v>490</v>
      </c>
      <c r="L189" s="252" t="str">
        <f t="shared" si="18"/>
        <v>Kerosene/jet fuel/paraffin</v>
      </c>
      <c r="N189" s="301">
        <f t="shared" si="19"/>
        <v>0.12366927769468629</v>
      </c>
    </row>
    <row r="190" spans="2:14" x14ac:dyDescent="0.25">
      <c r="B190" s="252" t="s">
        <v>55</v>
      </c>
      <c r="D190" s="375">
        <f>'Crude refineries'!$AF$18</f>
        <v>1.2582829950902787E-2</v>
      </c>
      <c r="J190" s="252" t="str">
        <f t="shared" si="17"/>
        <v>UREFOCRCA-EOLP</v>
      </c>
      <c r="K190" s="252" t="s">
        <v>487</v>
      </c>
      <c r="L190" s="252" t="str">
        <f t="shared" si="18"/>
        <v>LPG</v>
      </c>
      <c r="N190" s="301">
        <f t="shared" si="19"/>
        <v>1.2582829950902787E-2</v>
      </c>
    </row>
    <row r="191" spans="2:14" x14ac:dyDescent="0.25">
      <c r="B191" s="252" t="s">
        <v>201</v>
      </c>
      <c r="D191" s="375">
        <f>SUM('Crude refineries'!$AF$20:$AF$23)</f>
        <v>0.29644283837448704</v>
      </c>
      <c r="J191" s="252" t="str">
        <f t="shared" si="17"/>
        <v>UREFOCRCA-EOGS</v>
      </c>
      <c r="K191" s="252" t="s">
        <v>497</v>
      </c>
      <c r="L191" s="252" t="str">
        <f t="shared" si="18"/>
        <v>Gasoline</v>
      </c>
      <c r="N191" s="301">
        <f t="shared" si="19"/>
        <v>0.29644283837448704</v>
      </c>
    </row>
    <row r="192" spans="2:14" x14ac:dyDescent="0.25">
      <c r="B192" s="252" t="s">
        <v>493</v>
      </c>
      <c r="D192" s="375">
        <f>1-SUM(D186:D191)</f>
        <v>1.9538135944482948E-2</v>
      </c>
      <c r="J192" s="252" t="str">
        <f t="shared" si="17"/>
        <v>UREFOCRCA-EOTH</v>
      </c>
      <c r="K192" s="252" t="s">
        <v>485</v>
      </c>
      <c r="L192" s="252" t="str">
        <f t="shared" si="18"/>
        <v>Other non energy</v>
      </c>
      <c r="N192" s="301">
        <f t="shared" si="19"/>
        <v>1.9538135944482948E-2</v>
      </c>
    </row>
    <row r="193" spans="2:20" x14ac:dyDescent="0.25">
      <c r="B193" s="252" t="s">
        <v>572</v>
      </c>
      <c r="C193" s="252" t="s">
        <v>194</v>
      </c>
      <c r="D193" s="377">
        <f>'Crude refineries'!AC26</f>
        <v>175809.94665204713</v>
      </c>
      <c r="J193" s="252" t="str">
        <f t="shared" si="17"/>
        <v>UREFOCRCA-EAFA~UP~2017</v>
      </c>
      <c r="K193" s="252" t="s">
        <v>889</v>
      </c>
      <c r="L193" s="252" t="s">
        <v>86</v>
      </c>
      <c r="N193" s="301">
        <f>D194</f>
        <v>0.91324200913242004</v>
      </c>
    </row>
    <row r="194" spans="2:20" x14ac:dyDescent="0.25">
      <c r="B194" s="252" t="s">
        <v>86</v>
      </c>
      <c r="C194" s="252" t="s">
        <v>464</v>
      </c>
      <c r="D194" s="375">
        <f>'Crude refineries'!$AB$8</f>
        <v>0.91324200913242004</v>
      </c>
      <c r="J194" s="252" t="str">
        <f t="shared" si="17"/>
        <v>UREFOCRCA-ECO2</v>
      </c>
      <c r="K194" s="252" t="s">
        <v>242</v>
      </c>
      <c r="L194" s="252" t="s">
        <v>560</v>
      </c>
      <c r="M194" s="252" t="s">
        <v>559</v>
      </c>
      <c r="N194" s="379">
        <f>N171</f>
        <v>3.9048398119126899</v>
      </c>
    </row>
    <row r="195" spans="2:20" x14ac:dyDescent="0.25">
      <c r="B195" s="252" t="s">
        <v>501</v>
      </c>
      <c r="C195" s="252" t="s">
        <v>498</v>
      </c>
      <c r="D195" s="351">
        <f>D96*9.37</f>
        <v>27.763122599999996</v>
      </c>
      <c r="J195" s="252" t="str">
        <f t="shared" si="17"/>
        <v>UREFOCRCA-ERESID</v>
      </c>
      <c r="K195" s="252" t="s">
        <v>468</v>
      </c>
      <c r="L195" s="252" t="s">
        <v>470</v>
      </c>
      <c r="N195" s="299">
        <f>D193/D194/1000</f>
        <v>192.51189158399163</v>
      </c>
    </row>
    <row r="196" spans="2:20" x14ac:dyDescent="0.25">
      <c r="J196" s="252" t="str">
        <f t="shared" si="17"/>
        <v>UREFOCRCA-EFIXOM</v>
      </c>
      <c r="K196" s="252" t="s">
        <v>496</v>
      </c>
      <c r="L196" s="252" t="s">
        <v>501</v>
      </c>
      <c r="N196" s="299">
        <f>D195</f>
        <v>27.763122599999996</v>
      </c>
    </row>
    <row r="197" spans="2:20" x14ac:dyDescent="0.25">
      <c r="J197" s="252" t="str">
        <f t="shared" si="17"/>
        <v>UREFOCRCA-ELC</v>
      </c>
      <c r="K197" s="252" t="s">
        <v>912</v>
      </c>
      <c r="L197" s="252" t="s">
        <v>486</v>
      </c>
      <c r="M197" s="252" t="s">
        <v>455</v>
      </c>
      <c r="N197" s="295">
        <f>N196+$D$107/N184</f>
        <v>216.53609229098166</v>
      </c>
    </row>
    <row r="198" spans="2:20" x14ac:dyDescent="0.25">
      <c r="J198" s="252" t="str">
        <f t="shared" si="17"/>
        <v>UREFOCRCA-ELC_Future</v>
      </c>
      <c r="K198" s="252" t="s">
        <v>457</v>
      </c>
      <c r="L198" s="252" t="s">
        <v>484</v>
      </c>
      <c r="M198" s="252" t="s">
        <v>455</v>
      </c>
      <c r="N198" s="295">
        <f>N196+$D$108/N184</f>
        <v>279.46041552130885</v>
      </c>
    </row>
    <row r="200" spans="2:20" ht="15.75" thickBot="1" x14ac:dyDescent="0.3">
      <c r="B200" s="316" t="s">
        <v>570</v>
      </c>
      <c r="L200" s="316" t="s">
        <v>569</v>
      </c>
      <c r="N200" s="252" t="str">
        <f>UPS!$B$94</f>
        <v>UREFOCRCO-N</v>
      </c>
    </row>
    <row r="201" spans="2:20" x14ac:dyDescent="0.25">
      <c r="B201" s="252" t="s">
        <v>470</v>
      </c>
      <c r="C201" s="252" t="s">
        <v>469</v>
      </c>
      <c r="D201" s="176">
        <v>300000</v>
      </c>
      <c r="E201" s="252" t="s">
        <v>568</v>
      </c>
    </row>
    <row r="202" spans="2:20" x14ac:dyDescent="0.25">
      <c r="B202" s="252" t="s">
        <v>470</v>
      </c>
      <c r="C202" s="252" t="s">
        <v>466</v>
      </c>
      <c r="D202" s="377">
        <f>N172*D201/('Crude refineries'!$D$5+'Crude refineries'!$G$5+'Crude refineries'!$J$5)</f>
        <v>469.90136955595392</v>
      </c>
      <c r="J202" s="252" t="str">
        <f t="shared" ref="J202:J224" si="20">$N$200&amp;K202</f>
        <v>UREFOCRCO-NStart</v>
      </c>
      <c r="K202" s="252" t="s">
        <v>815</v>
      </c>
      <c r="L202" s="252" t="s">
        <v>492</v>
      </c>
      <c r="N202" s="298">
        <v>2030</v>
      </c>
    </row>
    <row r="203" spans="2:20" x14ac:dyDescent="0.25">
      <c r="B203" s="252" t="s">
        <v>567</v>
      </c>
      <c r="C203" s="252" t="s">
        <v>907</v>
      </c>
      <c r="D203" s="176">
        <f>D205*1.152</f>
        <v>169.34399999999999</v>
      </c>
      <c r="J203" s="252" t="str">
        <f t="shared" si="20"/>
        <v>UREFOCRCO-NUPSGIC</v>
      </c>
      <c r="K203" s="252" t="s">
        <v>822</v>
      </c>
      <c r="L203" s="252" t="s">
        <v>100</v>
      </c>
      <c r="N203" s="481">
        <v>0</v>
      </c>
    </row>
    <row r="204" spans="2:20" x14ac:dyDescent="0.25">
      <c r="D204" s="350"/>
      <c r="J204" s="252" t="str">
        <f t="shared" si="20"/>
        <v>UREFOCRCO-NUPSELC</v>
      </c>
      <c r="K204" s="252" t="s">
        <v>823</v>
      </c>
      <c r="L204" s="252" t="s">
        <v>575</v>
      </c>
      <c r="N204" s="481">
        <f>N181</f>
        <v>4.4562907610366017E-3</v>
      </c>
      <c r="R204" t="s">
        <v>556</v>
      </c>
      <c r="S204" s="368">
        <v>0.8</v>
      </c>
      <c r="T204" s="320">
        <f>3/3</f>
        <v>1</v>
      </c>
    </row>
    <row r="205" spans="2:20" x14ac:dyDescent="0.25">
      <c r="B205" s="252" t="s">
        <v>567</v>
      </c>
      <c r="C205" s="252" t="s">
        <v>566</v>
      </c>
      <c r="D205" s="350">
        <v>147</v>
      </c>
      <c r="J205" s="252" t="str">
        <f t="shared" si="20"/>
        <v>UREFOCRCO-N</v>
      </c>
      <c r="N205" s="301"/>
      <c r="R205" t="s">
        <v>554</v>
      </c>
      <c r="S205" s="368"/>
      <c r="T205" s="368"/>
    </row>
    <row r="206" spans="2:20" x14ac:dyDescent="0.25">
      <c r="B206" s="252" t="s">
        <v>565</v>
      </c>
      <c r="J206" s="252" t="str">
        <f t="shared" si="20"/>
        <v>UREFOCRCO-N</v>
      </c>
      <c r="R206" s="370" t="s">
        <v>516</v>
      </c>
      <c r="S206" s="368">
        <v>0.7</v>
      </c>
      <c r="T206" s="368">
        <v>0.8</v>
      </c>
    </row>
    <row r="207" spans="2:20" x14ac:dyDescent="0.25">
      <c r="B207" s="252" t="s">
        <v>524</v>
      </c>
      <c r="D207" s="375">
        <v>0</v>
      </c>
      <c r="J207" s="252" t="str">
        <f t="shared" si="20"/>
        <v>UREFOCRCO-NEFF</v>
      </c>
      <c r="K207" s="252" t="s">
        <v>465</v>
      </c>
      <c r="L207" s="252" t="str">
        <f>L161</f>
        <v>Crude to energy products efficiency</v>
      </c>
      <c r="N207" s="376">
        <v>0.97</v>
      </c>
      <c r="R207" s="370" t="s">
        <v>511</v>
      </c>
      <c r="S207" s="368">
        <f>1-S206</f>
        <v>0.30000000000000004</v>
      </c>
      <c r="T207" s="368">
        <f>1-T206</f>
        <v>0.19999999999999996</v>
      </c>
    </row>
    <row r="208" spans="2:20" x14ac:dyDescent="0.25">
      <c r="B208" s="252" t="s">
        <v>564</v>
      </c>
      <c r="D208" s="375">
        <f>0.5*(1-SUM($D$207,$D$209,$D$210,$D$211,$D$213))</f>
        <v>0.375</v>
      </c>
      <c r="J208" s="252" t="str">
        <f t="shared" si="20"/>
        <v>UREFOCRCO-N</v>
      </c>
      <c r="L208" s="252" t="str">
        <f t="shared" ref="L208:L215" si="21">B206</f>
        <v>Energy Products Output Share (flexible)</v>
      </c>
      <c r="R208" s="20" t="s">
        <v>542</v>
      </c>
    </row>
    <row r="209" spans="2:34" x14ac:dyDescent="0.25">
      <c r="B209" s="252" t="s">
        <v>198</v>
      </c>
      <c r="D209" s="375">
        <v>0</v>
      </c>
      <c r="J209" s="252" t="str">
        <f t="shared" si="20"/>
        <v>UREFOCRCO-NOAG</v>
      </c>
      <c r="K209" s="252" t="s">
        <v>525</v>
      </c>
      <c r="L209" s="252" t="str">
        <f t="shared" si="21"/>
        <v>AvGas</v>
      </c>
      <c r="N209" s="301">
        <f t="shared" ref="N209:N215" si="22">D207</f>
        <v>0</v>
      </c>
      <c r="P209" s="364"/>
      <c r="R209" t="s">
        <v>550</v>
      </c>
      <c r="S209" s="368">
        <v>7.3529999999999998</v>
      </c>
      <c r="U209" t="s">
        <v>542</v>
      </c>
    </row>
    <row r="210" spans="2:34" x14ac:dyDescent="0.25">
      <c r="B210" s="252" t="s">
        <v>563</v>
      </c>
      <c r="D210" s="375">
        <v>0.2</v>
      </c>
      <c r="J210" s="252" t="str">
        <f t="shared" si="20"/>
        <v>UREFOCRCO-NODS</v>
      </c>
      <c r="K210" s="252" t="s">
        <v>499</v>
      </c>
      <c r="L210" s="252" t="str">
        <f t="shared" si="21"/>
        <v>Diesel (up)</v>
      </c>
      <c r="N210" s="301">
        <f t="shared" si="22"/>
        <v>0.375</v>
      </c>
      <c r="R210" s="364" t="s">
        <v>549</v>
      </c>
      <c r="S210" s="368">
        <v>41.868000000000002</v>
      </c>
      <c r="T210" s="213" t="s">
        <v>548</v>
      </c>
      <c r="U210" t="s">
        <v>542</v>
      </c>
      <c r="AA210" s="365"/>
      <c r="AC210" s="252">
        <f>AC213*1000-AC214</f>
        <v>2769</v>
      </c>
    </row>
    <row r="211" spans="2:34" ht="15.75" x14ac:dyDescent="0.25">
      <c r="B211" s="252" t="s">
        <v>562</v>
      </c>
      <c r="D211" s="375">
        <v>0.03</v>
      </c>
      <c r="J211" s="252" t="str">
        <f t="shared" si="20"/>
        <v>UREFOCRCO-NOHF</v>
      </c>
      <c r="K211" s="252" t="s">
        <v>491</v>
      </c>
      <c r="L211" s="252" t="str">
        <f t="shared" si="21"/>
        <v>HFO</v>
      </c>
      <c r="N211" s="301">
        <f t="shared" si="22"/>
        <v>0</v>
      </c>
      <c r="R211" t="s">
        <v>547</v>
      </c>
      <c r="S211" s="368">
        <v>0.19</v>
      </c>
      <c r="T211" t="s">
        <v>546</v>
      </c>
      <c r="U211" s="367" t="s">
        <v>545</v>
      </c>
      <c r="AA211" s="360"/>
      <c r="AB211" s="362"/>
      <c r="AG211" s="366"/>
    </row>
    <row r="212" spans="2:34" x14ac:dyDescent="0.25">
      <c r="B212" s="252" t="s">
        <v>561</v>
      </c>
      <c r="D212" s="375">
        <f>0.5*(1-SUM($D$207,$D$209,$D$210,$D$211,$D$213))</f>
        <v>0.375</v>
      </c>
      <c r="J212" s="252" t="str">
        <f t="shared" si="20"/>
        <v>UREFOCRCO-NOKE</v>
      </c>
      <c r="K212" s="252" t="s">
        <v>490</v>
      </c>
      <c r="L212" s="252" t="str">
        <f t="shared" si="21"/>
        <v>Kerosene/jet fuel/paraffin (up)</v>
      </c>
      <c r="N212" s="301">
        <f t="shared" si="22"/>
        <v>0.2</v>
      </c>
      <c r="R212" t="s">
        <v>544</v>
      </c>
      <c r="S212">
        <v>45.75</v>
      </c>
      <c r="T212" t="s">
        <v>543</v>
      </c>
      <c r="U212" t="s">
        <v>542</v>
      </c>
      <c r="AA212" s="365"/>
    </row>
    <row r="213" spans="2:34" ht="15.75" x14ac:dyDescent="0.25">
      <c r="B213" s="252" t="s">
        <v>493</v>
      </c>
      <c r="D213" s="374">
        <v>0.02</v>
      </c>
      <c r="J213" s="252" t="str">
        <f t="shared" si="20"/>
        <v>UREFOCRCO-NOLP</v>
      </c>
      <c r="K213" s="252" t="s">
        <v>487</v>
      </c>
      <c r="L213" s="252" t="str">
        <f t="shared" si="21"/>
        <v>LPG (up)</v>
      </c>
      <c r="N213" s="301">
        <f t="shared" si="22"/>
        <v>0.03</v>
      </c>
      <c r="P213" s="364"/>
      <c r="AA213" s="363"/>
      <c r="AB213" s="362"/>
      <c r="AC213" s="361">
        <v>28.606999999999999</v>
      </c>
    </row>
    <row r="214" spans="2:34" ht="15.75" x14ac:dyDescent="0.25">
      <c r="J214" s="252" t="str">
        <f t="shared" si="20"/>
        <v>UREFOCRCO-NOGS</v>
      </c>
      <c r="K214" s="252" t="s">
        <v>497</v>
      </c>
      <c r="L214" s="252" t="str">
        <f t="shared" si="21"/>
        <v>Gasoline (up)</v>
      </c>
      <c r="N214" s="301">
        <f t="shared" si="22"/>
        <v>0.375</v>
      </c>
      <c r="R214" s="252"/>
      <c r="S214" s="297">
        <f>S223/S216</f>
        <v>0.80078740157480321</v>
      </c>
      <c r="V214" s="252"/>
      <c r="W214" s="297">
        <f>W224/W216</f>
        <v>0.7350736278447122</v>
      </c>
      <c r="Y214"/>
      <c r="AB214" s="106"/>
      <c r="AC214" s="360">
        <v>25838</v>
      </c>
      <c r="AD214" s="252" t="s">
        <v>541</v>
      </c>
    </row>
    <row r="215" spans="2:34" ht="15.75" thickBot="1" x14ac:dyDescent="0.3">
      <c r="B215" s="252" t="s">
        <v>86</v>
      </c>
      <c r="C215" s="252" t="s">
        <v>464</v>
      </c>
      <c r="D215" s="373">
        <v>0.96</v>
      </c>
      <c r="J215" s="252" t="str">
        <f t="shared" si="20"/>
        <v>UREFOCRCO-NOTH</v>
      </c>
      <c r="K215" s="252" t="s">
        <v>485</v>
      </c>
      <c r="L215" s="252" t="str">
        <f t="shared" si="21"/>
        <v>Other non energy</v>
      </c>
      <c r="N215" s="301">
        <f t="shared" si="22"/>
        <v>0.02</v>
      </c>
      <c r="R215" s="342" t="s">
        <v>540</v>
      </c>
      <c r="S215" s="359" t="s">
        <v>539</v>
      </c>
      <c r="V215" s="252"/>
      <c r="W215" s="359" t="s">
        <v>538</v>
      </c>
      <c r="X215"/>
      <c r="Y215"/>
      <c r="AA215" s="359" t="s">
        <v>537</v>
      </c>
      <c r="AB215"/>
      <c r="AC215"/>
      <c r="AE215" s="359" t="s">
        <v>536</v>
      </c>
    </row>
    <row r="216" spans="2:34" x14ac:dyDescent="0.25">
      <c r="B216" s="252" t="s">
        <v>501</v>
      </c>
      <c r="C216" s="252" t="s">
        <v>462</v>
      </c>
      <c r="D216" s="351">
        <f>D96*9.37</f>
        <v>27.763122599999996</v>
      </c>
      <c r="J216" s="252" t="str">
        <f t="shared" si="20"/>
        <v>UREFOCRCO-NAFA~UP~2017</v>
      </c>
      <c r="K216" s="252" t="s">
        <v>889</v>
      </c>
      <c r="L216" s="252" t="s">
        <v>86</v>
      </c>
      <c r="N216" s="301">
        <f>D215</f>
        <v>0.96</v>
      </c>
      <c r="R216" s="319" t="s">
        <v>535</v>
      </c>
      <c r="S216" s="357">
        <v>12.7</v>
      </c>
      <c r="T216" s="318" t="s">
        <v>534</v>
      </c>
      <c r="U216" s="337">
        <f>S216/$S$209*$S$210* 1000</f>
        <v>72313.831089351283</v>
      </c>
      <c r="V216" s="336" t="s">
        <v>194</v>
      </c>
      <c r="W216" s="357">
        <v>7.47</v>
      </c>
      <c r="X216" s="318" t="s">
        <v>534</v>
      </c>
      <c r="Y216" s="337">
        <f>W216/$S$209*$S$210* 1000</f>
        <v>42534.198286413703</v>
      </c>
      <c r="Z216" s="336" t="s">
        <v>194</v>
      </c>
      <c r="AA216" s="356"/>
      <c r="AB216" s="318" t="s">
        <v>534</v>
      </c>
      <c r="AC216" s="337">
        <f>SUM(AC218:AC219)</f>
        <v>34812.523745410035</v>
      </c>
      <c r="AD216" s="336" t="s">
        <v>194</v>
      </c>
      <c r="AE216" s="356"/>
      <c r="AF216" s="318" t="s">
        <v>534</v>
      </c>
      <c r="AG216" s="337">
        <f>SUM(AG218:AG219)</f>
        <v>39421.287148102827</v>
      </c>
      <c r="AH216" s="336" t="s">
        <v>194</v>
      </c>
    </row>
    <row r="217" spans="2:34" x14ac:dyDescent="0.25">
      <c r="J217" s="252" t="str">
        <f t="shared" si="20"/>
        <v>UREFOCRCO-NRESID</v>
      </c>
      <c r="K217" s="252" t="s">
        <v>468</v>
      </c>
      <c r="L217" s="252" t="s">
        <v>470</v>
      </c>
      <c r="M217" s="252" t="s">
        <v>466</v>
      </c>
      <c r="N217" s="299">
        <f>D202</f>
        <v>469.90136955595392</v>
      </c>
      <c r="R217" s="353" t="s">
        <v>57</v>
      </c>
      <c r="S217" s="327">
        <f>S216-S219</f>
        <v>11.28</v>
      </c>
      <c r="T217" t="s">
        <v>534</v>
      </c>
      <c r="U217" s="349">
        <f>S217/$S$209*$S$210* 1000</f>
        <v>64228.347613219084</v>
      </c>
      <c r="V217" s="323" t="s">
        <v>194</v>
      </c>
      <c r="W217" s="327">
        <v>7.47</v>
      </c>
      <c r="X217" t="s">
        <v>534</v>
      </c>
      <c r="Y217" s="349">
        <f>W217/$S$209*$S$210* 1000</f>
        <v>42534.198286413703</v>
      </c>
      <c r="Z217" s="323" t="s">
        <v>194</v>
      </c>
      <c r="AA217" s="352"/>
      <c r="AB217" t="s">
        <v>534</v>
      </c>
      <c r="AC217" s="349"/>
      <c r="AD217" s="312" t="s">
        <v>194</v>
      </c>
      <c r="AE217" s="352"/>
      <c r="AF217" t="s">
        <v>534</v>
      </c>
      <c r="AG217" s="349"/>
      <c r="AH217" s="312" t="s">
        <v>194</v>
      </c>
    </row>
    <row r="218" spans="2:34" x14ac:dyDescent="0.25">
      <c r="J218" s="252" t="str">
        <f t="shared" si="20"/>
        <v>UREFOCRCO-NCO2</v>
      </c>
      <c r="K218" s="252" t="s">
        <v>242</v>
      </c>
      <c r="L218" s="252" t="s">
        <v>560</v>
      </c>
      <c r="M218" s="252" t="s">
        <v>559</v>
      </c>
      <c r="N218" s="372">
        <f>$N$84*0.9</f>
        <v>3.9048398119126899</v>
      </c>
      <c r="R218" s="315"/>
      <c r="S218" s="350">
        <v>58.3</v>
      </c>
      <c r="T218" t="s">
        <v>532</v>
      </c>
      <c r="U218" s="349">
        <f>(S218*$S$211)/$S$209 * $S$210 *1000</f>
        <v>63072.465116279076</v>
      </c>
      <c r="V218" s="323" t="s">
        <v>194</v>
      </c>
      <c r="W218" s="350"/>
      <c r="X218" t="s">
        <v>532</v>
      </c>
      <c r="Y218" s="349">
        <f>(W218*$S$211)/$S$209 * $S$210 *1000</f>
        <v>0</v>
      </c>
      <c r="Z218" s="323" t="s">
        <v>194</v>
      </c>
      <c r="AA218" s="350">
        <v>24.74</v>
      </c>
      <c r="AB218" t="s">
        <v>532</v>
      </c>
      <c r="AC218" s="349">
        <f>AA218*1055</f>
        <v>26100.699999999997</v>
      </c>
      <c r="AD218" s="312" t="s">
        <v>194</v>
      </c>
      <c r="AE218" s="350">
        <v>26.07</v>
      </c>
      <c r="AF218" t="s">
        <v>532</v>
      </c>
      <c r="AG218" s="349">
        <f>(AE218*$S$211)/$S$209 * $S$210 *1000</f>
        <v>28204.102325581403</v>
      </c>
      <c r="AH218" s="312" t="s">
        <v>194</v>
      </c>
    </row>
    <row r="219" spans="2:34" ht="15.75" thickBot="1" x14ac:dyDescent="0.3">
      <c r="J219" s="252" t="str">
        <f t="shared" si="20"/>
        <v>UREFOCRCO-NFIXOM</v>
      </c>
      <c r="K219" s="252" t="s">
        <v>496</v>
      </c>
      <c r="L219" s="252" t="s">
        <v>501</v>
      </c>
      <c r="M219" s="252" t="s">
        <v>500</v>
      </c>
      <c r="N219" s="299">
        <f>D216</f>
        <v>27.763122599999996</v>
      </c>
      <c r="R219" s="346" t="s">
        <v>530</v>
      </c>
      <c r="S219" s="345">
        <f>1.42</f>
        <v>1.42</v>
      </c>
      <c r="T219" s="309" t="s">
        <v>520</v>
      </c>
      <c r="U219" s="305">
        <f>S219/$S$209*$S$210* 1000</f>
        <v>8085.4834761321918</v>
      </c>
      <c r="V219" s="304" t="s">
        <v>194</v>
      </c>
      <c r="W219" s="345"/>
      <c r="X219" s="309" t="s">
        <v>520</v>
      </c>
      <c r="Y219" s="305">
        <f>W219/$S$209*$S$210* 1000</f>
        <v>0</v>
      </c>
      <c r="Z219" s="304" t="s">
        <v>194</v>
      </c>
      <c r="AA219" s="345">
        <v>1.53</v>
      </c>
      <c r="AB219" s="309" t="s">
        <v>520</v>
      </c>
      <c r="AC219" s="305">
        <f>AA219/$S$209*$S$210* 1000</f>
        <v>8711.8237454100363</v>
      </c>
      <c r="AD219" s="321" t="s">
        <v>194</v>
      </c>
      <c r="AE219" s="345">
        <v>1.97</v>
      </c>
      <c r="AF219" s="309" t="s">
        <v>520</v>
      </c>
      <c r="AG219" s="305">
        <f>AE219/$S$209*$S$210* 1000</f>
        <v>11217.18482252142</v>
      </c>
      <c r="AH219" s="321" t="s">
        <v>194</v>
      </c>
    </row>
    <row r="220" spans="2:34" x14ac:dyDescent="0.25">
      <c r="J220" s="252" t="str">
        <f t="shared" si="20"/>
        <v>UREFOCRCO-NFIXOM</v>
      </c>
      <c r="K220" s="252" t="s">
        <v>496</v>
      </c>
      <c r="L220" s="252" t="s">
        <v>558</v>
      </c>
      <c r="M220" s="252" t="s">
        <v>498</v>
      </c>
      <c r="N220" s="299">
        <f>'Cleaner Fuels Phase-2'!H29*N221</f>
        <v>10.811460296020813</v>
      </c>
      <c r="R220" s="319" t="s">
        <v>529</v>
      </c>
      <c r="S220" s="344">
        <f>SUM(S221:S222)</f>
        <v>2.6</v>
      </c>
      <c r="T220" s="318" t="s">
        <v>520</v>
      </c>
      <c r="U220" s="337">
        <f>S220/$S$209*$S$210* 1000</f>
        <v>14804.406364749082</v>
      </c>
      <c r="V220" s="336" t="s">
        <v>194</v>
      </c>
      <c r="W220" s="344">
        <f>SUM(W221:W222)</f>
        <v>0.39600000000000002</v>
      </c>
      <c r="X220" s="318" t="s">
        <v>520</v>
      </c>
      <c r="Y220" s="337">
        <f>W221/$S$209*$S$210* 1000</f>
        <v>2254.8249694002452</v>
      </c>
      <c r="Z220" s="336" t="s">
        <v>194</v>
      </c>
      <c r="AA220" s="344">
        <f>SUM(AA221:AA222)</f>
        <v>0</v>
      </c>
      <c r="AB220" s="318" t="s">
        <v>520</v>
      </c>
      <c r="AC220" s="337">
        <f>AA221/$S$209*$S$210* 1000</f>
        <v>0</v>
      </c>
      <c r="AD220" s="336" t="s">
        <v>194</v>
      </c>
      <c r="AE220" s="344">
        <f>SUM(AE221:AE222)</f>
        <v>0</v>
      </c>
      <c r="AF220" s="318" t="s">
        <v>520</v>
      </c>
      <c r="AG220" s="337">
        <f>AE221/$S$209*$S$210* 1000</f>
        <v>0</v>
      </c>
      <c r="AH220" s="336" t="s">
        <v>194</v>
      </c>
    </row>
    <row r="221" spans="2:34" x14ac:dyDescent="0.25">
      <c r="J221" s="252" t="str">
        <f t="shared" si="20"/>
        <v>UREFOCRCO-NINVCOST</v>
      </c>
      <c r="K221" s="252" t="s">
        <v>461</v>
      </c>
      <c r="L221" s="252" t="s">
        <v>460</v>
      </c>
      <c r="M221" s="252" t="s">
        <v>498</v>
      </c>
      <c r="N221" s="296">
        <f>D203/D202*1000</f>
        <v>360.38200986736047</v>
      </c>
      <c r="R221" s="341" t="s">
        <v>526</v>
      </c>
      <c r="S221" s="339">
        <v>0.73</v>
      </c>
      <c r="T221" s="252"/>
      <c r="U221" s="113"/>
      <c r="V221" s="323"/>
      <c r="W221" s="339">
        <v>0.39600000000000002</v>
      </c>
      <c r="Z221" s="312"/>
      <c r="AA221" s="339"/>
      <c r="AD221" s="312"/>
      <c r="AE221" s="339"/>
      <c r="AH221" s="312"/>
    </row>
    <row r="222" spans="2:34" ht="15.75" thickBot="1" x14ac:dyDescent="0.3">
      <c r="J222" s="252" t="str">
        <f t="shared" si="20"/>
        <v>UREFOCRCO-NLife</v>
      </c>
      <c r="K222" s="252" t="s">
        <v>489</v>
      </c>
      <c r="L222" s="252" t="s">
        <v>489</v>
      </c>
      <c r="M222" s="252" t="s">
        <v>488</v>
      </c>
      <c r="N222" s="296">
        <v>50</v>
      </c>
      <c r="R222" s="340" t="s">
        <v>523</v>
      </c>
      <c r="S222" s="339">
        <v>1.87</v>
      </c>
      <c r="T222" s="306"/>
      <c r="U222" s="305"/>
      <c r="V222" s="304"/>
      <c r="W222" s="339"/>
      <c r="X222" s="306"/>
      <c r="Y222" s="306"/>
      <c r="Z222" s="321"/>
      <c r="AA222" s="339"/>
      <c r="AB222" s="306"/>
      <c r="AC222" s="306"/>
      <c r="AD222" s="321"/>
      <c r="AE222" s="339"/>
      <c r="AF222" s="306"/>
      <c r="AG222" s="306"/>
      <c r="AH222" s="321"/>
    </row>
    <row r="223" spans="2:34" x14ac:dyDescent="0.25">
      <c r="J223" s="252" t="str">
        <f t="shared" si="20"/>
        <v>UREFOCRCO-NLC</v>
      </c>
      <c r="K223" s="252" t="s">
        <v>912</v>
      </c>
      <c r="L223" s="252" t="s">
        <v>908</v>
      </c>
      <c r="M223" s="252" t="s">
        <v>455</v>
      </c>
      <c r="N223" s="295">
        <f>-PMT($M$4,$N$222,N221)/N216+N219+D107/N207</f>
        <v>246.07808807582478</v>
      </c>
      <c r="R223" s="330" t="s">
        <v>522</v>
      </c>
      <c r="S223" s="293">
        <v>10.17</v>
      </c>
      <c r="T223" s="318" t="s">
        <v>520</v>
      </c>
      <c r="U223" s="337">
        <f>S223/$S$209*$S$210* 1000</f>
        <v>57908.004895960839</v>
      </c>
      <c r="V223" s="336" t="s">
        <v>194</v>
      </c>
      <c r="W223" s="338">
        <v>7.5250000000000004</v>
      </c>
      <c r="X223" s="318" t="s">
        <v>520</v>
      </c>
      <c r="Y223" s="337">
        <f>W223/$S$209*$S$210* 1000</f>
        <v>42847.368421052633</v>
      </c>
      <c r="Z223" s="336" t="s">
        <v>194</v>
      </c>
      <c r="AA223" s="338">
        <v>6.2859999999999996</v>
      </c>
      <c r="AB223" s="318" t="s">
        <v>520</v>
      </c>
      <c r="AC223" s="337">
        <f>AA223/$S$209*$S$210* 1000</f>
        <v>35792.499388004901</v>
      </c>
      <c r="AD223" s="336" t="s">
        <v>194</v>
      </c>
      <c r="AE223" s="338">
        <v>2.552</v>
      </c>
      <c r="AF223" s="318" t="s">
        <v>520</v>
      </c>
      <c r="AG223" s="337">
        <f>AE223/$S$209*$S$210* 1000</f>
        <v>14531.094247246023</v>
      </c>
      <c r="AH223" s="336" t="s">
        <v>194</v>
      </c>
    </row>
    <row r="224" spans="2:34" x14ac:dyDescent="0.25">
      <c r="B224" s="252" t="s">
        <v>578</v>
      </c>
      <c r="C224" s="252" t="s">
        <v>194</v>
      </c>
      <c r="D224" s="176">
        <f>32.25*D79</f>
        <v>1375.7849999999999</v>
      </c>
      <c r="E224" s="252" t="s">
        <v>843</v>
      </c>
      <c r="I224" s="117"/>
      <c r="J224" s="252" t="str">
        <f t="shared" si="20"/>
        <v>UREFOCRCO-NLC_Future</v>
      </c>
      <c r="K224" s="252" t="s">
        <v>457</v>
      </c>
      <c r="L224" s="252" t="s">
        <v>484</v>
      </c>
      <c r="M224" s="252" t="s">
        <v>455</v>
      </c>
      <c r="N224" s="295">
        <f>-PMT($M$4,$N$222,N221)/N216+N219+D108/N207</f>
        <v>308.62104340228524</v>
      </c>
      <c r="R224" s="335" t="s">
        <v>521</v>
      </c>
      <c r="T224" t="s">
        <v>520</v>
      </c>
      <c r="V224" s="323"/>
      <c r="W224" s="334">
        <v>5.4909999999999997</v>
      </c>
      <c r="X224" t="s">
        <v>520</v>
      </c>
      <c r="Y224" s="113">
        <f>W224/$S$209*$S$210* 1000</f>
        <v>31265.767441860466</v>
      </c>
      <c r="Z224" s="323" t="s">
        <v>194</v>
      </c>
      <c r="AA224" s="334"/>
      <c r="AB224" t="s">
        <v>520</v>
      </c>
      <c r="AC224" s="113">
        <f>AA224/$S$209*$S$210* 1000</f>
        <v>0</v>
      </c>
      <c r="AD224" s="323" t="s">
        <v>194</v>
      </c>
      <c r="AE224" s="334">
        <v>1.923</v>
      </c>
      <c r="AF224" t="s">
        <v>520</v>
      </c>
      <c r="AG224" s="113">
        <f>AE224/$S$209*$S$210* 1000</f>
        <v>10949.56670746634</v>
      </c>
      <c r="AH224" s="323" t="s">
        <v>194</v>
      </c>
    </row>
    <row r="225" spans="2:34" ht="15.75" thickBot="1" x14ac:dyDescent="0.3">
      <c r="G225" s="297">
        <f>E273*1000/SUM(G228:G230)</f>
        <v>0.7298536430823781</v>
      </c>
      <c r="I225" s="117"/>
      <c r="R225" s="307" t="s">
        <v>519</v>
      </c>
      <c r="S225" s="332">
        <v>1</v>
      </c>
      <c r="T225" s="309"/>
      <c r="U225" s="306"/>
      <c r="V225" s="304"/>
      <c r="W225" s="331">
        <f>$S$204</f>
        <v>0.8</v>
      </c>
      <c r="X225" s="306"/>
      <c r="Y225" s="306"/>
      <c r="Z225" s="304"/>
      <c r="AA225" s="331">
        <f>$S$204</f>
        <v>0.8</v>
      </c>
      <c r="AB225" s="306"/>
      <c r="AC225" s="306"/>
      <c r="AD225" s="304"/>
      <c r="AE225" s="331">
        <f>$S$204</f>
        <v>0.8</v>
      </c>
      <c r="AF225" s="306"/>
      <c r="AG225" s="306"/>
      <c r="AH225" s="304"/>
    </row>
    <row r="226" spans="2:34" ht="15.75" thickBot="1" x14ac:dyDescent="0.3">
      <c r="B226" s="316" t="s">
        <v>557</v>
      </c>
      <c r="D226"/>
      <c r="E226" s="20">
        <v>2006</v>
      </c>
      <c r="F226">
        <v>2012</v>
      </c>
      <c r="G226">
        <v>2017</v>
      </c>
      <c r="I226" s="117"/>
      <c r="L226" s="316" t="s">
        <v>557</v>
      </c>
      <c r="N226" s="252" t="str">
        <f>UPS!$B$40</f>
        <v>UGTLGICCO-E</v>
      </c>
      <c r="R226" s="315" t="s">
        <v>518</v>
      </c>
      <c r="T226" t="s">
        <v>517</v>
      </c>
      <c r="V226" s="314"/>
      <c r="W226" s="330"/>
      <c r="X226" s="329"/>
      <c r="Y226" s="329"/>
      <c r="Z226" s="328"/>
      <c r="AA226" s="330"/>
      <c r="AB226" s="329"/>
      <c r="AC226" s="329"/>
      <c r="AD226" s="328"/>
      <c r="AE226" s="330"/>
      <c r="AF226" s="329"/>
      <c r="AG226" s="329"/>
      <c r="AH226" s="328"/>
    </row>
    <row r="227" spans="2:34" x14ac:dyDescent="0.25">
      <c r="B227" s="252" t="s">
        <v>470</v>
      </c>
      <c r="F227"/>
      <c r="G227"/>
      <c r="I227" s="117"/>
      <c r="R227" s="315" t="s">
        <v>516</v>
      </c>
      <c r="S227" s="327">
        <f>INDEX($S206:$T206,MATCH(S$225,$S$204:$T$204,0))</f>
        <v>0.8</v>
      </c>
      <c r="T227">
        <f>U227*1000000/S212</f>
        <v>1403898308.4856632</v>
      </c>
      <c r="U227" s="113">
        <f>U217</f>
        <v>64228.347613219084</v>
      </c>
      <c r="V227" s="323" t="s">
        <v>194</v>
      </c>
      <c r="W227" s="326">
        <f>INDEX($S206:$T206,MATCH(W$225,$S$204:$T$204,0))</f>
        <v>0.7</v>
      </c>
      <c r="Z227" s="312"/>
      <c r="AA227" s="326">
        <f>INDEX($S206:$T206,MATCH(AA$225,$S$204:$T$204,0))</f>
        <v>0.7</v>
      </c>
      <c r="AD227" s="312"/>
      <c r="AE227" s="326">
        <f>INDEX($S206:$T206,MATCH(AE$225,$S$204:$T$204,0))</f>
        <v>0.7</v>
      </c>
      <c r="AH227" s="312"/>
    </row>
    <row r="228" spans="2:34" ht="15.75" thickBot="1" x14ac:dyDescent="0.3">
      <c r="B228" s="252" t="s">
        <v>555</v>
      </c>
      <c r="C228" s="252" t="s">
        <v>194</v>
      </c>
      <c r="D228" s="176">
        <f>AC218</f>
        <v>26100.699999999997</v>
      </c>
      <c r="E228" s="371">
        <f>U232</f>
        <v>0</v>
      </c>
      <c r="F228"/>
      <c r="G228" s="113">
        <f>AC232</f>
        <v>840.83333333333326</v>
      </c>
      <c r="I228" s="117"/>
      <c r="J228" s="252" t="str">
        <f t="shared" ref="J228:J245" si="23">$N$226&amp;K228</f>
        <v>UGTLGICCO-E</v>
      </c>
      <c r="N228" s="333"/>
      <c r="R228" s="315" t="s">
        <v>511</v>
      </c>
      <c r="S228" s="324">
        <f>INDEX($S207:$T207,MATCH(S$225,$S$204:$T$204,0))</f>
        <v>0.19999999999999996</v>
      </c>
      <c r="T228">
        <f>S228/S227 *T227</f>
        <v>350974577.12141573</v>
      </c>
      <c r="U228" s="113">
        <f>T228/1000 *S210/1000</f>
        <v>14694.603594919436</v>
      </c>
      <c r="V228" s="323" t="s">
        <v>194</v>
      </c>
      <c r="W228" s="322">
        <f>INDEX($S207:$T207,MATCH(W$225,$S$204:$T$204,0))</f>
        <v>0.30000000000000004</v>
      </c>
      <c r="X228" s="306"/>
      <c r="Y228" s="306"/>
      <c r="Z228" s="321"/>
      <c r="AA228" s="322">
        <f>INDEX($S207:$T207,MATCH(AA$225,$S$204:$T$204,0))</f>
        <v>0.30000000000000004</v>
      </c>
      <c r="AB228" s="306"/>
      <c r="AC228" s="306"/>
      <c r="AD228" s="321"/>
      <c r="AE228" s="322">
        <f>INDEX($S207:$T207,MATCH(AE$225,$S$204:$T$204,0))</f>
        <v>0.30000000000000004</v>
      </c>
      <c r="AF228" s="306"/>
      <c r="AG228" s="306"/>
      <c r="AH228" s="321"/>
    </row>
    <row r="229" spans="2:34" x14ac:dyDescent="0.25">
      <c r="B229" s="252" t="s">
        <v>575</v>
      </c>
      <c r="C229" s="252" t="s">
        <v>194</v>
      </c>
      <c r="D229" s="320">
        <f>AC232</f>
        <v>840.83333333333326</v>
      </c>
      <c r="E229" s="371">
        <f>U218</f>
        <v>63072.465116279076</v>
      </c>
      <c r="F229"/>
      <c r="G229" s="113">
        <f>AC214</f>
        <v>25838</v>
      </c>
      <c r="I229" s="117"/>
      <c r="J229" s="252" t="str">
        <f t="shared" si="23"/>
        <v>UGTLGICCO-EUPSOCR</v>
      </c>
      <c r="K229" s="252" t="s">
        <v>821</v>
      </c>
      <c r="N229" s="483">
        <f>D230/D231</f>
        <v>0.24339802736239258</v>
      </c>
      <c r="R229" s="319" t="s">
        <v>515</v>
      </c>
      <c r="S229" s="318"/>
      <c r="T229" s="318"/>
      <c r="U229" s="318"/>
      <c r="V229" s="317"/>
      <c r="W229" s="313"/>
      <c r="Z229" s="312"/>
      <c r="AA229" s="313"/>
      <c r="AD229" s="312"/>
      <c r="AE229" s="313"/>
      <c r="AH229" s="312"/>
    </row>
    <row r="230" spans="2:34" x14ac:dyDescent="0.25">
      <c r="B230" s="252" t="s">
        <v>553</v>
      </c>
      <c r="C230" s="252" t="s">
        <v>194</v>
      </c>
      <c r="D230" s="320">
        <f>AC219</f>
        <v>8711.8237454100363</v>
      </c>
      <c r="E230" s="371">
        <f>U219</f>
        <v>8085.4834761321918</v>
      </c>
      <c r="F230"/>
      <c r="G230" s="113">
        <f>AC219</f>
        <v>8711.8237454100363</v>
      </c>
      <c r="I230" s="117"/>
      <c r="J230" s="252" t="str">
        <f t="shared" si="23"/>
        <v>UGTLGICCO-EUPSELC</v>
      </c>
      <c r="K230" s="252" t="s">
        <v>823</v>
      </c>
      <c r="N230" s="483">
        <f>D229/D231</f>
        <v>2.3491886504442346E-2</v>
      </c>
      <c r="R230" s="315" t="s">
        <v>514</v>
      </c>
      <c r="U230" t="s">
        <v>513</v>
      </c>
      <c r="V230" s="314"/>
      <c r="W230" s="313"/>
      <c r="Z230" s="312"/>
      <c r="AA230" s="313"/>
      <c r="AD230" s="312"/>
      <c r="AE230" s="313"/>
      <c r="AH230" s="312"/>
    </row>
    <row r="231" spans="2:34" x14ac:dyDescent="0.25">
      <c r="B231" s="252" t="s">
        <v>552</v>
      </c>
      <c r="C231" s="252" t="s">
        <v>194</v>
      </c>
      <c r="D231" s="176">
        <f>AC223</f>
        <v>35792.499388004901</v>
      </c>
      <c r="E231" s="371">
        <f>E253</f>
        <v>56443.700932594205</v>
      </c>
      <c r="F231"/>
      <c r="G231" s="113">
        <f>G232*E231</f>
        <v>44772.108218250403</v>
      </c>
      <c r="I231" s="117"/>
      <c r="J231" s="252" t="str">
        <f t="shared" si="23"/>
        <v>UGTLGICCO-E</v>
      </c>
      <c r="R231" s="315" t="s">
        <v>511</v>
      </c>
      <c r="V231" s="314"/>
      <c r="W231" s="313"/>
      <c r="Z231" s="312"/>
      <c r="AA231" s="313"/>
      <c r="AD231" s="312"/>
      <c r="AE231" s="313"/>
      <c r="AH231" s="312"/>
    </row>
    <row r="232" spans="2:34" ht="15.75" thickBot="1" x14ac:dyDescent="0.3">
      <c r="B232" s="252" t="s">
        <v>895</v>
      </c>
      <c r="D232" s="369">
        <f>D231/D228</f>
        <v>1.3713233510214249</v>
      </c>
      <c r="E232" s="354">
        <f>E231/(E228+E229+E230)</f>
        <v>0.79321709027758169</v>
      </c>
      <c r="F232"/>
      <c r="G232" s="297">
        <f>E232</f>
        <v>0.79321709027758169</v>
      </c>
      <c r="J232" s="252" t="str">
        <f t="shared" si="23"/>
        <v>UGTLGICCO-EEFF</v>
      </c>
      <c r="K232" s="252" t="s">
        <v>465</v>
      </c>
      <c r="L232" s="252" t="str">
        <f t="shared" ref="L232:L240" si="24">B232</f>
        <v>Main Fuel Efficiency</v>
      </c>
      <c r="N232" s="301">
        <f>D232</f>
        <v>1.3713233510214249</v>
      </c>
      <c r="R232" s="307" t="s">
        <v>507</v>
      </c>
      <c r="S232" s="309"/>
      <c r="T232" s="309"/>
      <c r="U232" s="308">
        <f>Y232/W223*S223</f>
        <v>0</v>
      </c>
      <c r="V232" s="304" t="s">
        <v>194</v>
      </c>
      <c r="W232" s="307"/>
      <c r="X232" s="306"/>
      <c r="Y232" s="305">
        <f>$A$228*8760*$F$241*0.0036</f>
        <v>0</v>
      </c>
      <c r="Z232" s="304" t="s">
        <v>194</v>
      </c>
      <c r="AA232" s="307"/>
      <c r="AB232" s="306"/>
      <c r="AC232" s="305">
        <f>3027/3.6</f>
        <v>840.83333333333326</v>
      </c>
      <c r="AD232" s="304" t="s">
        <v>194</v>
      </c>
      <c r="AE232" s="307"/>
      <c r="AF232" s="306"/>
      <c r="AG232" s="305">
        <f>$A$228*8760*$D$241*0.0036</f>
        <v>0</v>
      </c>
      <c r="AH232" s="304" t="s">
        <v>194</v>
      </c>
    </row>
    <row r="233" spans="2:34" x14ac:dyDescent="0.25">
      <c r="B233" s="252" t="s">
        <v>551</v>
      </c>
      <c r="E233" s="20"/>
      <c r="F233"/>
      <c r="G233" s="113"/>
      <c r="J233" s="252" t="str">
        <f t="shared" si="23"/>
        <v>UGTLGICCO-E</v>
      </c>
      <c r="L233" s="252" t="str">
        <f t="shared" si="24"/>
        <v>Energy Products Output Share</v>
      </c>
    </row>
    <row r="234" spans="2:34" x14ac:dyDescent="0.25">
      <c r="B234" s="252" t="s">
        <v>524</v>
      </c>
      <c r="D234" s="176">
        <f>E234</f>
        <v>0</v>
      </c>
      <c r="E234" s="358">
        <f t="shared" ref="E234:E240" si="25">E246</f>
        <v>0</v>
      </c>
      <c r="F234"/>
      <c r="G234" s="113">
        <f t="shared" ref="G234:G240" si="26">$G$231*$C246</f>
        <v>0</v>
      </c>
      <c r="J234" s="252" t="str">
        <f t="shared" si="23"/>
        <v>UGTLGICCO-EOAG</v>
      </c>
      <c r="K234" s="252" t="s">
        <v>525</v>
      </c>
      <c r="L234" s="252" t="str">
        <f t="shared" si="24"/>
        <v>AvGas</v>
      </c>
      <c r="N234" s="301">
        <f t="shared" ref="N234:N240" si="27">C246</f>
        <v>0</v>
      </c>
    </row>
    <row r="235" spans="2:34" x14ac:dyDescent="0.25">
      <c r="B235" s="252" t="s">
        <v>60</v>
      </c>
      <c r="D235" s="176">
        <f t="shared" ref="D235:D240" si="28">C247*$D$231</f>
        <v>2147.5499632802939</v>
      </c>
      <c r="E235" s="358">
        <f t="shared" si="25"/>
        <v>16237.685567994209</v>
      </c>
      <c r="F235"/>
      <c r="G235" s="113">
        <f t="shared" si="26"/>
        <v>2686.326493095024</v>
      </c>
      <c r="J235" s="252" t="str">
        <f t="shared" si="23"/>
        <v>UGTLGICCO-EODS</v>
      </c>
      <c r="K235" s="252" t="s">
        <v>499</v>
      </c>
      <c r="L235" s="252" t="str">
        <f t="shared" si="24"/>
        <v>Diesel</v>
      </c>
      <c r="N235" s="301">
        <f t="shared" si="27"/>
        <v>0.06</v>
      </c>
      <c r="P235" s="252"/>
      <c r="Q235" t="s">
        <v>168</v>
      </c>
      <c r="R235" t="s">
        <v>504</v>
      </c>
      <c r="W235" t="s">
        <v>168</v>
      </c>
      <c r="X235"/>
      <c r="Y235"/>
    </row>
    <row r="236" spans="2:34" x14ac:dyDescent="0.25">
      <c r="B236" s="252" t="s">
        <v>198</v>
      </c>
      <c r="D236" s="176">
        <f t="shared" si="28"/>
        <v>1431.6999755201959</v>
      </c>
      <c r="E236" s="358">
        <f t="shared" si="25"/>
        <v>0</v>
      </c>
      <c r="F236"/>
      <c r="G236" s="113">
        <f t="shared" si="26"/>
        <v>1790.8843287300163</v>
      </c>
      <c r="J236" s="252" t="str">
        <f t="shared" si="23"/>
        <v>UGTLGICCO-EOHF</v>
      </c>
      <c r="K236" s="252" t="s">
        <v>491</v>
      </c>
      <c r="L236" s="252" t="str">
        <f t="shared" si="24"/>
        <v>HFO</v>
      </c>
      <c r="N236" s="301">
        <f t="shared" si="27"/>
        <v>0.04</v>
      </c>
      <c r="P236" s="252" t="s">
        <v>499</v>
      </c>
      <c r="Q236" t="s">
        <v>164</v>
      </c>
      <c r="R236" t="s">
        <v>60</v>
      </c>
      <c r="W236" s="297">
        <v>0.06</v>
      </c>
      <c r="X236">
        <f t="shared" ref="X236:X242" si="29">W236*$W$224</f>
        <v>0.32945999999999998</v>
      </c>
      <c r="Y236">
        <f t="shared" ref="Y236:Y242" si="30">$X236/$S$209*$S$210* 1000</f>
        <v>1875.9460465116279</v>
      </c>
    </row>
    <row r="237" spans="2:34" x14ac:dyDescent="0.25">
      <c r="B237" s="252" t="s">
        <v>502</v>
      </c>
      <c r="D237" s="176">
        <f t="shared" si="28"/>
        <v>3937.1749326805389</v>
      </c>
      <c r="E237" s="358">
        <f t="shared" si="25"/>
        <v>6919.5284959999999</v>
      </c>
      <c r="F237"/>
      <c r="G237" s="113">
        <f t="shared" si="26"/>
        <v>4924.9319040075443</v>
      </c>
      <c r="J237" s="252" t="str">
        <f t="shared" si="23"/>
        <v>UGTLGICCO-EOKE</v>
      </c>
      <c r="K237" s="252" t="s">
        <v>490</v>
      </c>
      <c r="L237" s="252" t="str">
        <f t="shared" si="24"/>
        <v>Kerosene/jet fuel/paraffin</v>
      </c>
      <c r="N237" s="301">
        <f t="shared" si="27"/>
        <v>0.11</v>
      </c>
      <c r="P237" s="252" t="s">
        <v>497</v>
      </c>
      <c r="Q237" t="s">
        <v>162</v>
      </c>
      <c r="R237" t="s">
        <v>201</v>
      </c>
      <c r="W237" s="297">
        <v>0.53</v>
      </c>
      <c r="X237">
        <f t="shared" si="29"/>
        <v>2.9102299999999999</v>
      </c>
      <c r="Y237">
        <f t="shared" si="30"/>
        <v>16570.856744186047</v>
      </c>
    </row>
    <row r="238" spans="2:34" x14ac:dyDescent="0.25">
      <c r="B238" s="252" t="s">
        <v>55</v>
      </c>
      <c r="D238" s="176">
        <f t="shared" si="28"/>
        <v>2863.3999510403919</v>
      </c>
      <c r="E238" s="358">
        <f t="shared" si="25"/>
        <v>2071.2661177999998</v>
      </c>
      <c r="F238"/>
      <c r="G238" s="113">
        <f t="shared" si="26"/>
        <v>3581.7686574600325</v>
      </c>
      <c r="J238" s="252" t="str">
        <f t="shared" si="23"/>
        <v>UGTLGICCO-EOLP</v>
      </c>
      <c r="K238" s="252" t="s">
        <v>487</v>
      </c>
      <c r="L238" s="252" t="str">
        <f t="shared" si="24"/>
        <v>LPG</v>
      </c>
      <c r="N238" s="301">
        <f t="shared" si="27"/>
        <v>0.08</v>
      </c>
      <c r="P238" s="252" t="s">
        <v>490</v>
      </c>
      <c r="Q238" t="s">
        <v>160</v>
      </c>
      <c r="R238" t="s">
        <v>502</v>
      </c>
      <c r="W238" s="297">
        <v>0.11</v>
      </c>
      <c r="X238">
        <f t="shared" si="29"/>
        <v>0.60400999999999994</v>
      </c>
      <c r="Y238">
        <f t="shared" si="30"/>
        <v>3439.2344186046507</v>
      </c>
    </row>
    <row r="239" spans="2:34" x14ac:dyDescent="0.25">
      <c r="B239" s="252" t="s">
        <v>201</v>
      </c>
      <c r="D239" s="176">
        <f t="shared" si="28"/>
        <v>18970.024675642599</v>
      </c>
      <c r="E239" s="358">
        <f t="shared" si="25"/>
        <v>28114.09359</v>
      </c>
      <c r="F239"/>
      <c r="G239" s="113">
        <f t="shared" si="26"/>
        <v>23729.217355672714</v>
      </c>
      <c r="J239" s="252" t="str">
        <f t="shared" si="23"/>
        <v>UGTLGICCO-EOGS</v>
      </c>
      <c r="K239" s="252" t="s">
        <v>497</v>
      </c>
      <c r="L239" s="252" t="str">
        <f t="shared" si="24"/>
        <v>Gasoline</v>
      </c>
      <c r="N239" s="301">
        <f t="shared" si="27"/>
        <v>0.53</v>
      </c>
      <c r="P239" s="252" t="s">
        <v>487</v>
      </c>
      <c r="Q239" t="s">
        <v>159</v>
      </c>
      <c r="R239" t="s">
        <v>55</v>
      </c>
      <c r="W239" s="297">
        <v>0.08</v>
      </c>
      <c r="X239">
        <f t="shared" si="29"/>
        <v>0.43928</v>
      </c>
      <c r="Y239">
        <f t="shared" si="30"/>
        <v>2501.2613953488376</v>
      </c>
    </row>
    <row r="240" spans="2:34" x14ac:dyDescent="0.25">
      <c r="B240" s="252" t="s">
        <v>493</v>
      </c>
      <c r="D240" s="176">
        <f t="shared" si="28"/>
        <v>6442.6498898408818</v>
      </c>
      <c r="E240" s="358">
        <f t="shared" si="25"/>
        <v>3101.1271607999952</v>
      </c>
      <c r="F240"/>
      <c r="G240" s="113">
        <f t="shared" si="26"/>
        <v>8058.9794792850726</v>
      </c>
      <c r="J240" s="252" t="str">
        <f t="shared" si="23"/>
        <v>UGTLGICCO-EOTH</v>
      </c>
      <c r="K240" s="252" t="s">
        <v>485</v>
      </c>
      <c r="L240" s="252" t="str">
        <f t="shared" si="24"/>
        <v>Other non energy</v>
      </c>
      <c r="N240" s="301">
        <f t="shared" si="27"/>
        <v>0.18</v>
      </c>
      <c r="P240" s="252" t="s">
        <v>485</v>
      </c>
      <c r="Q240" t="s">
        <v>158</v>
      </c>
      <c r="R240" t="s">
        <v>493</v>
      </c>
      <c r="W240" s="297">
        <v>0.12</v>
      </c>
      <c r="X240">
        <f t="shared" si="29"/>
        <v>0.65891999999999995</v>
      </c>
      <c r="Y240">
        <f t="shared" si="30"/>
        <v>3751.8920930232557</v>
      </c>
    </row>
    <row r="241" spans="1:25" x14ac:dyDescent="0.25">
      <c r="B241" s="252" t="s">
        <v>86</v>
      </c>
      <c r="C241" s="252" t="s">
        <v>464</v>
      </c>
      <c r="D241" s="355">
        <f>G241</f>
        <v>0.46714295102597259</v>
      </c>
      <c r="E241" s="354">
        <v>0.96</v>
      </c>
      <c r="F241" s="347">
        <f>2/3*0.8*E241</f>
        <v>0.51200000000000001</v>
      </c>
      <c r="G241" s="347">
        <f>2/3*0.8*E241 * D228/E274/1000</f>
        <v>0.46714295102597259</v>
      </c>
      <c r="J241" s="252" t="str">
        <f t="shared" si="23"/>
        <v>UGTLGICCO-EAFA~UP~2017</v>
      </c>
      <c r="K241" s="252" t="s">
        <v>889</v>
      </c>
      <c r="L241" s="252" t="s">
        <v>86</v>
      </c>
      <c r="N241" s="301">
        <f>D241*W225</f>
        <v>0.37371436082077808</v>
      </c>
      <c r="P241" s="252" t="s">
        <v>485</v>
      </c>
      <c r="Q241" t="s">
        <v>157</v>
      </c>
      <c r="R241" t="s">
        <v>493</v>
      </c>
      <c r="W241" s="297">
        <v>0.06</v>
      </c>
      <c r="X241">
        <f t="shared" si="29"/>
        <v>0.32945999999999998</v>
      </c>
      <c r="Y241">
        <f t="shared" si="30"/>
        <v>1875.9460465116279</v>
      </c>
    </row>
    <row r="242" spans="1:25" x14ac:dyDescent="0.25">
      <c r="B242" s="252" t="s">
        <v>501</v>
      </c>
      <c r="C242" s="252" t="s">
        <v>462</v>
      </c>
      <c r="D242" s="351">
        <f>D96*(11.44+10.94)</f>
        <v>66.311492399999992</v>
      </c>
      <c r="E242" s="252" t="s">
        <v>533</v>
      </c>
      <c r="J242" s="252" t="str">
        <f t="shared" si="23"/>
        <v>UGTLGICCO-ERESID</v>
      </c>
      <c r="K242" s="252" t="s">
        <v>468</v>
      </c>
      <c r="L242" s="252" t="s">
        <v>470</v>
      </c>
      <c r="M242" s="252" t="s">
        <v>466</v>
      </c>
      <c r="N242" s="299">
        <f>E231/1000/E241</f>
        <v>58.795521804785629</v>
      </c>
      <c r="P242" s="252" t="s">
        <v>491</v>
      </c>
      <c r="Q242" t="s">
        <v>155</v>
      </c>
      <c r="R242" t="s">
        <v>198</v>
      </c>
      <c r="W242" s="297">
        <v>0.04</v>
      </c>
      <c r="X242">
        <f t="shared" si="29"/>
        <v>0.21964</v>
      </c>
      <c r="Y242">
        <f t="shared" si="30"/>
        <v>1250.6306976744188</v>
      </c>
    </row>
    <row r="243" spans="1:25" x14ac:dyDescent="0.25">
      <c r="A243" s="292" t="s">
        <v>479</v>
      </c>
      <c r="B243" t="s">
        <v>531</v>
      </c>
      <c r="C243" s="292" t="s">
        <v>480</v>
      </c>
      <c r="D243" s="348">
        <f>E272/SUM(E264:E269)</f>
        <v>6.4894696089818042</v>
      </c>
      <c r="F243" s="347"/>
      <c r="G243" s="106"/>
      <c r="J243" s="252" t="str">
        <f t="shared" si="23"/>
        <v>UGTLGICCO-EFIXOM</v>
      </c>
      <c r="K243" s="252" t="s">
        <v>496</v>
      </c>
      <c r="L243" s="252" t="s">
        <v>501</v>
      </c>
      <c r="M243" s="252" t="s">
        <v>500</v>
      </c>
      <c r="N243" s="299">
        <f>D242</f>
        <v>66.311492399999992</v>
      </c>
      <c r="R243" s="252"/>
      <c r="S243" s="252"/>
      <c r="T243" s="252"/>
      <c r="U243" s="252"/>
      <c r="V243" s="252"/>
    </row>
    <row r="244" spans="1:25" x14ac:dyDescent="0.25">
      <c r="J244" s="252" t="str">
        <f t="shared" si="23"/>
        <v>UGTLGICCO-ELC</v>
      </c>
      <c r="K244" s="252" t="s">
        <v>912</v>
      </c>
      <c r="L244" s="252" t="s">
        <v>908</v>
      </c>
      <c r="M244" s="252" t="s">
        <v>455</v>
      </c>
      <c r="N244" s="295">
        <f>N243+$D$102/N232</f>
        <v>119.35593127612469</v>
      </c>
    </row>
    <row r="245" spans="1:25" x14ac:dyDescent="0.25">
      <c r="C245" s="343" t="s">
        <v>528</v>
      </c>
      <c r="D245" s="342" t="s">
        <v>527</v>
      </c>
      <c r="E245" s="252" t="s">
        <v>194</v>
      </c>
      <c r="J245" s="252" t="str">
        <f t="shared" si="23"/>
        <v>UGTLGICCO-ELC_Future</v>
      </c>
      <c r="K245" s="252" t="s">
        <v>457</v>
      </c>
      <c r="L245" s="252" t="s">
        <v>484</v>
      </c>
      <c r="M245" s="252" t="s">
        <v>455</v>
      </c>
      <c r="N245" s="295">
        <f>N243+$D$103/N232</f>
        <v>153.81820619628917</v>
      </c>
    </row>
    <row r="246" spans="1:25" x14ac:dyDescent="0.25">
      <c r="A246" s="252" t="s">
        <v>525</v>
      </c>
      <c r="B246" s="252" t="s">
        <v>524</v>
      </c>
      <c r="C246" s="301">
        <f>IFERROR(SUMIFS(W$236:$W$242,$P$236:$P$242,$A246),0)</f>
        <v>0</v>
      </c>
      <c r="D246" s="301">
        <f t="shared" ref="D246:D252" si="31">E246/$E$253</f>
        <v>0</v>
      </c>
      <c r="E246" s="176">
        <f>'GTL and CTL'!S15</f>
        <v>0</v>
      </c>
    </row>
    <row r="247" spans="1:25" ht="15.75" thickBot="1" x14ac:dyDescent="0.3">
      <c r="A247" s="252" t="s">
        <v>499</v>
      </c>
      <c r="B247" s="252" t="s">
        <v>60</v>
      </c>
      <c r="C247" s="301">
        <f>IFERROR(SUMIFS(W$236:$W$242,$P$236:$P$242,$A247),0)</f>
        <v>0.06</v>
      </c>
      <c r="D247" s="301">
        <f t="shared" si="31"/>
        <v>0.28767932115906897</v>
      </c>
      <c r="E247" s="176">
        <f>'GTL and CTL'!$S$18</f>
        <v>16237.685567994209</v>
      </c>
      <c r="L247" s="316" t="s">
        <v>512</v>
      </c>
      <c r="N247" s="252" t="str">
        <f>UPS!$B$50</f>
        <v>UGTLGASIN-N</v>
      </c>
    </row>
    <row r="248" spans="1:25" x14ac:dyDescent="0.25">
      <c r="A248" s="252" t="s">
        <v>491</v>
      </c>
      <c r="B248" s="252" t="s">
        <v>198</v>
      </c>
      <c r="C248" s="301">
        <f>IFERROR(SUMIFS(W$236:$W$242,$P$236:$P$242,$A248),0)</f>
        <v>0.04</v>
      </c>
      <c r="D248" s="301">
        <f t="shared" si="31"/>
        <v>0</v>
      </c>
      <c r="E248" s="176">
        <f>'GTL and CTL'!S20</f>
        <v>0</v>
      </c>
      <c r="J248" s="252" t="str">
        <f t="shared" ref="J248:J269" si="32">$N$247&amp;K248</f>
        <v>UGTLGASIN-N</v>
      </c>
      <c r="N248" s="333"/>
    </row>
    <row r="249" spans="1:25" x14ac:dyDescent="0.25">
      <c r="A249" s="252" t="s">
        <v>490</v>
      </c>
      <c r="B249" s="252" t="s">
        <v>502</v>
      </c>
      <c r="C249" s="301">
        <f>IFERROR(SUMIFS(W$236:$W$242,$P$236:$P$242,$A249),0)</f>
        <v>0.11</v>
      </c>
      <c r="D249" s="301">
        <f t="shared" si="31"/>
        <v>0.12259168661288511</v>
      </c>
      <c r="E249" s="176">
        <f>'GTL and CTL'!$S$22</f>
        <v>6919.5284959999999</v>
      </c>
      <c r="J249" s="252" t="str">
        <f t="shared" si="32"/>
        <v>UGTLGASIN-NUPSOCR</v>
      </c>
      <c r="K249" s="252" t="s">
        <v>821</v>
      </c>
      <c r="N249" s="483">
        <f>N229</f>
        <v>0.24339802736239258</v>
      </c>
    </row>
    <row r="250" spans="1:25" x14ac:dyDescent="0.25">
      <c r="A250" s="252" t="s">
        <v>487</v>
      </c>
      <c r="B250" s="252" t="s">
        <v>55</v>
      </c>
      <c r="C250" s="301">
        <f>IFERROR(SUMIFS(W$236:$W$242,$P$236:$P$242,$A250),0)</f>
        <v>0.08</v>
      </c>
      <c r="D250" s="301">
        <f t="shared" si="31"/>
        <v>3.6696142945579213E-2</v>
      </c>
      <c r="E250" s="176">
        <f>'GTL and CTL'!$S$23</f>
        <v>2071.2661177999998</v>
      </c>
      <c r="J250" s="252" t="str">
        <f t="shared" si="32"/>
        <v>UGTLGASIN-NUPSELC</v>
      </c>
      <c r="K250" s="252" t="s">
        <v>823</v>
      </c>
      <c r="N250" s="483">
        <f>N230</f>
        <v>2.3491886504442346E-2</v>
      </c>
    </row>
    <row r="251" spans="1:25" x14ac:dyDescent="0.25">
      <c r="A251" s="252" t="s">
        <v>497</v>
      </c>
      <c r="B251" s="252" t="s">
        <v>201</v>
      </c>
      <c r="C251" s="301">
        <f>IFERROR(SUMIFS(W$236:$W$242,$P$236:$P$242,$A251),0)</f>
        <v>0.53</v>
      </c>
      <c r="D251" s="301">
        <f t="shared" si="31"/>
        <v>0.49809089633534509</v>
      </c>
      <c r="E251" s="176">
        <f>SUM('GTL and CTL'!$S$27:$S$28)</f>
        <v>28114.09359</v>
      </c>
      <c r="J251" s="252" t="str">
        <f t="shared" si="32"/>
        <v>UGTLGASIN-N</v>
      </c>
    </row>
    <row r="252" spans="1:25" x14ac:dyDescent="0.25">
      <c r="A252" s="252" t="s">
        <v>485</v>
      </c>
      <c r="B252" s="252" t="s">
        <v>493</v>
      </c>
      <c r="C252" s="301">
        <f>IFERROR(SUMIFS(W$236:$W$242,$P$236:$P$242,$A252),0)</f>
        <v>0.18</v>
      </c>
      <c r="D252" s="301">
        <f t="shared" si="31"/>
        <v>5.4941952947121613E-2</v>
      </c>
      <c r="E252" s="176">
        <f>'GTL and CTL'!$S$31-SUM(E246:E251)</f>
        <v>3101.1271607999952</v>
      </c>
      <c r="J252" s="252" t="str">
        <f t="shared" si="32"/>
        <v>UGTLGASIN-NEFF</v>
      </c>
      <c r="K252" s="252" t="s">
        <v>465</v>
      </c>
      <c r="L252" s="252" t="str">
        <f t="shared" ref="L252:L260" si="33">B232</f>
        <v>Main Fuel Efficiency</v>
      </c>
      <c r="N252" s="325">
        <f>N232</f>
        <v>1.3713233510214249</v>
      </c>
    </row>
    <row r="253" spans="1:25" x14ac:dyDescent="0.25">
      <c r="E253" s="320">
        <f>SUM(E246:E252)</f>
        <v>56443.700932594205</v>
      </c>
      <c r="J253" s="252" t="str">
        <f t="shared" si="32"/>
        <v>UGTLGASIN-N</v>
      </c>
      <c r="L253" s="252" t="str">
        <f t="shared" si="33"/>
        <v>Energy Products Output Share</v>
      </c>
    </row>
    <row r="254" spans="1:25" x14ac:dyDescent="0.25">
      <c r="J254" s="252" t="str">
        <f t="shared" si="32"/>
        <v>UGTLGASIN-NOAG</v>
      </c>
      <c r="K254" s="252" t="s">
        <v>525</v>
      </c>
      <c r="L254" s="252" t="str">
        <f t="shared" si="33"/>
        <v>AvGas</v>
      </c>
      <c r="N254" s="301">
        <f t="shared" ref="N254:N260" si="34">D246</f>
        <v>0</v>
      </c>
    </row>
    <row r="255" spans="1:25" ht="15.75" thickBot="1" x14ac:dyDescent="0.3">
      <c r="B255" s="316" t="s">
        <v>512</v>
      </c>
      <c r="G255"/>
      <c r="J255" s="252" t="str">
        <f t="shared" si="32"/>
        <v>UGTLGASIN-NODS</v>
      </c>
      <c r="K255" s="252" t="s">
        <v>499</v>
      </c>
      <c r="L255" s="252" t="str">
        <f t="shared" si="33"/>
        <v>Diesel</v>
      </c>
      <c r="N255" s="301">
        <f t="shared" si="34"/>
        <v>0.28767932115906897</v>
      </c>
    </row>
    <row r="256" spans="1:25" x14ac:dyDescent="0.25">
      <c r="B256" s="20" t="s">
        <v>510</v>
      </c>
      <c r="D256" s="311" t="s">
        <v>509</v>
      </c>
      <c r="E256" s="310" t="s">
        <v>508</v>
      </c>
      <c r="G256"/>
      <c r="J256" s="252" t="str">
        <f t="shared" si="32"/>
        <v>UGTLGASIN-NOHF</v>
      </c>
      <c r="K256" s="252" t="s">
        <v>491</v>
      </c>
      <c r="L256" s="252" t="str">
        <f t="shared" si="33"/>
        <v>HFO</v>
      </c>
      <c r="N256" s="301">
        <f t="shared" si="34"/>
        <v>0</v>
      </c>
    </row>
    <row r="257" spans="2:14" x14ac:dyDescent="0.25">
      <c r="B257" t="s">
        <v>506</v>
      </c>
      <c r="C257" s="252" t="s">
        <v>498</v>
      </c>
      <c r="D257" s="303">
        <f>129.5417*1.56</f>
        <v>202.08505199999999</v>
      </c>
      <c r="E257" s="302">
        <f>5/0.14</f>
        <v>35.714285714285708</v>
      </c>
      <c r="G257"/>
      <c r="J257" s="252" t="str">
        <f t="shared" si="32"/>
        <v>UGTLGASIN-NOKE</v>
      </c>
      <c r="K257" s="252" t="s">
        <v>490</v>
      </c>
      <c r="L257" s="252" t="str">
        <f t="shared" si="33"/>
        <v>Kerosene/jet fuel/paraffin</v>
      </c>
      <c r="N257" s="301">
        <f t="shared" si="34"/>
        <v>0.12259168661288511</v>
      </c>
    </row>
    <row r="258" spans="2:14" x14ac:dyDescent="0.25">
      <c r="B258" s="252" t="s">
        <v>505</v>
      </c>
      <c r="C258" s="252" t="s">
        <v>494</v>
      </c>
      <c r="D258" s="303">
        <f>12.8826*1.56</f>
        <v>20.096856000000002</v>
      </c>
      <c r="E258" s="302">
        <f>0.04*E257</f>
        <v>1.4285714285714284</v>
      </c>
      <c r="G258"/>
      <c r="J258" s="252" t="str">
        <f t="shared" si="32"/>
        <v>UGTLGASIN-NOLP</v>
      </c>
      <c r="K258" s="252" t="s">
        <v>487</v>
      </c>
      <c r="L258" s="252" t="str">
        <f t="shared" si="33"/>
        <v>LPG</v>
      </c>
      <c r="N258" s="301">
        <f t="shared" si="34"/>
        <v>3.6696142945579213E-2</v>
      </c>
    </row>
    <row r="259" spans="2:14" x14ac:dyDescent="0.25">
      <c r="B259" s="252" t="s">
        <v>501</v>
      </c>
      <c r="C259" s="252" t="s">
        <v>500</v>
      </c>
      <c r="D259" s="176">
        <f>E259/E257 *D257</f>
        <v>22.229355720000001</v>
      </c>
      <c r="E259" s="302">
        <f>0.55/0.14</f>
        <v>3.9285714285714284</v>
      </c>
      <c r="G259"/>
      <c r="J259" s="252" t="str">
        <f t="shared" si="32"/>
        <v>UGTLGASIN-NOGS</v>
      </c>
      <c r="K259" s="252" t="s">
        <v>497</v>
      </c>
      <c r="L259" s="252" t="str">
        <f t="shared" si="33"/>
        <v>Gasoline</v>
      </c>
      <c r="N259" s="301">
        <f t="shared" si="34"/>
        <v>0.49809089633534509</v>
      </c>
    </row>
    <row r="260" spans="2:14" x14ac:dyDescent="0.25">
      <c r="G260"/>
      <c r="J260" s="252" t="str">
        <f t="shared" si="32"/>
        <v>UGTLGASIN-NOTH</v>
      </c>
      <c r="K260" s="252" t="s">
        <v>485</v>
      </c>
      <c r="L260" s="252" t="str">
        <f t="shared" si="33"/>
        <v>Other non energy</v>
      </c>
      <c r="N260" s="301">
        <f t="shared" si="34"/>
        <v>5.4941952947121613E-2</v>
      </c>
    </row>
    <row r="261" spans="2:14" x14ac:dyDescent="0.25">
      <c r="G261"/>
      <c r="J261" s="252" t="str">
        <f t="shared" si="32"/>
        <v>UGTLGASIN-NAFA~UP~2017</v>
      </c>
      <c r="K261" s="252" t="s">
        <v>889</v>
      </c>
      <c r="L261" s="252" t="s">
        <v>86</v>
      </c>
      <c r="N261" s="301">
        <f>N241</f>
        <v>0.37371436082077808</v>
      </c>
    </row>
    <row r="262" spans="2:14" x14ac:dyDescent="0.25">
      <c r="D262" s="290"/>
      <c r="E262" s="300" t="s">
        <v>503</v>
      </c>
      <c r="J262" s="252" t="str">
        <f t="shared" si="32"/>
        <v>UGTLGASIN-NRESID</v>
      </c>
      <c r="K262" s="252" t="s">
        <v>468</v>
      </c>
      <c r="L262" s="252" t="s">
        <v>470</v>
      </c>
      <c r="M262" s="252" t="s">
        <v>466</v>
      </c>
      <c r="N262" s="299">
        <v>0</v>
      </c>
    </row>
    <row r="263" spans="2:14" x14ac:dyDescent="0.25">
      <c r="D263" s="290"/>
      <c r="E263" s="289">
        <v>2017</v>
      </c>
      <c r="J263" s="252" t="str">
        <f t="shared" si="32"/>
        <v>UGTLGASIN-NFIXOM</v>
      </c>
      <c r="K263" s="252" t="s">
        <v>496</v>
      </c>
      <c r="L263" s="252" t="s">
        <v>501</v>
      </c>
      <c r="M263" s="252" t="s">
        <v>500</v>
      </c>
      <c r="N263" s="299">
        <f>D259</f>
        <v>22.229355720000001</v>
      </c>
    </row>
    <row r="264" spans="2:14" x14ac:dyDescent="0.25">
      <c r="D264" s="290" t="s">
        <v>499</v>
      </c>
      <c r="E264" s="294">
        <v>1.5498000000000001</v>
      </c>
      <c r="J264" s="252" t="str">
        <f t="shared" si="32"/>
        <v>UGTLGASIN-NINVCOST</v>
      </c>
      <c r="K264" s="252" t="s">
        <v>461</v>
      </c>
      <c r="L264" s="252" t="s">
        <v>460</v>
      </c>
      <c r="M264" s="252" t="s">
        <v>498</v>
      </c>
      <c r="N264" s="299">
        <f>D257</f>
        <v>202.08505199999999</v>
      </c>
    </row>
    <row r="265" spans="2:14" x14ac:dyDescent="0.25">
      <c r="D265" s="290" t="s">
        <v>497</v>
      </c>
      <c r="E265" s="294">
        <v>13.6899</v>
      </c>
      <c r="J265" s="252" t="str">
        <f t="shared" si="32"/>
        <v>UGTLGASIN-NFIXOM</v>
      </c>
      <c r="K265" s="252" t="s">
        <v>496</v>
      </c>
      <c r="L265" s="252" t="s">
        <v>495</v>
      </c>
      <c r="M265" s="252" t="s">
        <v>494</v>
      </c>
      <c r="N265" s="299">
        <f>D258</f>
        <v>20.096856000000002</v>
      </c>
    </row>
    <row r="266" spans="2:14" x14ac:dyDescent="0.25">
      <c r="D266" s="290" t="s">
        <v>491</v>
      </c>
      <c r="E266" s="294">
        <v>1.0331999999999999</v>
      </c>
      <c r="J266" s="252" t="str">
        <f t="shared" si="32"/>
        <v>UGTLGASIN-NStart</v>
      </c>
      <c r="K266" s="252" t="s">
        <v>815</v>
      </c>
      <c r="L266" s="252" t="s">
        <v>492</v>
      </c>
      <c r="N266" s="298">
        <v>2030</v>
      </c>
    </row>
    <row r="267" spans="2:14" x14ac:dyDescent="0.25">
      <c r="D267" s="290" t="s">
        <v>490</v>
      </c>
      <c r="E267" s="294">
        <v>2.8412999999999999</v>
      </c>
      <c r="J267" s="252" t="str">
        <f t="shared" si="32"/>
        <v>UGTLGASIN-NLife</v>
      </c>
      <c r="K267" s="252" t="s">
        <v>489</v>
      </c>
      <c r="L267" s="252" t="s">
        <v>489</v>
      </c>
      <c r="M267" s="252" t="s">
        <v>488</v>
      </c>
      <c r="N267" s="296">
        <v>50</v>
      </c>
    </row>
    <row r="268" spans="2:14" x14ac:dyDescent="0.25">
      <c r="D268" s="290" t="s">
        <v>487</v>
      </c>
      <c r="E268" s="294">
        <v>2.0663999999999998</v>
      </c>
      <c r="J268" s="252" t="str">
        <f t="shared" si="32"/>
        <v>UGTLGASIN-NLC_2006</v>
      </c>
      <c r="K268" s="252" t="s">
        <v>458</v>
      </c>
      <c r="L268" s="252" t="s">
        <v>486</v>
      </c>
      <c r="M268" s="252" t="s">
        <v>455</v>
      </c>
      <c r="N268" s="295" t="e">
        <f>N267+$D$102/N248</f>
        <v>#DIV/0!</v>
      </c>
    </row>
    <row r="269" spans="2:14" x14ac:dyDescent="0.25">
      <c r="D269" s="290" t="s">
        <v>485</v>
      </c>
      <c r="E269" s="294">
        <v>4.6494</v>
      </c>
      <c r="J269" s="252" t="str">
        <f t="shared" si="32"/>
        <v>UGTLGASIN-NLC_Future</v>
      </c>
      <c r="K269" s="252" t="s">
        <v>457</v>
      </c>
      <c r="L269" s="252" t="s">
        <v>484</v>
      </c>
      <c r="M269" s="252" t="s">
        <v>455</v>
      </c>
      <c r="N269" s="295" t="e">
        <f>N267+$D$103/N248</f>
        <v>#DIV/0!</v>
      </c>
    </row>
    <row r="270" spans="2:14" x14ac:dyDescent="0.25">
      <c r="D270" s="290" t="s">
        <v>483</v>
      </c>
      <c r="E270" s="294">
        <v>0.1162</v>
      </c>
    </row>
    <row r="271" spans="2:14" x14ac:dyDescent="0.25">
      <c r="D271" s="290" t="s">
        <v>482</v>
      </c>
      <c r="E271" s="294">
        <v>151.39769999999999</v>
      </c>
    </row>
    <row r="272" spans="2:14" x14ac:dyDescent="0.25">
      <c r="C272" t="s">
        <v>481</v>
      </c>
      <c r="D272" s="292" t="s">
        <v>480</v>
      </c>
      <c r="E272" s="293">
        <v>167.62299999999999</v>
      </c>
      <c r="F272" s="292" t="s">
        <v>479</v>
      </c>
    </row>
    <row r="273" spans="1:11" x14ac:dyDescent="0.25">
      <c r="D273" s="291" t="s">
        <v>478</v>
      </c>
      <c r="E273" s="106">
        <f>SUM(E264:E269)</f>
        <v>25.83</v>
      </c>
      <c r="F273" s="252" t="s">
        <v>409</v>
      </c>
    </row>
    <row r="274" spans="1:11" x14ac:dyDescent="0.25">
      <c r="D274" s="290" t="s">
        <v>477</v>
      </c>
      <c r="E274" s="289">
        <v>28.606999999999999</v>
      </c>
    </row>
    <row r="278" spans="1:11" ht="18" thickBot="1" x14ac:dyDescent="0.35">
      <c r="B278" s="288" t="s">
        <v>476</v>
      </c>
      <c r="D278" s="252" t="str">
        <f>UPS!$B$70</f>
        <v>UCTLCLEIN-E</v>
      </c>
      <c r="E278" s="252" t="str">
        <f>UPS!$B$29</f>
        <v>UREFOCRIN-E</v>
      </c>
      <c r="F278" s="252" t="str">
        <f>UPS!$B$7</f>
        <v>UREFOCRCO-E</v>
      </c>
      <c r="G278" s="252" t="str">
        <f>UPS!$B$7</f>
        <v>UREFOCRCO-E</v>
      </c>
      <c r="H278" s="252" t="str">
        <f>UPS!$B$40</f>
        <v>UGTLGICCO-E</v>
      </c>
      <c r="I278" s="252" t="str">
        <f>UPS!$B$82</f>
        <v>UCTLCLEIN-N</v>
      </c>
      <c r="J278" s="252" t="str">
        <f>UPS!$B$94</f>
        <v>UREFOCRCO-N</v>
      </c>
      <c r="K278" s="252" t="str">
        <f>UPS!$B$50</f>
        <v>UGTLGASIN-N</v>
      </c>
    </row>
    <row r="279" spans="1:11" x14ac:dyDescent="0.25">
      <c r="B279" s="287"/>
      <c r="C279" s="286"/>
      <c r="D279" s="285" t="s">
        <v>475</v>
      </c>
      <c r="E279" s="285" t="s">
        <v>474</v>
      </c>
      <c r="F279" s="285" t="s">
        <v>849</v>
      </c>
      <c r="G279" s="285" t="s">
        <v>850</v>
      </c>
      <c r="H279" s="285" t="s">
        <v>473</v>
      </c>
      <c r="I279" s="285" t="s">
        <v>472</v>
      </c>
      <c r="J279" s="284" t="str">
        <f>E201</f>
        <v>ARAMCO, Richards Bay  (CEF,2019)</v>
      </c>
      <c r="K279" s="284" t="s">
        <v>471</v>
      </c>
    </row>
    <row r="280" spans="1:11" x14ac:dyDescent="0.25">
      <c r="B280" s="283" t="s">
        <v>470</v>
      </c>
      <c r="C280" s="282" t="s">
        <v>469</v>
      </c>
      <c r="D280" s="281">
        <v>150000</v>
      </c>
      <c r="E280" s="281">
        <v>108000</v>
      </c>
      <c r="F280" s="281">
        <f>'Crude refineries'!E52+'Crude refineries'!E53</f>
        <v>315000</v>
      </c>
      <c r="G280" s="281">
        <f>'Crude refineries'!E51</f>
        <v>100000</v>
      </c>
      <c r="H280" s="281">
        <v>45000</v>
      </c>
      <c r="I280" s="281">
        <v>80000</v>
      </c>
      <c r="J280" s="280">
        <f>D201</f>
        <v>300000</v>
      </c>
      <c r="K280" s="280"/>
    </row>
    <row r="281" spans="1:11" x14ac:dyDescent="0.25">
      <c r="A281" s="252" t="s">
        <v>468</v>
      </c>
      <c r="B281" s="275" t="s">
        <v>467</v>
      </c>
      <c r="C281" s="274" t="s">
        <v>466</v>
      </c>
      <c r="D281" s="277">
        <f t="shared" ref="D281:J286" si="35">SUMIF($J$37:$J$245,D$278&amp;$A281,$N$37:$N$245)</f>
        <v>237.47630903149673</v>
      </c>
      <c r="E281" s="277">
        <f t="shared" si="35"/>
        <v>212.15979141387726</v>
      </c>
      <c r="F281" s="277">
        <f t="shared" si="35"/>
        <v>556.85035264068915</v>
      </c>
      <c r="G281" s="277">
        <f t="shared" si="35"/>
        <v>556.85035264068915</v>
      </c>
      <c r="H281" s="277">
        <f t="shared" si="35"/>
        <v>58.795521804785629</v>
      </c>
      <c r="I281" s="277">
        <f t="shared" si="35"/>
        <v>126.65403148346492</v>
      </c>
      <c r="J281" s="276">
        <f t="shared" si="35"/>
        <v>469.90136955595392</v>
      </c>
      <c r="K281" s="276">
        <v>0</v>
      </c>
    </row>
    <row r="282" spans="1:11" x14ac:dyDescent="0.25">
      <c r="A282" s="252" t="s">
        <v>465</v>
      </c>
      <c r="B282" s="275" t="s">
        <v>873</v>
      </c>
      <c r="C282" s="274" t="s">
        <v>464</v>
      </c>
      <c r="D282" s="279">
        <f t="shared" si="35"/>
        <v>0.41121494820830767</v>
      </c>
      <c r="E282" s="279">
        <f t="shared" si="35"/>
        <v>0.96421412348881386</v>
      </c>
      <c r="F282" s="279">
        <f t="shared" si="35"/>
        <v>0.95081921966609462</v>
      </c>
      <c r="G282" s="279">
        <f t="shared" si="35"/>
        <v>0.95081921966609462</v>
      </c>
      <c r="H282" s="279">
        <f t="shared" si="35"/>
        <v>1.3713233510214249</v>
      </c>
      <c r="I282" s="279">
        <f t="shared" si="35"/>
        <v>0.46121494820830766</v>
      </c>
      <c r="J282" s="278">
        <f t="shared" si="35"/>
        <v>0.97</v>
      </c>
      <c r="K282" s="278">
        <f ca="1">SUMIF($J$37:$J$269,K$278&amp;$A282,$N$37:$N$245)</f>
        <v>1.3713233510214249</v>
      </c>
    </row>
    <row r="283" spans="1:11" x14ac:dyDescent="0.25">
      <c r="A283" s="252" t="s">
        <v>496</v>
      </c>
      <c r="B283" s="275" t="s">
        <v>463</v>
      </c>
      <c r="C283" s="274" t="s">
        <v>462</v>
      </c>
      <c r="D283" s="277">
        <f t="shared" si="35"/>
        <v>28.117899658301525</v>
      </c>
      <c r="E283" s="277">
        <f t="shared" si="35"/>
        <v>27.763122599999996</v>
      </c>
      <c r="F283" s="277">
        <f t="shared" si="35"/>
        <v>27.763122599999996</v>
      </c>
      <c r="G283" s="277">
        <f t="shared" si="35"/>
        <v>27.763122599999996</v>
      </c>
      <c r="H283" s="277">
        <f t="shared" si="35"/>
        <v>66.311492399999992</v>
      </c>
      <c r="I283" s="277">
        <f t="shared" si="35"/>
        <v>28.117899658301525</v>
      </c>
      <c r="J283" s="276">
        <f t="shared" si="35"/>
        <v>38.574582896020807</v>
      </c>
      <c r="K283" s="276">
        <f ca="1">SUMIF($J$37:$J$269,K$278&amp;$A283,$N$37:$N$245)</f>
        <v>42.326211720000003</v>
      </c>
    </row>
    <row r="284" spans="1:11" x14ac:dyDescent="0.25">
      <c r="A284" s="252" t="s">
        <v>461</v>
      </c>
      <c r="B284" s="275" t="s">
        <v>460</v>
      </c>
      <c r="C284" s="274" t="s">
        <v>459</v>
      </c>
      <c r="D284" s="277">
        <f t="shared" si="35"/>
        <v>0</v>
      </c>
      <c r="E284" s="277">
        <f t="shared" si="35"/>
        <v>0</v>
      </c>
      <c r="F284" s="277">
        <f t="shared" si="35"/>
        <v>0</v>
      </c>
      <c r="G284" s="277">
        <f t="shared" si="35"/>
        <v>0</v>
      </c>
      <c r="H284" s="277">
        <f t="shared" si="35"/>
        <v>0</v>
      </c>
      <c r="I284" s="277">
        <f t="shared" si="35"/>
        <v>806.40463680000005</v>
      </c>
      <c r="J284" s="276">
        <f t="shared" si="35"/>
        <v>360.38200986736047</v>
      </c>
      <c r="K284" s="276">
        <f ca="1">SUMIF($J$37:$J$269,K$278&amp;$A284,$N$37:$N$245)</f>
        <v>202.08505199999999</v>
      </c>
    </row>
    <row r="285" spans="1:11" x14ac:dyDescent="0.25">
      <c r="A285" s="252" t="s">
        <v>912</v>
      </c>
      <c r="B285" s="275" t="s">
        <v>911</v>
      </c>
      <c r="C285" s="274" t="s">
        <v>455</v>
      </c>
      <c r="D285" s="273">
        <f t="shared" si="35"/>
        <v>186.28695847114824</v>
      </c>
      <c r="E285" s="273">
        <f t="shared" si="35"/>
        <v>216.51787692932862</v>
      </c>
      <c r="F285" s="273">
        <f t="shared" si="35"/>
        <v>219.17700679127049</v>
      </c>
      <c r="G285" s="273">
        <f t="shared" si="35"/>
        <v>219.17700679127049</v>
      </c>
      <c r="H285" s="273">
        <f t="shared" si="35"/>
        <v>119.35593127612469</v>
      </c>
      <c r="I285" s="273">
        <f t="shared" si="35"/>
        <v>256.12293329733944</v>
      </c>
      <c r="J285" s="272">
        <f t="shared" si="35"/>
        <v>246.07808807582478</v>
      </c>
      <c r="K285" s="271">
        <f ca="1">SUMIF($J$37:$J$269,K$278&amp;$A285,$N$37:$N$245)</f>
        <v>0</v>
      </c>
    </row>
    <row r="286" spans="1:11" ht="15.75" thickBot="1" x14ac:dyDescent="0.3">
      <c r="A286" s="252" t="s">
        <v>457</v>
      </c>
      <c r="B286" s="270" t="s">
        <v>456</v>
      </c>
      <c r="C286" s="269" t="s">
        <v>455</v>
      </c>
      <c r="D286" s="268">
        <f t="shared" si="35"/>
        <v>186.28695847114824</v>
      </c>
      <c r="E286" s="268">
        <f t="shared" si="35"/>
        <v>279.43612837243813</v>
      </c>
      <c r="F286" s="268">
        <f t="shared" si="35"/>
        <v>282.98163485502727</v>
      </c>
      <c r="G286" s="268">
        <f t="shared" si="35"/>
        <v>282.98163485502727</v>
      </c>
      <c r="H286" s="268">
        <f t="shared" si="35"/>
        <v>153.81820619628917</v>
      </c>
      <c r="I286" s="268">
        <f t="shared" si="35"/>
        <v>317.46542178891332</v>
      </c>
      <c r="J286" s="267">
        <f t="shared" si="35"/>
        <v>308.62104340228524</v>
      </c>
      <c r="K286" s="267" t="e">
        <f ca="1">SUMIF($J$37:$J$269,K$278&amp;$A286,$N$37:$N$245)</f>
        <v>#DIV/0!</v>
      </c>
    </row>
  </sheetData>
  <pageMargins left="0.7" right="0.7" top="0.75" bottom="0.75" header="0.3" footer="0.3"/>
  <pageSetup paperSize="9" orientation="portrait" horizontalDpi="4294967293" verticalDpi="4294967293"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3E3A-7170-42D0-8F04-5E640F60A583}">
  <sheetPr codeName="Sheet2">
    <tabColor theme="9"/>
  </sheetPr>
  <dimension ref="A1:AH76"/>
  <sheetViews>
    <sheetView workbookViewId="0">
      <pane xSplit="2" topLeftCell="X1" activePane="topRight" state="frozen"/>
      <selection pane="topRight" activeCell="AC17" sqref="AC17:AC18"/>
    </sheetView>
  </sheetViews>
  <sheetFormatPr defaultColWidth="11.42578125" defaultRowHeight="12.75" x14ac:dyDescent="0.2"/>
  <cols>
    <col min="1" max="1" width="14.42578125" style="6" customWidth="1"/>
    <col min="2" max="2" width="5.7109375" style="6" bestFit="1" customWidth="1"/>
    <col min="3" max="4" width="9.7109375" style="6" bestFit="1" customWidth="1"/>
    <col min="5" max="5" width="11.42578125" style="7" bestFit="1" customWidth="1"/>
    <col min="6" max="6" width="9.7109375" style="9" customWidth="1"/>
    <col min="7" max="7" width="10.42578125" style="11" bestFit="1" customWidth="1"/>
    <col min="8" max="8" width="14.28515625" style="10" bestFit="1" customWidth="1"/>
    <col min="9" max="9" width="9.7109375" style="9" bestFit="1" customWidth="1"/>
    <col min="10" max="10" width="9.7109375" style="11" bestFit="1" customWidth="1"/>
    <col min="11" max="11" width="12.42578125" style="10" bestFit="1" customWidth="1"/>
    <col min="12" max="12" width="10.7109375" style="9" bestFit="1" customWidth="1"/>
    <col min="13" max="13" width="10.7109375" style="8" bestFit="1" customWidth="1"/>
    <col min="14" max="14" width="12.42578125" style="7" bestFit="1" customWidth="1"/>
    <col min="15" max="15" width="24.7109375" style="7" customWidth="1"/>
    <col min="16" max="16" width="17.28515625" style="6" bestFit="1" customWidth="1"/>
    <col min="17" max="17" width="13.7109375" style="6" customWidth="1"/>
    <col min="18" max="18" width="12.7109375" style="6" customWidth="1"/>
    <col min="19" max="19" width="14.28515625" style="6" customWidth="1"/>
    <col min="20" max="20" width="10.5703125" style="6" customWidth="1"/>
    <col min="21" max="21" width="11.7109375" style="6" customWidth="1"/>
    <col min="22" max="24" width="19.7109375" style="6" customWidth="1"/>
    <col min="25" max="27" width="12.7109375" style="6" customWidth="1"/>
    <col min="28" max="28" width="20.42578125" style="6" customWidth="1"/>
    <col min="29" max="31" width="16.42578125" style="6" customWidth="1"/>
    <col min="32" max="16384" width="11.42578125" style="6"/>
  </cols>
  <sheetData>
    <row r="1" spans="1:34" x14ac:dyDescent="0.2">
      <c r="C1" s="98" t="s">
        <v>891</v>
      </c>
      <c r="D1" s="9"/>
      <c r="E1" s="10"/>
      <c r="F1" s="98" t="s">
        <v>892</v>
      </c>
      <c r="I1" s="98" t="s">
        <v>892</v>
      </c>
      <c r="L1" s="98" t="s">
        <v>106</v>
      </c>
      <c r="AA1" s="6" t="s">
        <v>105</v>
      </c>
      <c r="AB1" s="9">
        <v>4652</v>
      </c>
      <c r="AD1" s="9">
        <v>1241</v>
      </c>
    </row>
    <row r="2" spans="1:34" s="96" customFormat="1" x14ac:dyDescent="0.2">
      <c r="C2" s="496" t="s">
        <v>104</v>
      </c>
      <c r="D2" s="497"/>
      <c r="E2" s="497"/>
      <c r="F2" s="498" t="s">
        <v>103</v>
      </c>
      <c r="G2" s="499"/>
      <c r="H2" s="500"/>
      <c r="I2" s="498" t="s">
        <v>102</v>
      </c>
      <c r="J2" s="499"/>
      <c r="K2" s="500"/>
      <c r="L2" s="498" t="s">
        <v>101</v>
      </c>
      <c r="M2" s="499"/>
      <c r="N2" s="500"/>
      <c r="O2" s="97"/>
      <c r="P2" s="13"/>
      <c r="AA2" s="96" t="s">
        <v>100</v>
      </c>
      <c r="AB2" s="13">
        <v>1105</v>
      </c>
    </row>
    <row r="3" spans="1:34" x14ac:dyDescent="0.2">
      <c r="C3" s="95">
        <v>1997</v>
      </c>
      <c r="D3" s="94">
        <v>2006</v>
      </c>
      <c r="E3" s="7" t="s">
        <v>79</v>
      </c>
      <c r="F3" s="95">
        <v>1997</v>
      </c>
      <c r="G3" s="94">
        <v>2006</v>
      </c>
      <c r="H3" s="7" t="s">
        <v>79</v>
      </c>
      <c r="I3" s="95">
        <v>1997</v>
      </c>
      <c r="J3" s="94">
        <v>2006</v>
      </c>
      <c r="K3" s="7" t="s">
        <v>79</v>
      </c>
      <c r="L3" s="95">
        <v>1997</v>
      </c>
      <c r="M3" s="94">
        <v>2006</v>
      </c>
      <c r="N3" s="47" t="s">
        <v>79</v>
      </c>
      <c r="P3" s="93"/>
      <c r="AA3" s="6" t="s">
        <v>99</v>
      </c>
    </row>
    <row r="4" spans="1:34" x14ac:dyDescent="0.2">
      <c r="A4" s="8" t="s">
        <v>98</v>
      </c>
      <c r="B4" s="6" t="s">
        <v>97</v>
      </c>
      <c r="C4" s="39">
        <v>4982000</v>
      </c>
      <c r="D4" s="91">
        <f>C4*D5/C5</f>
        <v>4982000</v>
      </c>
      <c r="E4" s="10"/>
      <c r="F4" s="70">
        <v>9329000</v>
      </c>
      <c r="G4" s="11">
        <f>F4*G5/F5</f>
        <v>9329000</v>
      </c>
      <c r="H4" s="48"/>
      <c r="I4" s="70">
        <v>5288000</v>
      </c>
      <c r="J4" s="11">
        <f>I4*J5/I5</f>
        <v>5288000</v>
      </c>
      <c r="K4" s="48"/>
      <c r="L4" s="70">
        <v>5039000</v>
      </c>
      <c r="M4" s="11">
        <v>6267729</v>
      </c>
      <c r="N4" s="47"/>
      <c r="O4" s="11">
        <f>(M4*L7+I4*J5/I5*I7+F4*G5/F5*F7+C4*D5/C5*C7)/1000</f>
        <v>22126935.192000002</v>
      </c>
      <c r="AA4" s="6" t="s">
        <v>96</v>
      </c>
      <c r="AB4" s="10">
        <f>(G4*F7+J4*I7)/1000000</f>
        <v>12537.344999999999</v>
      </c>
      <c r="AC4" s="10">
        <f>D4*C7/1000000</f>
        <v>4274.5559999999996</v>
      </c>
      <c r="AD4" s="10">
        <f>(M6*L7)/1000000</f>
        <v>5071.3381978021971</v>
      </c>
    </row>
    <row r="5" spans="1:34" x14ac:dyDescent="0.2">
      <c r="B5" s="6" t="s">
        <v>95</v>
      </c>
      <c r="C5" s="39">
        <v>85611</v>
      </c>
      <c r="D5" s="91">
        <f>C5</f>
        <v>85611</v>
      </c>
      <c r="E5" s="10"/>
      <c r="F5" s="70">
        <v>165000</v>
      </c>
      <c r="G5" s="11">
        <f>F5</f>
        <v>165000</v>
      </c>
      <c r="H5" s="48" t="s">
        <v>94</v>
      </c>
      <c r="I5" s="70">
        <v>104900</v>
      </c>
      <c r="J5" s="11">
        <f>I5</f>
        <v>104900</v>
      </c>
      <c r="K5" s="48" t="s">
        <v>94</v>
      </c>
      <c r="L5" s="70">
        <v>91000</v>
      </c>
      <c r="M5" s="11">
        <v>108000</v>
      </c>
      <c r="N5" s="48" t="s">
        <v>94</v>
      </c>
      <c r="O5" s="10">
        <f>J5+G5+D5</f>
        <v>355511</v>
      </c>
      <c r="P5" s="9"/>
      <c r="AA5" s="6" t="s">
        <v>93</v>
      </c>
      <c r="AB5" s="10">
        <f>AB4*42.66</f>
        <v>534843.13769999996</v>
      </c>
      <c r="AC5" s="10">
        <f>AC4*42.66</f>
        <v>182352.55895999997</v>
      </c>
      <c r="AD5" s="10">
        <f>AD4*42.66</f>
        <v>216343.2875182417</v>
      </c>
    </row>
    <row r="6" spans="1:34" x14ac:dyDescent="0.2">
      <c r="B6" s="6" t="s">
        <v>92</v>
      </c>
      <c r="C6" s="49"/>
      <c r="D6" s="90">
        <f>D5/(D5+G5)</f>
        <v>0.341609107341657</v>
      </c>
      <c r="E6" s="10"/>
      <c r="F6" s="49"/>
      <c r="H6" s="48" t="s">
        <v>91</v>
      </c>
      <c r="I6" s="49"/>
      <c r="J6" s="44">
        <f>J5/(J5+G5+D5)</f>
        <v>0.29506822573703767</v>
      </c>
      <c r="K6" s="48"/>
      <c r="L6" s="49"/>
      <c r="M6" s="11">
        <f>L4*M5/L5</f>
        <v>5980351.6483516479</v>
      </c>
      <c r="N6" s="48"/>
      <c r="P6" s="10"/>
      <c r="AA6" s="6" t="s">
        <v>90</v>
      </c>
      <c r="AB6" s="92">
        <f>AB26/AB5</f>
        <v>0.95081921966609462</v>
      </c>
      <c r="AC6" s="92">
        <f>AC26/AC5</f>
        <v>0.96412108310809064</v>
      </c>
      <c r="AD6" s="92">
        <f>AD26/AD5</f>
        <v>0.96421412348881386</v>
      </c>
    </row>
    <row r="7" spans="1:34" x14ac:dyDescent="0.2">
      <c r="A7" s="6" t="s">
        <v>89</v>
      </c>
      <c r="C7" s="39">
        <v>858</v>
      </c>
      <c r="D7" s="91"/>
      <c r="E7" s="10"/>
      <c r="F7" s="49">
        <v>857</v>
      </c>
      <c r="H7" s="48"/>
      <c r="I7" s="49">
        <v>859</v>
      </c>
      <c r="K7" s="48"/>
      <c r="L7" s="49">
        <v>848</v>
      </c>
      <c r="M7" s="11"/>
      <c r="N7" s="48"/>
      <c r="P7" s="9"/>
    </row>
    <row r="8" spans="1:34" x14ac:dyDescent="0.2">
      <c r="A8" s="6" t="s">
        <v>88</v>
      </c>
      <c r="B8" s="6" t="s">
        <v>87</v>
      </c>
      <c r="C8" s="39">
        <v>325</v>
      </c>
      <c r="D8" s="91"/>
      <c r="E8" s="10"/>
      <c r="F8" s="49">
        <v>358</v>
      </c>
      <c r="H8" s="48"/>
      <c r="I8" s="49">
        <v>317</v>
      </c>
      <c r="K8" s="48"/>
      <c r="L8" s="49">
        <v>350</v>
      </c>
      <c r="M8" s="11"/>
      <c r="N8" s="47"/>
      <c r="AA8" s="6" t="s">
        <v>86</v>
      </c>
      <c r="AB8" s="90">
        <f>(C8+F8+I8)/(365*3)</f>
        <v>0.91324200913242004</v>
      </c>
    </row>
    <row r="9" spans="1:34" ht="14.25" customHeight="1" x14ac:dyDescent="0.2">
      <c r="A9" s="485" t="s">
        <v>85</v>
      </c>
      <c r="B9" s="486"/>
      <c r="C9" s="49"/>
      <c r="D9" s="44">
        <f>D5/$O$5</f>
        <v>0.24081111414274101</v>
      </c>
      <c r="E9" s="10"/>
      <c r="F9" s="49"/>
      <c r="G9" s="44">
        <f>G5/$O$5</f>
        <v>0.4641206601202213</v>
      </c>
      <c r="H9" s="48"/>
      <c r="I9" s="49"/>
      <c r="J9" s="44">
        <f>J5/$O$5</f>
        <v>0.29506822573703767</v>
      </c>
      <c r="K9" s="48"/>
      <c r="L9" s="49"/>
      <c r="M9" s="11"/>
      <c r="N9" s="47"/>
      <c r="O9" s="7">
        <v>788</v>
      </c>
      <c r="Q9" s="491" t="s">
        <v>84</v>
      </c>
      <c r="S9" s="493" t="s">
        <v>83</v>
      </c>
      <c r="V9" s="489" t="s">
        <v>881</v>
      </c>
      <c r="W9" s="489" t="s">
        <v>882</v>
      </c>
      <c r="X9" s="489" t="s">
        <v>82</v>
      </c>
      <c r="Y9" s="489" t="s">
        <v>883</v>
      </c>
      <c r="Z9" s="489" t="s">
        <v>884</v>
      </c>
      <c r="AA9" s="489" t="s">
        <v>81</v>
      </c>
      <c r="AB9" s="489" t="s">
        <v>885</v>
      </c>
      <c r="AC9" s="489" t="s">
        <v>886</v>
      </c>
      <c r="AD9" s="489" t="s">
        <v>80</v>
      </c>
      <c r="AE9" s="489" t="s">
        <v>887</v>
      </c>
      <c r="AF9" s="489" t="s">
        <v>888</v>
      </c>
    </row>
    <row r="10" spans="1:34" ht="12" customHeight="1" x14ac:dyDescent="0.2">
      <c r="A10" s="487"/>
      <c r="B10" s="488"/>
      <c r="C10" s="49"/>
      <c r="D10" s="9">
        <f>D9*788</f>
        <v>189.75915794447991</v>
      </c>
      <c r="E10" s="10"/>
      <c r="F10" s="70"/>
      <c r="G10" s="9">
        <f>G9*788</f>
        <v>365.7270801747344</v>
      </c>
      <c r="H10" s="48"/>
      <c r="I10" s="49"/>
      <c r="J10" s="9">
        <f>J9*788</f>
        <v>232.51376188078569</v>
      </c>
      <c r="K10" s="48"/>
      <c r="L10" s="89"/>
      <c r="M10" s="88"/>
      <c r="N10" s="87"/>
      <c r="O10" s="10">
        <f>O9-G10</f>
        <v>422.2729198252656</v>
      </c>
      <c r="Q10" s="492"/>
      <c r="R10" s="86" t="s">
        <v>79</v>
      </c>
      <c r="S10" s="494"/>
      <c r="U10" s="86" t="s">
        <v>79</v>
      </c>
      <c r="V10" s="490"/>
      <c r="W10" s="490"/>
      <c r="X10" s="490"/>
      <c r="Y10" s="490"/>
      <c r="Z10" s="490"/>
      <c r="AA10" s="490"/>
      <c r="AB10" s="490"/>
      <c r="AC10" s="490"/>
      <c r="AD10" s="490"/>
      <c r="AE10" s="490"/>
      <c r="AF10" s="490"/>
    </row>
    <row r="11" spans="1:34" x14ac:dyDescent="0.2">
      <c r="A11" s="42" t="s">
        <v>66</v>
      </c>
      <c r="B11" s="80"/>
      <c r="C11" s="85"/>
      <c r="D11" s="82"/>
      <c r="E11" s="59">
        <f t="shared" ref="E11:E25" si="0">D11/$D$26</f>
        <v>0</v>
      </c>
      <c r="F11" s="84">
        <v>42900</v>
      </c>
      <c r="G11" s="82">
        <f t="shared" ref="G11:G25" si="1">F11/$F$5*$G$5</f>
        <v>42900</v>
      </c>
      <c r="H11" s="59">
        <f t="shared" ref="H11:H25" si="2">G11/G$26</f>
        <v>4.7749432349405638E-3</v>
      </c>
      <c r="I11" s="83">
        <v>16900</v>
      </c>
      <c r="J11" s="82">
        <f>I11/$I$5*$J$5</f>
        <v>16900</v>
      </c>
      <c r="K11" s="59">
        <f t="shared" ref="K11:K25" si="3">J11/J$26</f>
        <v>3.4195989559094313E-3</v>
      </c>
      <c r="L11" s="83"/>
      <c r="M11" s="82"/>
      <c r="N11" s="59">
        <f t="shared" ref="N11:N25" si="4">M11/M$26</f>
        <v>0</v>
      </c>
      <c r="O11" s="81">
        <f>O10-J10</f>
        <v>189.75915794447991</v>
      </c>
      <c r="P11" s="42" t="s">
        <v>66</v>
      </c>
      <c r="Q11" s="80">
        <f>0.7172*1000</f>
        <v>717.19999999999993</v>
      </c>
      <c r="R11" s="78" t="s">
        <v>76</v>
      </c>
      <c r="S11" s="53">
        <v>44799</v>
      </c>
      <c r="T11" s="79"/>
      <c r="U11" s="78" t="s">
        <v>76</v>
      </c>
      <c r="V11" s="54">
        <f>SUM(G11,J11)</f>
        <v>59800</v>
      </c>
      <c r="W11" s="54">
        <f>D11</f>
        <v>0</v>
      </c>
      <c r="X11" s="54">
        <f t="shared" ref="X11:X25" si="5">M11</f>
        <v>0</v>
      </c>
      <c r="Y11" s="53">
        <f>V11*$Q11/1000</f>
        <v>42888.55999999999</v>
      </c>
      <c r="Z11" s="53">
        <f t="shared" ref="Z11:AA25" si="6">W11*$Q11/1000</f>
        <v>0</v>
      </c>
      <c r="AA11" s="53">
        <f t="shared" si="6"/>
        <v>0</v>
      </c>
      <c r="AB11" s="50">
        <f>Y11*10^3*$S11/10^9</f>
        <v>1921.3645994399997</v>
      </c>
      <c r="AC11" s="50">
        <f>Z11*10^3*$S11/10^9</f>
        <v>0</v>
      </c>
      <c r="AD11" s="50">
        <f t="shared" ref="AD11:AD25" si="7">AA11*10^3*S11/10^9</f>
        <v>0</v>
      </c>
      <c r="AE11" s="51">
        <f t="shared" ref="AE11:AE25" si="8">AB11/$AB$26</f>
        <v>3.7782040119212234E-3</v>
      </c>
      <c r="AF11" s="51">
        <f>AC11/$AC$26</f>
        <v>0</v>
      </c>
    </row>
    <row r="12" spans="1:34" ht="25.5" x14ac:dyDescent="0.2">
      <c r="A12" s="40" t="s">
        <v>64</v>
      </c>
      <c r="C12" s="39">
        <v>43800</v>
      </c>
      <c r="D12" s="67">
        <f t="shared" ref="D12:D18" si="9">C12/$C$5*$D$5</f>
        <v>43800</v>
      </c>
      <c r="E12" s="59">
        <f t="shared" si="0"/>
        <v>9.2001344311880354E-3</v>
      </c>
      <c r="F12" s="70">
        <v>79300</v>
      </c>
      <c r="G12" s="67">
        <f t="shared" si="1"/>
        <v>79300</v>
      </c>
      <c r="H12" s="59">
        <f t="shared" si="2"/>
        <v>8.8264102221628608E-3</v>
      </c>
      <c r="I12" s="68">
        <v>123700</v>
      </c>
      <c r="J12" s="67">
        <f>I12/$I$5*$J$5</f>
        <v>123700</v>
      </c>
      <c r="K12" s="59">
        <f t="shared" si="3"/>
        <v>2.5029845612189152E-2</v>
      </c>
      <c r="L12" s="68">
        <v>157700</v>
      </c>
      <c r="M12" s="67">
        <f>L12/$L$5*$M$5</f>
        <v>187160.43956043955</v>
      </c>
      <c r="N12" s="59">
        <f t="shared" si="4"/>
        <v>3.2811784777995089E-2</v>
      </c>
      <c r="O12" s="58"/>
      <c r="P12" s="40" t="s">
        <v>64</v>
      </c>
      <c r="Q12" s="6">
        <f>1.0132*1000</f>
        <v>1013.2</v>
      </c>
      <c r="R12" s="48" t="s">
        <v>76</v>
      </c>
      <c r="S12" s="72">
        <v>40193</v>
      </c>
      <c r="T12" s="77"/>
      <c r="U12" s="48" t="s">
        <v>76</v>
      </c>
      <c r="V12" s="54">
        <f t="shared" ref="V12:V26" si="10">SUM(G12,J12)</f>
        <v>203000</v>
      </c>
      <c r="W12" s="54">
        <f t="shared" ref="W12:W26" si="11">D12</f>
        <v>43800</v>
      </c>
      <c r="X12" s="54">
        <f t="shared" si="5"/>
        <v>187160.43956043955</v>
      </c>
      <c r="Y12" s="53">
        <f t="shared" ref="Y12:Y25" si="12">V12*$Q12/1000</f>
        <v>205679.6</v>
      </c>
      <c r="Z12" s="53">
        <f t="shared" si="6"/>
        <v>44378.16</v>
      </c>
      <c r="AA12" s="53">
        <f t="shared" si="6"/>
        <v>189630.95736263736</v>
      </c>
      <c r="AB12" s="50">
        <f t="shared" ref="AB12:AC24" si="13">Y12*10^3*$S12/10^9</f>
        <v>8266.8801628000001</v>
      </c>
      <c r="AC12" s="50">
        <f t="shared" si="13"/>
        <v>1783.69138488</v>
      </c>
      <c r="AD12" s="50">
        <f t="shared" si="7"/>
        <v>7621.8370692764838</v>
      </c>
      <c r="AE12" s="51">
        <f t="shared" si="8"/>
        <v>1.6256133690745824E-2</v>
      </c>
      <c r="AF12" s="51">
        <f t="shared" ref="AF12:AF25" si="14">AC12/$AC$26</f>
        <v>1.0145565816080809E-2</v>
      </c>
    </row>
    <row r="13" spans="1:34" ht="25.5" x14ac:dyDescent="0.2">
      <c r="A13" s="40" t="s">
        <v>62</v>
      </c>
      <c r="C13" s="39">
        <v>47800</v>
      </c>
      <c r="D13" s="67">
        <f t="shared" si="9"/>
        <v>47800</v>
      </c>
      <c r="E13" s="59">
        <f t="shared" si="0"/>
        <v>1.0040329356410688E-2</v>
      </c>
      <c r="F13" s="70">
        <v>11200</v>
      </c>
      <c r="G13" s="67">
        <f t="shared" si="1"/>
        <v>11200.000000000002</v>
      </c>
      <c r="H13" s="59">
        <f t="shared" si="2"/>
        <v>1.2466052268376299E-3</v>
      </c>
      <c r="I13" s="68"/>
      <c r="J13" s="67"/>
      <c r="K13" s="59">
        <f t="shared" si="3"/>
        <v>0</v>
      </c>
      <c r="L13" s="68"/>
      <c r="M13" s="67"/>
      <c r="N13" s="59">
        <f t="shared" si="4"/>
        <v>0</v>
      </c>
      <c r="O13" s="58"/>
      <c r="P13" s="40" t="s">
        <v>62</v>
      </c>
      <c r="Q13" s="6">
        <f>0.718*1000</f>
        <v>718</v>
      </c>
      <c r="R13" s="48" t="s">
        <v>76</v>
      </c>
      <c r="S13" s="72">
        <v>45008</v>
      </c>
      <c r="T13" s="77"/>
      <c r="U13" s="48" t="s">
        <v>76</v>
      </c>
      <c r="V13" s="54">
        <f t="shared" si="10"/>
        <v>11200.000000000002</v>
      </c>
      <c r="W13" s="54">
        <f t="shared" si="11"/>
        <v>47800</v>
      </c>
      <c r="X13" s="54">
        <f t="shared" si="5"/>
        <v>0</v>
      </c>
      <c r="Y13" s="53">
        <f t="shared" si="12"/>
        <v>8041.6000000000013</v>
      </c>
      <c r="Z13" s="53">
        <f t="shared" si="6"/>
        <v>34320.400000000001</v>
      </c>
      <c r="AA13" s="53">
        <f t="shared" si="6"/>
        <v>0</v>
      </c>
      <c r="AB13" s="50">
        <f t="shared" si="13"/>
        <v>361.93633280000006</v>
      </c>
      <c r="AC13" s="50">
        <f t="shared" si="13"/>
        <v>1544.6925632</v>
      </c>
      <c r="AD13" s="50">
        <f t="shared" si="7"/>
        <v>0</v>
      </c>
      <c r="AE13" s="51">
        <f t="shared" si="8"/>
        <v>7.1171775780795457E-4</v>
      </c>
      <c r="AF13" s="51">
        <f t="shared" si="14"/>
        <v>8.7861500024066681E-3</v>
      </c>
    </row>
    <row r="14" spans="1:34" x14ac:dyDescent="0.2">
      <c r="A14" s="40" t="s">
        <v>60</v>
      </c>
      <c r="C14" s="39">
        <v>1488600</v>
      </c>
      <c r="D14" s="67">
        <f t="shared" si="9"/>
        <v>1488600</v>
      </c>
      <c r="E14" s="59">
        <f t="shared" si="0"/>
        <v>0.31267854142160983</v>
      </c>
      <c r="F14" s="70">
        <v>2643000</v>
      </c>
      <c r="G14" s="67">
        <f t="shared" si="1"/>
        <v>2643000</v>
      </c>
      <c r="H14" s="59">
        <f t="shared" si="2"/>
        <v>0.29417657272605852</v>
      </c>
      <c r="I14" s="68">
        <v>1308800</v>
      </c>
      <c r="J14" s="67">
        <f>I14/$I$5*$J$5</f>
        <v>1308800</v>
      </c>
      <c r="K14" s="59">
        <f t="shared" si="3"/>
        <v>0.26482669310616946</v>
      </c>
      <c r="L14" s="68">
        <v>1605000</v>
      </c>
      <c r="M14" s="67">
        <f>L14/$L$5*$M$5</f>
        <v>1904835.164835165</v>
      </c>
      <c r="N14" s="59">
        <f t="shared" si="4"/>
        <v>0.3339436561108568</v>
      </c>
      <c r="O14" s="58"/>
      <c r="P14" s="40" t="s">
        <v>60</v>
      </c>
      <c r="Q14" s="45">
        <f>AVERAGE(54.6,53,59.9)*(3.2808)^3*0.453593</f>
        <v>894.33282118473073</v>
      </c>
      <c r="R14" s="48" t="s">
        <v>78</v>
      </c>
      <c r="S14" s="72">
        <f>46*1000</f>
        <v>46000</v>
      </c>
      <c r="T14" s="45"/>
      <c r="U14" s="48" t="s">
        <v>77</v>
      </c>
      <c r="V14" s="54">
        <f t="shared" si="10"/>
        <v>3951800</v>
      </c>
      <c r="W14" s="54">
        <f t="shared" si="11"/>
        <v>1488600</v>
      </c>
      <c r="X14" s="54">
        <f t="shared" si="5"/>
        <v>1904835.164835165</v>
      </c>
      <c r="Y14" s="53">
        <f t="shared" si="12"/>
        <v>3534224.4427578188</v>
      </c>
      <c r="Z14" s="53">
        <f t="shared" si="6"/>
        <v>1331303.8376155901</v>
      </c>
      <c r="AA14" s="53">
        <f t="shared" si="6"/>
        <v>1703556.6068589147</v>
      </c>
      <c r="AB14" s="50">
        <f t="shared" si="13"/>
        <v>162574.32436685966</v>
      </c>
      <c r="AC14" s="50">
        <f t="shared" si="13"/>
        <v>61239.976530317137</v>
      </c>
      <c r="AD14" s="50">
        <f t="shared" si="7"/>
        <v>78363.603915510073</v>
      </c>
      <c r="AE14" s="51">
        <f t="shared" si="8"/>
        <v>0.31968891523101722</v>
      </c>
      <c r="AF14" s="51">
        <f t="shared" si="14"/>
        <v>0.34833055635651694</v>
      </c>
      <c r="AG14" s="73">
        <f>AD14+AB14</f>
        <v>240937.92828236974</v>
      </c>
      <c r="AH14" s="73">
        <f>AG14+'GTL and CTL'!U18</f>
        <v>313733.93692834326</v>
      </c>
    </row>
    <row r="15" spans="1:34" x14ac:dyDescent="0.2">
      <c r="A15" s="40" t="s">
        <v>58</v>
      </c>
      <c r="C15" s="39">
        <v>920700</v>
      </c>
      <c r="D15" s="67">
        <f t="shared" si="9"/>
        <v>920700</v>
      </c>
      <c r="E15" s="59">
        <f t="shared" si="0"/>
        <v>0.19339186691312385</v>
      </c>
      <c r="F15" s="70">
        <v>2041200</v>
      </c>
      <c r="G15" s="67">
        <f t="shared" si="1"/>
        <v>2041200</v>
      </c>
      <c r="H15" s="59">
        <f t="shared" si="2"/>
        <v>0.22719380259115801</v>
      </c>
      <c r="I15" s="68">
        <v>1079800</v>
      </c>
      <c r="J15" s="67">
        <f>I15/$I$5*$J$5</f>
        <v>1079800</v>
      </c>
      <c r="K15" s="59">
        <f t="shared" si="3"/>
        <v>0.21849011553792921</v>
      </c>
      <c r="L15" s="68">
        <v>166800</v>
      </c>
      <c r="M15" s="67">
        <f>L15/$L$5*$M$5</f>
        <v>197960.43956043955</v>
      </c>
      <c r="N15" s="59">
        <f t="shared" si="4"/>
        <v>3.4705172485539504E-2</v>
      </c>
      <c r="O15" s="58"/>
      <c r="P15" s="40" t="s">
        <v>58</v>
      </c>
      <c r="Q15" s="6">
        <f>0.9475*1000</f>
        <v>947.5</v>
      </c>
      <c r="R15" s="48" t="s">
        <v>76</v>
      </c>
      <c r="S15" s="72">
        <v>40193</v>
      </c>
      <c r="T15" s="77"/>
      <c r="U15" s="48" t="s">
        <v>76</v>
      </c>
      <c r="V15" s="54">
        <f t="shared" si="10"/>
        <v>3121000</v>
      </c>
      <c r="W15" s="54">
        <f t="shared" si="11"/>
        <v>920700</v>
      </c>
      <c r="X15" s="54">
        <f t="shared" si="5"/>
        <v>197960.43956043955</v>
      </c>
      <c r="Y15" s="53">
        <f t="shared" si="12"/>
        <v>2957147.5</v>
      </c>
      <c r="Z15" s="53">
        <f t="shared" si="6"/>
        <v>872363.25</v>
      </c>
      <c r="AA15" s="53">
        <f t="shared" si="6"/>
        <v>187567.51648351649</v>
      </c>
      <c r="AB15" s="50">
        <f t="shared" si="13"/>
        <v>118856.6294675</v>
      </c>
      <c r="AC15" s="50">
        <f t="shared" si="13"/>
        <v>35062.896107250002</v>
      </c>
      <c r="AD15" s="50">
        <f t="shared" si="7"/>
        <v>7538.9011900219784</v>
      </c>
      <c r="AE15" s="51">
        <f t="shared" si="8"/>
        <v>0.23372169677136084</v>
      </c>
      <c r="AF15" s="51">
        <f t="shared" si="14"/>
        <v>0.19943636167892398</v>
      </c>
    </row>
    <row r="16" spans="1:34" x14ac:dyDescent="0.2">
      <c r="A16" s="40" t="s">
        <v>57</v>
      </c>
      <c r="C16" s="39">
        <v>37900</v>
      </c>
      <c r="D16" s="67">
        <f t="shared" si="9"/>
        <v>37900</v>
      </c>
      <c r="E16" s="59">
        <f t="shared" si="0"/>
        <v>7.9608469164846249E-3</v>
      </c>
      <c r="F16" s="70">
        <v>24300</v>
      </c>
      <c r="G16" s="67">
        <f t="shared" si="1"/>
        <v>24300</v>
      </c>
      <c r="H16" s="59">
        <f t="shared" si="2"/>
        <v>2.7046881260852145E-3</v>
      </c>
      <c r="I16" s="68"/>
      <c r="J16" s="67"/>
      <c r="K16" s="59">
        <f t="shared" si="3"/>
        <v>0</v>
      </c>
      <c r="L16" s="68"/>
      <c r="M16" s="67"/>
      <c r="N16" s="59">
        <f t="shared" si="4"/>
        <v>0</v>
      </c>
      <c r="O16" s="58"/>
      <c r="P16" s="40" t="s">
        <v>57</v>
      </c>
      <c r="Q16" s="6">
        <f>0.6948*1000</f>
        <v>694.8</v>
      </c>
      <c r="R16" s="48" t="s">
        <v>76</v>
      </c>
      <c r="S16" s="72">
        <v>48148</v>
      </c>
      <c r="T16" s="77"/>
      <c r="U16" s="48" t="s">
        <v>76</v>
      </c>
      <c r="V16" s="54">
        <f t="shared" si="10"/>
        <v>24300</v>
      </c>
      <c r="W16" s="54">
        <f t="shared" si="11"/>
        <v>37900</v>
      </c>
      <c r="X16" s="54">
        <f t="shared" si="5"/>
        <v>0</v>
      </c>
      <c r="Y16" s="53">
        <f t="shared" si="12"/>
        <v>16883.64</v>
      </c>
      <c r="Z16" s="53">
        <f t="shared" si="6"/>
        <v>26332.92</v>
      </c>
      <c r="AA16" s="53">
        <f t="shared" si="6"/>
        <v>0</v>
      </c>
      <c r="AB16" s="50"/>
      <c r="AC16" s="50"/>
      <c r="AD16" s="50">
        <f t="shared" si="7"/>
        <v>0</v>
      </c>
      <c r="AE16" s="51">
        <f t="shared" si="8"/>
        <v>0</v>
      </c>
      <c r="AF16" s="51">
        <f t="shared" si="14"/>
        <v>0</v>
      </c>
    </row>
    <row r="17" spans="1:34" ht="25.5" x14ac:dyDescent="0.2">
      <c r="A17" s="40" t="s">
        <v>56</v>
      </c>
      <c r="C17" s="39">
        <v>611800</v>
      </c>
      <c r="D17" s="67">
        <f t="shared" si="9"/>
        <v>611800</v>
      </c>
      <c r="E17" s="59">
        <f t="shared" si="0"/>
        <v>0.12850781381280457</v>
      </c>
      <c r="F17" s="70">
        <v>931000</v>
      </c>
      <c r="G17" s="67">
        <f t="shared" si="1"/>
        <v>931000</v>
      </c>
      <c r="H17" s="59">
        <f t="shared" si="2"/>
        <v>0.10362405948087797</v>
      </c>
      <c r="I17" s="68">
        <v>472200</v>
      </c>
      <c r="J17" s="67">
        <f t="shared" ref="J17:J23" si="15">I17/$I$5*$J$5</f>
        <v>472200</v>
      </c>
      <c r="K17" s="59">
        <f t="shared" si="3"/>
        <v>9.5546427631978306E-2</v>
      </c>
      <c r="L17" s="68">
        <v>1031000</v>
      </c>
      <c r="M17" s="67">
        <f>L17/$L$5*$M$5</f>
        <v>1223604.3956043958</v>
      </c>
      <c r="N17" s="59">
        <f t="shared" si="4"/>
        <v>0.2145145853272856</v>
      </c>
      <c r="O17" s="58"/>
      <c r="P17" s="40" t="s">
        <v>56</v>
      </c>
      <c r="Q17" s="6">
        <f>0.797*1000</f>
        <v>797</v>
      </c>
      <c r="R17" s="48" t="s">
        <v>76</v>
      </c>
      <c r="S17" s="72">
        <v>44590</v>
      </c>
      <c r="T17" s="77"/>
      <c r="U17" s="48" t="s">
        <v>76</v>
      </c>
      <c r="V17" s="54">
        <f t="shared" si="10"/>
        <v>1403200</v>
      </c>
      <c r="W17" s="54">
        <f t="shared" si="11"/>
        <v>611800</v>
      </c>
      <c r="X17" s="54">
        <f t="shared" si="5"/>
        <v>1223604.3956043958</v>
      </c>
      <c r="Y17" s="53">
        <f t="shared" si="12"/>
        <v>1118350.3999999999</v>
      </c>
      <c r="Z17" s="53">
        <f t="shared" si="6"/>
        <v>487604.6</v>
      </c>
      <c r="AA17" s="53">
        <f t="shared" si="6"/>
        <v>975212.7032967034</v>
      </c>
      <c r="AB17" s="50">
        <f t="shared" si="13"/>
        <v>49867.244336000003</v>
      </c>
      <c r="AC17" s="50">
        <f t="shared" si="13"/>
        <v>21742.289113999999</v>
      </c>
      <c r="AD17" s="50">
        <f t="shared" si="7"/>
        <v>43484.734440000007</v>
      </c>
      <c r="AE17" s="51">
        <f t="shared" si="8"/>
        <v>9.8059797015436129E-2</v>
      </c>
      <c r="AF17" s="51">
        <f t="shared" si="14"/>
        <v>0.12366927769468629</v>
      </c>
    </row>
    <row r="18" spans="1:34" x14ac:dyDescent="0.2">
      <c r="A18" s="40" t="s">
        <v>55</v>
      </c>
      <c r="C18" s="39">
        <v>83200</v>
      </c>
      <c r="D18" s="67">
        <f t="shared" si="9"/>
        <v>83200</v>
      </c>
      <c r="E18" s="59">
        <f t="shared" si="0"/>
        <v>1.7476054444631156E-2</v>
      </c>
      <c r="F18" s="70">
        <v>303200</v>
      </c>
      <c r="G18" s="67">
        <f t="shared" si="1"/>
        <v>303200</v>
      </c>
      <c r="H18" s="59">
        <f t="shared" si="2"/>
        <v>3.3747384355104403E-2</v>
      </c>
      <c r="I18" s="68">
        <v>106800</v>
      </c>
      <c r="J18" s="67">
        <f t="shared" si="15"/>
        <v>106800</v>
      </c>
      <c r="K18" s="59">
        <f t="shared" si="3"/>
        <v>2.1610246656279718E-2</v>
      </c>
      <c r="L18" s="68">
        <v>17100</v>
      </c>
      <c r="M18" s="67">
        <f>L18/$L$5*$M$5</f>
        <v>20294.505494505494</v>
      </c>
      <c r="N18" s="59">
        <f t="shared" si="4"/>
        <v>3.5579043735175396E-3</v>
      </c>
      <c r="O18" s="58"/>
      <c r="P18" s="40" t="s">
        <v>55</v>
      </c>
      <c r="Q18" s="6">
        <f>0.562*1000</f>
        <v>562</v>
      </c>
      <c r="R18" s="48" t="s">
        <v>76</v>
      </c>
      <c r="S18" s="72">
        <v>47311</v>
      </c>
      <c r="T18" s="77"/>
      <c r="U18" s="48" t="s">
        <v>76</v>
      </c>
      <c r="V18" s="54">
        <f t="shared" si="10"/>
        <v>410000</v>
      </c>
      <c r="W18" s="54">
        <f t="shared" si="11"/>
        <v>83200</v>
      </c>
      <c r="X18" s="54">
        <f t="shared" si="5"/>
        <v>20294.505494505494</v>
      </c>
      <c r="Y18" s="53">
        <f t="shared" si="12"/>
        <v>230420</v>
      </c>
      <c r="Z18" s="53">
        <f t="shared" si="6"/>
        <v>46758.400000000001</v>
      </c>
      <c r="AA18" s="53">
        <f t="shared" si="6"/>
        <v>11405.512087912088</v>
      </c>
      <c r="AB18" s="50">
        <f t="shared" si="13"/>
        <v>10901.40062</v>
      </c>
      <c r="AC18" s="50">
        <f t="shared" si="13"/>
        <v>2212.1866623999999</v>
      </c>
      <c r="AD18" s="50">
        <f t="shared" si="7"/>
        <v>539.60618239120879</v>
      </c>
      <c r="AE18" s="51">
        <f t="shared" si="8"/>
        <v>2.1436699505158505E-2</v>
      </c>
      <c r="AF18" s="51">
        <f t="shared" si="14"/>
        <v>1.2582829950902787E-2</v>
      </c>
    </row>
    <row r="19" spans="1:34" ht="26.25" x14ac:dyDescent="0.25">
      <c r="A19" s="40" t="s">
        <v>54</v>
      </c>
      <c r="C19" s="41"/>
      <c r="D19" s="76"/>
      <c r="E19" s="59">
        <f t="shared" si="0"/>
        <v>0</v>
      </c>
      <c r="F19" s="70">
        <v>196000</v>
      </c>
      <c r="G19" s="67">
        <f t="shared" si="1"/>
        <v>196000.00000000003</v>
      </c>
      <c r="H19" s="59">
        <f t="shared" si="2"/>
        <v>2.1815591469658523E-2</v>
      </c>
      <c r="I19" s="68">
        <v>156000</v>
      </c>
      <c r="J19" s="67">
        <f t="shared" si="15"/>
        <v>156000</v>
      </c>
      <c r="K19" s="59">
        <f t="shared" si="3"/>
        <v>3.1565528823779367E-2</v>
      </c>
      <c r="L19" s="68"/>
      <c r="M19" s="67"/>
      <c r="N19" s="59">
        <f t="shared" si="4"/>
        <v>0</v>
      </c>
      <c r="O19" s="58"/>
      <c r="P19" s="40" t="s">
        <v>54</v>
      </c>
      <c r="Q19" s="6">
        <f>0.891*1000</f>
        <v>891</v>
      </c>
      <c r="R19" s="48" t="s">
        <v>76</v>
      </c>
      <c r="S19" s="476">
        <f>S15</f>
        <v>40193</v>
      </c>
      <c r="T19" s="75"/>
      <c r="U19" s="74"/>
      <c r="V19" s="54">
        <f t="shared" si="10"/>
        <v>352000</v>
      </c>
      <c r="W19" s="54">
        <f t="shared" si="11"/>
        <v>0</v>
      </c>
      <c r="X19" s="54">
        <f t="shared" si="5"/>
        <v>0</v>
      </c>
      <c r="Y19" s="53">
        <f t="shared" si="12"/>
        <v>313632</v>
      </c>
      <c r="Z19" s="53">
        <f t="shared" si="6"/>
        <v>0</v>
      </c>
      <c r="AA19" s="53">
        <f t="shared" si="6"/>
        <v>0</v>
      </c>
      <c r="AB19" s="50">
        <f t="shared" si="13"/>
        <v>12605.810976000001</v>
      </c>
      <c r="AC19" s="50">
        <f t="shared" si="13"/>
        <v>0</v>
      </c>
      <c r="AD19" s="50">
        <f t="shared" si="7"/>
        <v>0</v>
      </c>
      <c r="AE19" s="51">
        <f t="shared" si="8"/>
        <v>2.4788281004513791E-2</v>
      </c>
      <c r="AF19" s="51">
        <f t="shared" si="14"/>
        <v>0</v>
      </c>
    </row>
    <row r="20" spans="1:34" ht="14.25" x14ac:dyDescent="0.2">
      <c r="A20" s="40" t="s">
        <v>53</v>
      </c>
      <c r="C20" s="39"/>
      <c r="D20" s="67"/>
      <c r="E20" s="59">
        <f t="shared" si="0"/>
        <v>0</v>
      </c>
      <c r="F20" s="70">
        <v>49400</v>
      </c>
      <c r="G20" s="67">
        <f t="shared" si="1"/>
        <v>49400</v>
      </c>
      <c r="H20" s="59">
        <f t="shared" si="2"/>
        <v>5.4984194826588305E-3</v>
      </c>
      <c r="I20" s="68">
        <v>4200</v>
      </c>
      <c r="J20" s="67">
        <f t="shared" si="15"/>
        <v>4200</v>
      </c>
      <c r="K20" s="59">
        <f t="shared" si="3"/>
        <v>8.4984116064021364E-4</v>
      </c>
      <c r="L20" s="68"/>
      <c r="M20" s="67"/>
      <c r="N20" s="59">
        <f t="shared" si="4"/>
        <v>0</v>
      </c>
      <c r="O20" s="58"/>
      <c r="P20" s="40" t="s">
        <v>53</v>
      </c>
      <c r="Q20" s="6">
        <v>723</v>
      </c>
      <c r="R20" s="48" t="s">
        <v>75</v>
      </c>
      <c r="S20" s="72">
        <v>47300</v>
      </c>
      <c r="T20" s="45"/>
      <c r="U20" s="48" t="s">
        <v>75</v>
      </c>
      <c r="V20" s="54">
        <f t="shared" si="10"/>
        <v>53600</v>
      </c>
      <c r="W20" s="54">
        <f t="shared" si="11"/>
        <v>0</v>
      </c>
      <c r="X20" s="54">
        <f t="shared" si="5"/>
        <v>0</v>
      </c>
      <c r="Y20" s="53">
        <f t="shared" si="12"/>
        <v>38752.800000000003</v>
      </c>
      <c r="Z20" s="53">
        <f t="shared" si="6"/>
        <v>0</v>
      </c>
      <c r="AA20" s="53">
        <f t="shared" si="6"/>
        <v>0</v>
      </c>
      <c r="AB20" s="50">
        <f t="shared" si="13"/>
        <v>1833.0074400000001</v>
      </c>
      <c r="AC20" s="50">
        <f t="shared" si="13"/>
        <v>0</v>
      </c>
      <c r="AD20" s="50">
        <f t="shared" si="7"/>
        <v>0</v>
      </c>
      <c r="AE20" s="51">
        <f t="shared" si="8"/>
        <v>3.6044569915090288E-3</v>
      </c>
      <c r="AF20" s="51">
        <f t="shared" si="14"/>
        <v>0</v>
      </c>
    </row>
    <row r="21" spans="1:34" ht="14.25" x14ac:dyDescent="0.2">
      <c r="A21" s="40" t="s">
        <v>52</v>
      </c>
      <c r="C21" s="39">
        <v>250100</v>
      </c>
      <c r="D21" s="67">
        <f>C21/$C$5*$D$5</f>
        <v>250100</v>
      </c>
      <c r="E21" s="59">
        <f t="shared" si="0"/>
        <v>5.2533187699546298E-2</v>
      </c>
      <c r="F21" s="70">
        <v>1086000</v>
      </c>
      <c r="G21" s="67">
        <f t="shared" si="1"/>
        <v>1086000</v>
      </c>
      <c r="H21" s="59">
        <f t="shared" si="2"/>
        <v>0.12087618538800587</v>
      </c>
      <c r="I21" s="68">
        <v>603900</v>
      </c>
      <c r="J21" s="67">
        <f t="shared" si="15"/>
        <v>603900</v>
      </c>
      <c r="K21" s="59">
        <f t="shared" si="3"/>
        <v>0.12219501831205358</v>
      </c>
      <c r="L21" s="68">
        <v>544200</v>
      </c>
      <c r="M21" s="67">
        <f>L21/$L$5*$M$5</f>
        <v>645863.73626373627</v>
      </c>
      <c r="N21" s="59">
        <f t="shared" si="4"/>
        <v>0.11322874620282135</v>
      </c>
      <c r="O21" s="58"/>
      <c r="P21" s="40" t="s">
        <v>52</v>
      </c>
      <c r="Q21" s="6">
        <v>723</v>
      </c>
      <c r="R21" s="48" t="s">
        <v>75</v>
      </c>
      <c r="S21" s="72">
        <v>47300</v>
      </c>
      <c r="T21" s="45"/>
      <c r="U21" s="48" t="s">
        <v>75</v>
      </c>
      <c r="V21" s="54">
        <f t="shared" si="10"/>
        <v>1689900</v>
      </c>
      <c r="W21" s="54">
        <f t="shared" si="11"/>
        <v>250100</v>
      </c>
      <c r="X21" s="54">
        <f t="shared" si="5"/>
        <v>645863.73626373627</v>
      </c>
      <c r="Y21" s="53">
        <f t="shared" si="12"/>
        <v>1221797.7</v>
      </c>
      <c r="Z21" s="53">
        <f t="shared" si="6"/>
        <v>180822.3</v>
      </c>
      <c r="AA21" s="53">
        <f t="shared" si="6"/>
        <v>466959.48131868133</v>
      </c>
      <c r="AB21" s="50">
        <f t="shared" si="13"/>
        <v>57791.031210000001</v>
      </c>
      <c r="AC21" s="50">
        <f t="shared" si="13"/>
        <v>8552.8947900000003</v>
      </c>
      <c r="AD21" s="50">
        <f t="shared" si="7"/>
        <v>22087.183466373626</v>
      </c>
      <c r="AE21" s="51">
        <f t="shared" si="8"/>
        <v>0.11364126623043111</v>
      </c>
      <c r="AF21" s="51">
        <f t="shared" si="14"/>
        <v>4.8648526166311823E-2</v>
      </c>
      <c r="AG21" s="73">
        <f>SUM(AB21:AB23)+SUM(AD21:AD23)</f>
        <v>207071.40364912088</v>
      </c>
      <c r="AH21" s="73">
        <f>AG21+'GTL and CTL'!U25</f>
        <v>363602.03152912087</v>
      </c>
    </row>
    <row r="22" spans="1:34" ht="14.25" x14ac:dyDescent="0.2">
      <c r="A22" s="40" t="s">
        <v>51</v>
      </c>
      <c r="C22" s="39">
        <v>133000</v>
      </c>
      <c r="D22" s="67">
        <f>C22/$C$5*$D$5</f>
        <v>133000</v>
      </c>
      <c r="E22" s="59">
        <f t="shared" si="0"/>
        <v>2.7936481263653168E-2</v>
      </c>
      <c r="F22" s="70">
        <v>116600</v>
      </c>
      <c r="G22" s="67">
        <f t="shared" si="1"/>
        <v>116600</v>
      </c>
      <c r="H22" s="59">
        <f t="shared" si="2"/>
        <v>1.297805084368461E-2</v>
      </c>
      <c r="I22" s="68">
        <v>64000</v>
      </c>
      <c r="J22" s="67">
        <f t="shared" si="15"/>
        <v>64000.000000000007</v>
      </c>
      <c r="K22" s="59">
        <f t="shared" si="3"/>
        <v>1.2949960543088971E-2</v>
      </c>
      <c r="L22" s="68">
        <v>1061200</v>
      </c>
      <c r="M22" s="67">
        <f>L22/$L$5*$M$5</f>
        <v>1259446.1538461538</v>
      </c>
      <c r="N22" s="59">
        <f t="shared" si="4"/>
        <v>0.22079813574133408</v>
      </c>
      <c r="O22" s="58"/>
      <c r="P22" s="40" t="s">
        <v>51</v>
      </c>
      <c r="Q22" s="6">
        <v>723</v>
      </c>
      <c r="R22" s="48" t="s">
        <v>75</v>
      </c>
      <c r="S22" s="72">
        <v>47300</v>
      </c>
      <c r="T22" s="45"/>
      <c r="U22" s="48" t="s">
        <v>75</v>
      </c>
      <c r="V22" s="54">
        <f t="shared" si="10"/>
        <v>180600</v>
      </c>
      <c r="W22" s="54">
        <f t="shared" si="11"/>
        <v>133000</v>
      </c>
      <c r="X22" s="54">
        <f t="shared" si="5"/>
        <v>1259446.1538461538</v>
      </c>
      <c r="Y22" s="53">
        <f t="shared" si="12"/>
        <v>130573.8</v>
      </c>
      <c r="Z22" s="53">
        <f t="shared" si="6"/>
        <v>96159</v>
      </c>
      <c r="AA22" s="53">
        <f t="shared" si="6"/>
        <v>910579.56923076918</v>
      </c>
      <c r="AB22" s="50">
        <f t="shared" si="13"/>
        <v>6176.1407399999998</v>
      </c>
      <c r="AC22" s="50">
        <f t="shared" si="13"/>
        <v>4548.3207000000002</v>
      </c>
      <c r="AD22" s="50">
        <f t="shared" si="7"/>
        <v>43070.413624615379</v>
      </c>
      <c r="AE22" s="51">
        <f t="shared" si="8"/>
        <v>1.2144868146763629E-2</v>
      </c>
      <c r="AF22" s="51">
        <f t="shared" si="14"/>
        <v>2.5870667653416522E-2</v>
      </c>
    </row>
    <row r="23" spans="1:34" ht="14.25" x14ac:dyDescent="0.2">
      <c r="A23" s="40" t="s">
        <v>50</v>
      </c>
      <c r="C23" s="39">
        <v>1140900</v>
      </c>
      <c r="D23" s="67">
        <f>C23/$C$5*$D$5</f>
        <v>1140900</v>
      </c>
      <c r="E23" s="59">
        <f t="shared" si="0"/>
        <v>0.23964459754663081</v>
      </c>
      <c r="F23" s="70">
        <v>1380000</v>
      </c>
      <c r="G23" s="67">
        <f t="shared" si="1"/>
        <v>1380000</v>
      </c>
      <c r="H23" s="59">
        <f t="shared" si="2"/>
        <v>0.15359957259249366</v>
      </c>
      <c r="I23" s="68">
        <v>877800</v>
      </c>
      <c r="J23" s="67">
        <f t="shared" si="15"/>
        <v>877800</v>
      </c>
      <c r="K23" s="59">
        <f t="shared" si="3"/>
        <v>0.17761680257380466</v>
      </c>
      <c r="L23" s="68">
        <v>18100</v>
      </c>
      <c r="M23" s="67">
        <f>L23/$L$5*$M$5</f>
        <v>21481.31868131868</v>
      </c>
      <c r="N23" s="59">
        <f t="shared" si="4"/>
        <v>3.7659689567641789E-3</v>
      </c>
      <c r="O23" s="58"/>
      <c r="P23" s="40" t="s">
        <v>50</v>
      </c>
      <c r="Q23" s="6">
        <v>723</v>
      </c>
      <c r="R23" s="48" t="s">
        <v>75</v>
      </c>
      <c r="S23" s="72">
        <v>47300</v>
      </c>
      <c r="T23" s="45"/>
      <c r="U23" s="48" t="s">
        <v>75</v>
      </c>
      <c r="V23" s="54">
        <f t="shared" si="10"/>
        <v>2257800</v>
      </c>
      <c r="W23" s="54">
        <f t="shared" si="11"/>
        <v>1140900</v>
      </c>
      <c r="X23" s="54">
        <f t="shared" si="5"/>
        <v>21481.31868131868</v>
      </c>
      <c r="Y23" s="53">
        <f t="shared" si="12"/>
        <v>1632389.4</v>
      </c>
      <c r="Z23" s="53">
        <f t="shared" si="6"/>
        <v>824870.7</v>
      </c>
      <c r="AA23" s="53">
        <f t="shared" si="6"/>
        <v>15530.993406593407</v>
      </c>
      <c r="AB23" s="50">
        <f t="shared" si="13"/>
        <v>77212.018620000003</v>
      </c>
      <c r="AC23" s="50">
        <f t="shared" si="13"/>
        <v>39016.384109999999</v>
      </c>
      <c r="AD23" s="50">
        <f t="shared" si="7"/>
        <v>734.61598813186811</v>
      </c>
      <c r="AE23" s="51">
        <f t="shared" si="8"/>
        <v>0.15183102603412471</v>
      </c>
      <c r="AF23" s="51">
        <f t="shared" si="14"/>
        <v>0.22192364455475871</v>
      </c>
    </row>
    <row r="24" spans="1:34" x14ac:dyDescent="0.2">
      <c r="A24" s="40" t="s">
        <v>49</v>
      </c>
      <c r="C24" s="39">
        <v>3000</v>
      </c>
      <c r="D24" s="67">
        <f>C24/$C$5*$D$5</f>
        <v>3000</v>
      </c>
      <c r="E24" s="59">
        <f t="shared" si="0"/>
        <v>6.3014619391698874E-4</v>
      </c>
      <c r="F24" s="70">
        <v>4700</v>
      </c>
      <c r="G24" s="67">
        <f t="shared" si="1"/>
        <v>4700</v>
      </c>
      <c r="H24" s="59">
        <f t="shared" si="2"/>
        <v>5.231289791193625E-4</v>
      </c>
      <c r="I24" s="68"/>
      <c r="J24" s="69"/>
      <c r="K24" s="59">
        <f t="shared" si="3"/>
        <v>0</v>
      </c>
      <c r="L24" s="68"/>
      <c r="M24" s="67"/>
      <c r="N24" s="59">
        <f t="shared" si="4"/>
        <v>0</v>
      </c>
      <c r="O24" s="58"/>
      <c r="P24" s="40" t="s">
        <v>49</v>
      </c>
      <c r="Q24" s="9">
        <f>Q17</f>
        <v>797</v>
      </c>
      <c r="R24" s="66"/>
      <c r="S24" s="65">
        <f>S17</f>
        <v>44590</v>
      </c>
      <c r="T24" s="64"/>
      <c r="U24" s="48" t="s">
        <v>74</v>
      </c>
      <c r="V24" s="54">
        <f t="shared" si="10"/>
        <v>4700</v>
      </c>
      <c r="W24" s="54">
        <f t="shared" si="11"/>
        <v>3000</v>
      </c>
      <c r="X24" s="54">
        <f t="shared" si="5"/>
        <v>0</v>
      </c>
      <c r="Y24" s="53">
        <f t="shared" si="12"/>
        <v>3745.9</v>
      </c>
      <c r="Z24" s="53">
        <f t="shared" si="6"/>
        <v>2391</v>
      </c>
      <c r="AA24" s="53">
        <f t="shared" si="6"/>
        <v>0</v>
      </c>
      <c r="AB24" s="50">
        <f t="shared" si="13"/>
        <v>167.02968100000001</v>
      </c>
      <c r="AC24" s="50">
        <f t="shared" si="13"/>
        <v>106.61469</v>
      </c>
      <c r="AD24" s="50">
        <f t="shared" si="7"/>
        <v>0</v>
      </c>
      <c r="AE24" s="51">
        <f t="shared" si="8"/>
        <v>3.2845000425637812E-4</v>
      </c>
      <c r="AF24" s="51">
        <f t="shared" si="14"/>
        <v>6.0642012599551956E-4</v>
      </c>
    </row>
    <row r="25" spans="1:34" ht="15" x14ac:dyDescent="0.25">
      <c r="A25" s="38" t="s">
        <v>48</v>
      </c>
      <c r="B25" s="63"/>
      <c r="C25" s="37"/>
      <c r="D25" s="60"/>
      <c r="E25" s="59">
        <f t="shared" si="0"/>
        <v>0</v>
      </c>
      <c r="F25" s="62">
        <v>75600</v>
      </c>
      <c r="G25" s="60">
        <f t="shared" si="1"/>
        <v>75600</v>
      </c>
      <c r="H25" s="59">
        <f t="shared" si="2"/>
        <v>8.4145852811539999E-3</v>
      </c>
      <c r="I25" s="61">
        <v>128000</v>
      </c>
      <c r="J25" s="60">
        <f>I25/$I$5*$J$5</f>
        <v>128000.00000000001</v>
      </c>
      <c r="K25" s="59">
        <f t="shared" si="3"/>
        <v>2.5899921086177943E-2</v>
      </c>
      <c r="L25" s="61">
        <v>205100</v>
      </c>
      <c r="M25" s="60">
        <f>L25/$L$5*$M$5</f>
        <v>243415.38461538462</v>
      </c>
      <c r="N25" s="59">
        <f t="shared" si="4"/>
        <v>4.267404602388581E-2</v>
      </c>
      <c r="O25" s="58"/>
      <c r="P25" s="38" t="s">
        <v>48</v>
      </c>
      <c r="Q25" s="475">
        <f>'GTL and CTL'!J30</f>
        <v>794</v>
      </c>
      <c r="R25" s="57"/>
      <c r="S25" s="478">
        <f>'GTL and CTL'!L19</f>
        <v>26700</v>
      </c>
      <c r="T25" s="56"/>
      <c r="U25" s="55"/>
      <c r="V25" s="54">
        <f t="shared" si="10"/>
        <v>203600</v>
      </c>
      <c r="W25" s="54">
        <f t="shared" si="11"/>
        <v>0</v>
      </c>
      <c r="X25" s="54">
        <f t="shared" si="5"/>
        <v>243415.38461538462</v>
      </c>
      <c r="Y25" s="53">
        <f t="shared" si="12"/>
        <v>161658.4</v>
      </c>
      <c r="Z25" s="53">
        <f t="shared" si="6"/>
        <v>0</v>
      </c>
      <c r="AA25" s="53">
        <f t="shared" si="6"/>
        <v>193271.81538461539</v>
      </c>
      <c r="AB25" s="52">
        <f>Y25*S25/10^9</f>
        <v>4.3162792799999998</v>
      </c>
      <c r="AC25" s="51"/>
      <c r="AD25" s="50">
        <f t="shared" si="7"/>
        <v>5160.3574707692305</v>
      </c>
      <c r="AE25" s="51">
        <f t="shared" si="8"/>
        <v>8.487604953802891E-6</v>
      </c>
      <c r="AF25" s="51">
        <f t="shared" si="14"/>
        <v>0</v>
      </c>
    </row>
    <row r="26" spans="1:34" x14ac:dyDescent="0.2">
      <c r="A26" s="6" t="s">
        <v>73</v>
      </c>
      <c r="C26" s="9">
        <f>SUM(C11:C25)</f>
        <v>4760800</v>
      </c>
      <c r="D26" s="9">
        <f>SUM(D11:D25)</f>
        <v>4760800</v>
      </c>
      <c r="E26" s="10"/>
      <c r="F26" s="9">
        <f>SUM(F11:F25)</f>
        <v>8984400</v>
      </c>
      <c r="G26" s="9">
        <f>SUM(G11:G25)</f>
        <v>8984400</v>
      </c>
      <c r="H26" s="48"/>
      <c r="I26" s="49"/>
      <c r="J26" s="9">
        <f>SUM(J11:J25)</f>
        <v>4942100</v>
      </c>
      <c r="K26" s="48"/>
      <c r="L26" s="9">
        <f>SUM(L11:L25)</f>
        <v>4806200</v>
      </c>
      <c r="M26" s="9">
        <f>SUM(M11:M25)</f>
        <v>5704061.538461539</v>
      </c>
      <c r="N26" s="47"/>
      <c r="O26" s="46"/>
      <c r="V26" s="54">
        <f t="shared" si="10"/>
        <v>13926500</v>
      </c>
      <c r="W26" s="54">
        <f t="shared" si="11"/>
        <v>4760800</v>
      </c>
      <c r="X26" s="45"/>
      <c r="Y26" s="45">
        <f>SUM(Y11:Y25)</f>
        <v>11616185.74275782</v>
      </c>
      <c r="Z26" s="45"/>
      <c r="AA26" s="45">
        <f>SUM(AA11:AA25)</f>
        <v>4653715.1554303439</v>
      </c>
      <c r="AB26" s="45">
        <f>SUM(AB11:AB25)</f>
        <v>508539.13483167958</v>
      </c>
      <c r="AC26" s="45">
        <f>SUM(AC11:AC25)</f>
        <v>175809.94665204713</v>
      </c>
      <c r="AD26" s="45">
        <f>SUM(AD11:AD25)</f>
        <v>208601.25334708986</v>
      </c>
    </row>
    <row r="27" spans="1:34" x14ac:dyDescent="0.2">
      <c r="C27" s="9"/>
      <c r="D27" s="44">
        <f>D26/C4</f>
        <v>0.95560016057808106</v>
      </c>
      <c r="E27" s="10"/>
      <c r="G27" s="44">
        <f>G26/F4</f>
        <v>0.96306142137420947</v>
      </c>
      <c r="J27" s="44">
        <f>J26/I4</f>
        <v>0.93458774583963689</v>
      </c>
      <c r="M27" s="44">
        <f>M26/L4</f>
        <v>1.1319828415283864</v>
      </c>
    </row>
    <row r="28" spans="1:34" x14ac:dyDescent="0.2">
      <c r="A28" s="43" t="s">
        <v>72</v>
      </c>
      <c r="C28" s="9"/>
      <c r="D28" s="9"/>
      <c r="E28" s="10"/>
      <c r="M28" s="11"/>
      <c r="AB28" s="6" t="s">
        <v>499</v>
      </c>
      <c r="AC28" s="73">
        <f>SUM(AB14:AD14)</f>
        <v>302177.90481268684</v>
      </c>
      <c r="AD28" s="73">
        <f>'GTL and CTL'!S18+'GTL and CTL'!T18</f>
        <v>72796.008645973532</v>
      </c>
      <c r="AE28" s="73">
        <f>AD28+AC28</f>
        <v>374973.91345866036</v>
      </c>
    </row>
    <row r="29" spans="1:34" x14ac:dyDescent="0.2">
      <c r="A29" s="6" t="s">
        <v>71</v>
      </c>
      <c r="C29" s="9"/>
      <c r="D29" s="9"/>
      <c r="E29" s="10"/>
      <c r="J29" s="11">
        <f>30*I8</f>
        <v>9510</v>
      </c>
      <c r="K29" s="10">
        <f>J29*S16/1000000</f>
        <v>457.88747999999998</v>
      </c>
      <c r="L29" s="9">
        <f>J29*AB16/Y16</f>
        <v>0</v>
      </c>
      <c r="M29" s="11"/>
      <c r="AB29" s="6" t="s">
        <v>497</v>
      </c>
      <c r="AC29" s="73">
        <f>SUM(AB20:AD23)</f>
        <v>261022.01068912089</v>
      </c>
      <c r="AD29" s="73">
        <f>SUM('GTL and CTL'!S25:T28)</f>
        <v>156530.62788000001</v>
      </c>
      <c r="AE29" s="73">
        <f>AD29+AC29</f>
        <v>417552.6385691209</v>
      </c>
    </row>
    <row r="30" spans="1:34" ht="25.5" customHeight="1" x14ac:dyDescent="0.2">
      <c r="A30" s="6" t="s">
        <v>70</v>
      </c>
      <c r="C30" s="9"/>
      <c r="D30" s="9"/>
      <c r="E30" s="10"/>
      <c r="M30" s="11"/>
      <c r="Q30" s="6" t="s">
        <v>69</v>
      </c>
      <c r="R30" s="6" t="s">
        <v>68</v>
      </c>
    </row>
    <row r="31" spans="1:34" ht="25.5" customHeight="1" x14ac:dyDescent="0.2">
      <c r="A31" s="6" t="s">
        <v>67</v>
      </c>
      <c r="C31" s="9"/>
      <c r="D31" s="9"/>
      <c r="E31" s="10"/>
      <c r="M31" s="11"/>
      <c r="P31" s="42" t="s">
        <v>66</v>
      </c>
      <c r="Q31" s="36">
        <f t="shared" ref="Q31:Q43" si="16">Q11*S11</f>
        <v>32129842.799999997</v>
      </c>
      <c r="S31" s="36">
        <f t="shared" ref="S31:S45" si="17">Q31*R31/1000000000</f>
        <v>0</v>
      </c>
      <c r="X31" s="6">
        <v>5560968</v>
      </c>
    </row>
    <row r="32" spans="1:34" ht="25.5" customHeight="1" x14ac:dyDescent="0.2">
      <c r="A32" s="6" t="s">
        <v>65</v>
      </c>
      <c r="C32" s="9"/>
      <c r="D32" s="9"/>
      <c r="E32" s="10"/>
      <c r="M32" s="11"/>
      <c r="P32" s="40" t="s">
        <v>64</v>
      </c>
      <c r="Q32" s="36">
        <f t="shared" si="16"/>
        <v>40723547.600000001</v>
      </c>
      <c r="R32" s="39">
        <v>43800</v>
      </c>
      <c r="S32" s="36">
        <f t="shared" si="17"/>
        <v>1783.69138488</v>
      </c>
      <c r="X32" s="36">
        <f>X31*AVERAGE(Q31:Q43)/1000000000</f>
        <v>193596.59566519497</v>
      </c>
    </row>
    <row r="33" spans="1:24" ht="25.5" customHeight="1" x14ac:dyDescent="0.2">
      <c r="A33" s="6" t="s">
        <v>63</v>
      </c>
      <c r="C33" s="9"/>
      <c r="D33" s="9"/>
      <c r="E33" s="10"/>
      <c r="M33" s="11"/>
      <c r="P33" s="40" t="s">
        <v>62</v>
      </c>
      <c r="Q33" s="36">
        <f t="shared" si="16"/>
        <v>32315744</v>
      </c>
      <c r="R33" s="39">
        <v>47800</v>
      </c>
      <c r="S33" s="36">
        <f t="shared" si="17"/>
        <v>1544.6925632</v>
      </c>
      <c r="X33" s="6">
        <v>4982000</v>
      </c>
    </row>
    <row r="34" spans="1:24" ht="25.5" customHeight="1" x14ac:dyDescent="0.2">
      <c r="A34" s="6" t="s">
        <v>61</v>
      </c>
      <c r="C34" s="9"/>
      <c r="D34" s="9"/>
      <c r="E34" s="10"/>
      <c r="M34" s="11"/>
      <c r="P34" s="40" t="s">
        <v>60</v>
      </c>
      <c r="Q34" s="36">
        <f t="shared" si="16"/>
        <v>41139309.774497613</v>
      </c>
      <c r="R34" s="39">
        <v>1488600</v>
      </c>
      <c r="S34" s="36">
        <f t="shared" si="17"/>
        <v>61239.976530317152</v>
      </c>
      <c r="X34" s="36">
        <f>X33*AVERAGE(Q31:Q43)/1000000000</f>
        <v>173440.71025116515</v>
      </c>
    </row>
    <row r="35" spans="1:24" ht="25.5" customHeight="1" x14ac:dyDescent="0.2">
      <c r="A35" s="6" t="s">
        <v>59</v>
      </c>
      <c r="C35" s="9"/>
      <c r="D35" s="9"/>
      <c r="E35" s="10"/>
      <c r="M35" s="11"/>
      <c r="P35" s="40" t="s">
        <v>58</v>
      </c>
      <c r="Q35" s="36">
        <f t="shared" si="16"/>
        <v>38082867.5</v>
      </c>
      <c r="R35" s="39">
        <v>920700</v>
      </c>
      <c r="S35" s="36">
        <f t="shared" si="17"/>
        <v>35062.896107250002</v>
      </c>
    </row>
    <row r="36" spans="1:24" ht="25.5" customHeight="1" x14ac:dyDescent="0.2">
      <c r="C36" s="9"/>
      <c r="D36" s="9"/>
      <c r="E36" s="10"/>
      <c r="M36" s="11"/>
      <c r="P36" s="40" t="s">
        <v>57</v>
      </c>
      <c r="Q36" s="36">
        <f t="shared" si="16"/>
        <v>33453230.399999999</v>
      </c>
      <c r="R36" s="39">
        <v>37900</v>
      </c>
      <c r="S36" s="36">
        <f t="shared" si="17"/>
        <v>1267.8774321599999</v>
      </c>
    </row>
    <row r="37" spans="1:24" ht="25.5" customHeight="1" x14ac:dyDescent="0.2">
      <c r="C37" s="9"/>
      <c r="D37" s="9"/>
      <c r="E37" s="10"/>
      <c r="M37" s="11"/>
      <c r="P37" s="40" t="s">
        <v>56</v>
      </c>
      <c r="Q37" s="36">
        <f t="shared" si="16"/>
        <v>35538230</v>
      </c>
      <c r="R37" s="39">
        <v>611800</v>
      </c>
      <c r="S37" s="36">
        <f t="shared" si="17"/>
        <v>21742.289113999999</v>
      </c>
    </row>
    <row r="38" spans="1:24" ht="25.5" customHeight="1" x14ac:dyDescent="0.2">
      <c r="C38" s="9"/>
      <c r="D38" s="9"/>
      <c r="E38" s="10"/>
      <c r="M38" s="11"/>
      <c r="P38" s="40" t="s">
        <v>55</v>
      </c>
      <c r="Q38" s="36">
        <f t="shared" si="16"/>
        <v>26588782</v>
      </c>
      <c r="R38" s="39">
        <v>83200</v>
      </c>
      <c r="S38" s="36">
        <f t="shared" si="17"/>
        <v>2212.1866623999999</v>
      </c>
    </row>
    <row r="39" spans="1:24" x14ac:dyDescent="0.2">
      <c r="C39" s="9"/>
      <c r="D39" s="9"/>
      <c r="E39" s="10"/>
      <c r="M39" s="11"/>
      <c r="P39" s="40" t="s">
        <v>54</v>
      </c>
      <c r="Q39" s="36">
        <f t="shared" si="16"/>
        <v>35811963</v>
      </c>
      <c r="R39" s="41"/>
      <c r="S39" s="36">
        <f t="shared" si="17"/>
        <v>0</v>
      </c>
    </row>
    <row r="40" spans="1:24" ht="14.25" x14ac:dyDescent="0.2">
      <c r="C40" s="9"/>
      <c r="D40" s="9"/>
      <c r="E40" s="10"/>
      <c r="M40" s="11"/>
      <c r="P40" s="40" t="s">
        <v>53</v>
      </c>
      <c r="Q40" s="36">
        <f t="shared" si="16"/>
        <v>34197900</v>
      </c>
      <c r="R40" s="39"/>
      <c r="S40" s="36">
        <f t="shared" si="17"/>
        <v>0</v>
      </c>
    </row>
    <row r="41" spans="1:24" ht="14.25" x14ac:dyDescent="0.2">
      <c r="C41" s="9"/>
      <c r="D41" s="9"/>
      <c r="E41" s="10"/>
      <c r="M41" s="11"/>
      <c r="P41" s="40" t="s">
        <v>52</v>
      </c>
      <c r="Q41" s="36">
        <f t="shared" si="16"/>
        <v>34197900</v>
      </c>
      <c r="R41" s="39">
        <v>250100</v>
      </c>
      <c r="S41" s="36">
        <f t="shared" si="17"/>
        <v>8552.8947900000003</v>
      </c>
    </row>
    <row r="42" spans="1:24" ht="14.25" x14ac:dyDescent="0.2">
      <c r="C42" s="9"/>
      <c r="D42" s="9"/>
      <c r="E42" s="10"/>
      <c r="M42" s="11"/>
      <c r="P42" s="40" t="s">
        <v>51</v>
      </c>
      <c r="Q42" s="36">
        <f t="shared" si="16"/>
        <v>34197900</v>
      </c>
      <c r="R42" s="39">
        <v>133000</v>
      </c>
      <c r="S42" s="36">
        <f t="shared" si="17"/>
        <v>4548.3207000000002</v>
      </c>
    </row>
    <row r="43" spans="1:24" ht="14.25" x14ac:dyDescent="0.2">
      <c r="C43" s="9"/>
      <c r="D43" s="9"/>
      <c r="E43" s="10"/>
      <c r="M43" s="11"/>
      <c r="P43" s="40" t="s">
        <v>50</v>
      </c>
      <c r="Q43" s="36">
        <f t="shared" si="16"/>
        <v>34197900</v>
      </c>
      <c r="R43" s="39">
        <v>1140900</v>
      </c>
      <c r="S43" s="36">
        <f t="shared" si="17"/>
        <v>39016.384109999999</v>
      </c>
    </row>
    <row r="44" spans="1:24" x14ac:dyDescent="0.2">
      <c r="C44" s="9"/>
      <c r="D44" s="9"/>
      <c r="E44" s="10"/>
      <c r="M44" s="11"/>
      <c r="P44" s="40" t="s">
        <v>49</v>
      </c>
      <c r="Q44" s="36"/>
      <c r="R44" s="39">
        <v>3000</v>
      </c>
      <c r="S44" s="36">
        <f t="shared" si="17"/>
        <v>0</v>
      </c>
    </row>
    <row r="45" spans="1:24" x14ac:dyDescent="0.2">
      <c r="C45" s="9"/>
      <c r="D45" s="9"/>
      <c r="E45" s="10"/>
      <c r="M45" s="11"/>
      <c r="P45" s="38" t="s">
        <v>48</v>
      </c>
      <c r="Q45" s="36"/>
      <c r="R45" s="37"/>
      <c r="S45" s="36">
        <f t="shared" si="17"/>
        <v>0</v>
      </c>
    </row>
    <row r="46" spans="1:24" x14ac:dyDescent="0.2">
      <c r="Q46" s="36"/>
    </row>
    <row r="47" spans="1:24" x14ac:dyDescent="0.2">
      <c r="D47" s="6" t="s">
        <v>47</v>
      </c>
      <c r="E47" s="31" t="s">
        <v>46</v>
      </c>
      <c r="R47" s="6" t="s">
        <v>45</v>
      </c>
      <c r="S47" s="35">
        <f>SUM(S31:S46)</f>
        <v>176971.20939420717</v>
      </c>
      <c r="T47" s="6" t="s">
        <v>39</v>
      </c>
    </row>
    <row r="48" spans="1:24" x14ac:dyDescent="0.2">
      <c r="D48" s="34" t="s">
        <v>44</v>
      </c>
    </row>
    <row r="49" spans="3:22" x14ac:dyDescent="0.2">
      <c r="D49" s="6" t="s">
        <v>43</v>
      </c>
    </row>
    <row r="50" spans="3:22" x14ac:dyDescent="0.2">
      <c r="E50" s="7">
        <v>2019</v>
      </c>
      <c r="F50" s="22">
        <v>2020</v>
      </c>
      <c r="G50" s="22">
        <v>2021</v>
      </c>
      <c r="H50" s="21">
        <v>2022</v>
      </c>
      <c r="I50" s="21">
        <v>2023</v>
      </c>
      <c r="J50" s="33">
        <v>2025</v>
      </c>
      <c r="K50" s="32">
        <v>2030</v>
      </c>
      <c r="L50" s="31">
        <v>2035</v>
      </c>
      <c r="M50" s="24">
        <v>2040</v>
      </c>
      <c r="S50" s="6">
        <v>85611</v>
      </c>
      <c r="T50" s="6" t="s">
        <v>42</v>
      </c>
    </row>
    <row r="51" spans="3:22" x14ac:dyDescent="0.2">
      <c r="C51" s="26">
        <f>E51/$E$55</f>
        <v>0.19120458891013384</v>
      </c>
      <c r="D51" s="6" t="str">
        <f>C2</f>
        <v>CHEVREF</v>
      </c>
      <c r="E51" s="10">
        <v>100000</v>
      </c>
      <c r="F51" s="25">
        <v>0</v>
      </c>
      <c r="G51" s="25">
        <v>0</v>
      </c>
      <c r="H51" s="24">
        <v>0</v>
      </c>
      <c r="I51" s="24">
        <f>E51</f>
        <v>100000</v>
      </c>
      <c r="J51" s="24">
        <f>I51</f>
        <v>100000</v>
      </c>
      <c r="K51" s="24">
        <f>E51</f>
        <v>100000</v>
      </c>
      <c r="L51" s="24">
        <f>K51</f>
        <v>100000</v>
      </c>
      <c r="M51" s="24">
        <f>L51</f>
        <v>100000</v>
      </c>
      <c r="S51" s="30">
        <v>7.33</v>
      </c>
      <c r="T51" s="29" t="s">
        <v>41</v>
      </c>
    </row>
    <row r="52" spans="3:22" ht="13.5" thickBot="1" x14ac:dyDescent="0.25">
      <c r="C52" s="26">
        <f>E52/$E$55</f>
        <v>0.34416826003824091</v>
      </c>
      <c r="D52" s="9" t="str">
        <f>F2</f>
        <v>SAPREF</v>
      </c>
      <c r="E52" s="10">
        <v>180000</v>
      </c>
      <c r="F52" s="25">
        <f>E52</f>
        <v>180000</v>
      </c>
      <c r="G52" s="25">
        <f>F52</f>
        <v>180000</v>
      </c>
      <c r="H52" s="24">
        <v>0</v>
      </c>
      <c r="I52" s="24">
        <f>H52</f>
        <v>0</v>
      </c>
      <c r="J52" s="24">
        <f>I52</f>
        <v>0</v>
      </c>
      <c r="K52" s="24">
        <f>J52</f>
        <v>0</v>
      </c>
      <c r="L52" s="24">
        <f>K52</f>
        <v>0</v>
      </c>
      <c r="M52" s="24">
        <f>L52</f>
        <v>0</v>
      </c>
      <c r="S52" s="28">
        <f>41.9/1000</f>
        <v>4.19E-2</v>
      </c>
      <c r="T52" s="27" t="s">
        <v>40</v>
      </c>
      <c r="V52" s="6">
        <f>S52/S51</f>
        <v>5.7162346521145973E-3</v>
      </c>
    </row>
    <row r="53" spans="3:22" x14ac:dyDescent="0.2">
      <c r="C53" s="26">
        <f>E53/$E$55</f>
        <v>0.25812619502868067</v>
      </c>
      <c r="D53" s="9" t="str">
        <f>I2</f>
        <v>ENREF</v>
      </c>
      <c r="E53" s="10">
        <v>135000</v>
      </c>
      <c r="F53" s="25">
        <f>E53</f>
        <v>135000</v>
      </c>
      <c r="G53" s="25">
        <v>0</v>
      </c>
      <c r="H53" s="24">
        <v>0</v>
      </c>
      <c r="I53" s="24">
        <f>G53</f>
        <v>0</v>
      </c>
      <c r="J53" s="24">
        <v>0</v>
      </c>
      <c r="K53" s="24">
        <f>J53</f>
        <v>0</v>
      </c>
      <c r="L53" s="24">
        <v>0</v>
      </c>
      <c r="M53" s="24">
        <v>0</v>
      </c>
    </row>
    <row r="54" spans="3:22" x14ac:dyDescent="0.2">
      <c r="C54" s="26">
        <f>E54/$E$55</f>
        <v>0.20650095602294455</v>
      </c>
      <c r="D54" s="9" t="str">
        <f>L2</f>
        <v>NATREF</v>
      </c>
      <c r="E54" s="10">
        <v>108000</v>
      </c>
      <c r="F54" s="25">
        <v>0</v>
      </c>
      <c r="G54" s="25">
        <f>E54</f>
        <v>108000</v>
      </c>
      <c r="H54" s="24">
        <f>E54</f>
        <v>108000</v>
      </c>
      <c r="I54" s="24">
        <f>H54</f>
        <v>108000</v>
      </c>
      <c r="J54" s="24">
        <f>H54</f>
        <v>108000</v>
      </c>
      <c r="K54" s="24">
        <f>J54</f>
        <v>108000</v>
      </c>
      <c r="L54" s="24">
        <f>K54</f>
        <v>108000</v>
      </c>
      <c r="M54" s="24">
        <f>L54</f>
        <v>108000</v>
      </c>
      <c r="S54" s="6">
        <f>S50/S51*S52*365</f>
        <v>178620.98615279672</v>
      </c>
      <c r="T54" s="6" t="s">
        <v>39</v>
      </c>
    </row>
    <row r="55" spans="3:22" x14ac:dyDescent="0.2">
      <c r="E55" s="10">
        <f t="shared" ref="E55:M55" si="18">SUM(E51:E54)</f>
        <v>523000</v>
      </c>
      <c r="F55" s="25">
        <f t="shared" si="18"/>
        <v>315000</v>
      </c>
      <c r="G55" s="25">
        <f t="shared" si="18"/>
        <v>288000</v>
      </c>
      <c r="H55" s="24">
        <f t="shared" si="18"/>
        <v>108000</v>
      </c>
      <c r="I55" s="24">
        <f t="shared" si="18"/>
        <v>208000</v>
      </c>
      <c r="J55" s="24">
        <f t="shared" si="18"/>
        <v>208000</v>
      </c>
      <c r="K55" s="24">
        <f t="shared" si="18"/>
        <v>208000</v>
      </c>
      <c r="L55" s="24">
        <f t="shared" si="18"/>
        <v>208000</v>
      </c>
      <c r="M55" s="24">
        <f t="shared" si="18"/>
        <v>208000</v>
      </c>
      <c r="S55" s="23">
        <f>S54*365</f>
        <v>65196659.9457708</v>
      </c>
    </row>
    <row r="56" spans="3:22" x14ac:dyDescent="0.2">
      <c r="E56" s="7">
        <f t="shared" ref="E56:M56" si="19">E55/$E$55</f>
        <v>1</v>
      </c>
      <c r="F56" s="22">
        <f t="shared" si="19"/>
        <v>0.60229445506692159</v>
      </c>
      <c r="G56" s="22">
        <f t="shared" si="19"/>
        <v>0.55066921606118546</v>
      </c>
      <c r="H56" s="21">
        <f t="shared" si="19"/>
        <v>0.20650095602294455</v>
      </c>
      <c r="I56" s="21">
        <f t="shared" si="19"/>
        <v>0.39770554493307841</v>
      </c>
      <c r="J56" s="21">
        <f t="shared" si="19"/>
        <v>0.39770554493307841</v>
      </c>
      <c r="K56" s="21">
        <f t="shared" si="19"/>
        <v>0.39770554493307841</v>
      </c>
      <c r="L56" s="21">
        <f t="shared" si="19"/>
        <v>0.39770554493307841</v>
      </c>
      <c r="M56" s="21">
        <f t="shared" si="19"/>
        <v>0.39770554493307841</v>
      </c>
    </row>
    <row r="57" spans="3:22" x14ac:dyDescent="0.2">
      <c r="D57" s="6" t="s">
        <v>851</v>
      </c>
    </row>
    <row r="59" spans="3:22" x14ac:dyDescent="0.2">
      <c r="D59" s="6" t="s">
        <v>38</v>
      </c>
    </row>
    <row r="60" spans="3:22" ht="15" x14ac:dyDescent="0.25">
      <c r="D60" s="20" t="s">
        <v>37</v>
      </c>
      <c r="E60"/>
      <c r="F60"/>
      <c r="G60"/>
      <c r="H60"/>
      <c r="I60"/>
      <c r="J60"/>
      <c r="K60"/>
      <c r="L60"/>
      <c r="M60" s="19" t="s">
        <v>36</v>
      </c>
      <c r="N60" s="16">
        <v>14</v>
      </c>
    </row>
    <row r="61" spans="3:22" ht="15" x14ac:dyDescent="0.25">
      <c r="D61"/>
      <c r="E61"/>
      <c r="F61" s="20" t="s">
        <v>35</v>
      </c>
      <c r="G61" s="20"/>
      <c r="H61" s="20" t="s">
        <v>34</v>
      </c>
      <c r="I61" s="20" t="s">
        <v>33</v>
      </c>
      <c r="J61" s="20" t="s">
        <v>32</v>
      </c>
      <c r="K61"/>
      <c r="L61" s="20"/>
      <c r="M61"/>
      <c r="N61"/>
    </row>
    <row r="62" spans="3:22" ht="15" x14ac:dyDescent="0.25">
      <c r="D62"/>
      <c r="E62"/>
      <c r="F62" s="20" t="s">
        <v>31</v>
      </c>
      <c r="G62" s="20" t="s">
        <v>30</v>
      </c>
      <c r="H62" s="20" t="s">
        <v>29</v>
      </c>
      <c r="I62" s="20" t="s">
        <v>28</v>
      </c>
      <c r="J62" s="20" t="s">
        <v>27</v>
      </c>
      <c r="K62" s="495" t="s">
        <v>26</v>
      </c>
      <c r="L62" s="495"/>
      <c r="M62" s="495"/>
      <c r="N62"/>
    </row>
    <row r="63" spans="3:22" ht="15" x14ac:dyDescent="0.25">
      <c r="D63"/>
      <c r="E63"/>
      <c r="F63" s="18" t="s">
        <v>25</v>
      </c>
      <c r="G63"/>
      <c r="H63"/>
      <c r="I63" s="18" t="s">
        <v>24</v>
      </c>
      <c r="J63" t="s">
        <v>23</v>
      </c>
      <c r="K63" t="s">
        <v>22</v>
      </c>
      <c r="L63" t="s">
        <v>21</v>
      </c>
      <c r="M63" t="s">
        <v>20</v>
      </c>
      <c r="N63"/>
    </row>
    <row r="64" spans="3:22" ht="15" x14ac:dyDescent="0.25">
      <c r="D64"/>
      <c r="E64" t="s">
        <v>19</v>
      </c>
      <c r="F64" s="16">
        <v>100</v>
      </c>
      <c r="G64" s="17">
        <v>0.88</v>
      </c>
      <c r="H64" s="16">
        <v>88</v>
      </c>
      <c r="I64" s="16"/>
      <c r="J64" s="16">
        <v>5</v>
      </c>
      <c r="K64" s="16">
        <v>440</v>
      </c>
      <c r="L64" s="15">
        <v>160.6</v>
      </c>
      <c r="M64" s="14">
        <v>2248.4</v>
      </c>
      <c r="N64"/>
    </row>
    <row r="65" spans="4:14" ht="15" x14ac:dyDescent="0.25">
      <c r="E65" t="s">
        <v>18</v>
      </c>
      <c r="F65" s="16">
        <v>120</v>
      </c>
      <c r="G65" s="17">
        <v>0.85</v>
      </c>
      <c r="H65" s="16">
        <v>102</v>
      </c>
      <c r="I65" s="16"/>
      <c r="J65" s="16">
        <v>5</v>
      </c>
      <c r="K65" s="16">
        <v>510</v>
      </c>
      <c r="L65" s="15">
        <v>186.15</v>
      </c>
      <c r="M65" s="14">
        <v>2606.1</v>
      </c>
      <c r="N65"/>
    </row>
    <row r="66" spans="4:14" ht="15" x14ac:dyDescent="0.25">
      <c r="D66"/>
      <c r="E66" t="s">
        <v>17</v>
      </c>
      <c r="F66" s="16">
        <v>105</v>
      </c>
      <c r="G66" s="17">
        <v>0.88</v>
      </c>
      <c r="H66" s="16">
        <v>92.4</v>
      </c>
      <c r="I66" s="16"/>
      <c r="J66" s="16">
        <v>8</v>
      </c>
      <c r="K66" s="16">
        <v>739.2</v>
      </c>
      <c r="L66" s="15">
        <v>269.80799999999999</v>
      </c>
      <c r="M66" s="14">
        <v>3777.3119999999999</v>
      </c>
      <c r="N66"/>
    </row>
    <row r="67" spans="4:14" ht="15" x14ac:dyDescent="0.25">
      <c r="D67"/>
      <c r="E67" t="s">
        <v>16</v>
      </c>
      <c r="F67" s="16">
        <v>180</v>
      </c>
      <c r="G67" s="17">
        <v>0.88</v>
      </c>
      <c r="H67" s="16">
        <v>158.4</v>
      </c>
      <c r="I67" s="16"/>
      <c r="J67" s="16">
        <v>5</v>
      </c>
      <c r="K67" s="16">
        <v>792</v>
      </c>
      <c r="L67" s="15">
        <v>289.08</v>
      </c>
      <c r="M67" s="14">
        <v>4047.12</v>
      </c>
      <c r="N67"/>
    </row>
    <row r="68" spans="4:14" ht="15" x14ac:dyDescent="0.25">
      <c r="D68"/>
      <c r="E68" t="s">
        <v>15</v>
      </c>
      <c r="F68" s="16">
        <v>100</v>
      </c>
      <c r="G68" s="17">
        <v>1</v>
      </c>
      <c r="H68" s="16"/>
      <c r="I68" s="16">
        <v>100</v>
      </c>
      <c r="J68" s="16">
        <v>60</v>
      </c>
      <c r="K68" s="16">
        <v>6000</v>
      </c>
      <c r="L68" s="15">
        <v>2190</v>
      </c>
      <c r="M68" s="14">
        <v>30660</v>
      </c>
      <c r="N68" t="s">
        <v>14</v>
      </c>
    </row>
    <row r="69" spans="4:14" ht="15" x14ac:dyDescent="0.25">
      <c r="D69"/>
      <c r="E69" t="s">
        <v>13</v>
      </c>
      <c r="F69" s="15">
        <v>10.666666666666666</v>
      </c>
      <c r="G69" s="17">
        <v>1</v>
      </c>
      <c r="H69" s="16"/>
      <c r="I69" s="15">
        <v>10.666666666666666</v>
      </c>
      <c r="J69" s="16">
        <v>0</v>
      </c>
      <c r="K69" s="16"/>
      <c r="L69" s="15">
        <v>0</v>
      </c>
      <c r="M69" s="14">
        <v>0</v>
      </c>
      <c r="N69" t="s">
        <v>12</v>
      </c>
    </row>
    <row r="70" spans="4:14" x14ac:dyDescent="0.2">
      <c r="F70" s="13">
        <f>SUM(F64:F67)</f>
        <v>505</v>
      </c>
    </row>
    <row r="72" spans="4:14" x14ac:dyDescent="0.2">
      <c r="H72" s="10" t="s">
        <v>11</v>
      </c>
      <c r="I72" s="10" t="s">
        <v>10</v>
      </c>
    </row>
    <row r="73" spans="4:14" x14ac:dyDescent="0.2">
      <c r="H73" s="10">
        <f>H67+H65</f>
        <v>260.39999999999998</v>
      </c>
      <c r="I73" s="10">
        <f>RefineriesData!F281</f>
        <v>556.85035264068915</v>
      </c>
    </row>
    <row r="74" spans="4:14" x14ac:dyDescent="0.2">
      <c r="E74" s="7" t="s">
        <v>9</v>
      </c>
      <c r="H74" s="12">
        <f>H65/H73</f>
        <v>0.39170506912442399</v>
      </c>
      <c r="I74" s="10">
        <f>H74*I73</f>
        <v>218.12110587308101</v>
      </c>
    </row>
    <row r="75" spans="4:14" x14ac:dyDescent="0.2">
      <c r="E75" s="7" t="s">
        <v>8</v>
      </c>
      <c r="H75" s="12">
        <f>H67/H73</f>
        <v>0.60829493087557607</v>
      </c>
      <c r="I75" s="10">
        <f>H75*I73</f>
        <v>338.72924676760817</v>
      </c>
    </row>
    <row r="76" spans="4:14" x14ac:dyDescent="0.2">
      <c r="I76" s="10"/>
    </row>
  </sheetData>
  <mergeCells count="19">
    <mergeCell ref="K62:M62"/>
    <mergeCell ref="C2:E2"/>
    <mergeCell ref="F2:H2"/>
    <mergeCell ref="I2:K2"/>
    <mergeCell ref="L2:N2"/>
    <mergeCell ref="A9:B10"/>
    <mergeCell ref="Z9:Z10"/>
    <mergeCell ref="AC9:AC10"/>
    <mergeCell ref="AF9:AF10"/>
    <mergeCell ref="Q9:Q10"/>
    <mergeCell ref="AD9:AD10"/>
    <mergeCell ref="S9:S10"/>
    <mergeCell ref="V9:V10"/>
    <mergeCell ref="X9:X10"/>
    <mergeCell ref="Y9:Y10"/>
    <mergeCell ref="AA9:AA10"/>
    <mergeCell ref="AB9:AB10"/>
    <mergeCell ref="AE9:AE10"/>
    <mergeCell ref="W9:W10"/>
  </mergeCells>
  <pageMargins left="0.75" right="0.75" top="1" bottom="1" header="0.5" footer="0.5"/>
  <pageSetup paperSize="9"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2FBA5-EBF5-4109-9B4C-C3A3013AFCAF}">
  <sheetPr codeName="Sheet3">
    <tabColor theme="9"/>
  </sheetPr>
  <dimension ref="A1:AK66"/>
  <sheetViews>
    <sheetView workbookViewId="0"/>
  </sheetViews>
  <sheetFormatPr defaultRowHeight="15" x14ac:dyDescent="0.25"/>
  <cols>
    <col min="7" max="7" width="9.5703125" bestFit="1" customWidth="1"/>
    <col min="9" max="9" width="15.5703125" customWidth="1"/>
    <col min="10" max="10" width="21" customWidth="1"/>
    <col min="11" max="11" width="11.5703125" customWidth="1"/>
  </cols>
  <sheetData>
    <row r="1" spans="1:14" x14ac:dyDescent="0.25">
      <c r="N1" t="s">
        <v>152</v>
      </c>
    </row>
    <row r="16" spans="1:14" x14ac:dyDescent="0.25">
      <c r="A16" t="s">
        <v>151</v>
      </c>
      <c r="B16" t="str">
        <f>"mZAR"&amp;$C$19</f>
        <v>mZAR2009</v>
      </c>
      <c r="C16" t="str">
        <f>"ZAR"&amp;$C$20</f>
        <v>ZAR2015</v>
      </c>
      <c r="K16" t="s">
        <v>150</v>
      </c>
    </row>
    <row r="17" spans="1:22" x14ac:dyDescent="0.25">
      <c r="A17" s="117">
        <v>3.7</v>
      </c>
      <c r="B17" s="117">
        <f>A17*$B$18*1000</f>
        <v>29600</v>
      </c>
      <c r="C17" s="121">
        <f>B17*B24</f>
        <v>41220.110704365674</v>
      </c>
      <c r="K17">
        <v>1000.5256730032611</v>
      </c>
    </row>
    <row r="18" spans="1:22" x14ac:dyDescent="0.25">
      <c r="A18" t="s">
        <v>149</v>
      </c>
      <c r="B18">
        <v>8</v>
      </c>
      <c r="H18" t="s">
        <v>148</v>
      </c>
      <c r="K18" s="20">
        <v>2006</v>
      </c>
      <c r="L18" s="20">
        <v>2025</v>
      </c>
    </row>
    <row r="19" spans="1:22" x14ac:dyDescent="0.25">
      <c r="A19" s="117" t="s">
        <v>147</v>
      </c>
      <c r="B19" s="117"/>
      <c r="C19" s="120">
        <v>2009</v>
      </c>
      <c r="D19" s="117" t="s">
        <v>141</v>
      </c>
      <c r="E19" s="117"/>
      <c r="F19" s="117"/>
      <c r="G19" s="117"/>
      <c r="H19" s="114">
        <v>0.03</v>
      </c>
      <c r="I19" t="s">
        <v>114</v>
      </c>
      <c r="J19" t="s">
        <v>116</v>
      </c>
      <c r="K19">
        <v>788.36588158938378</v>
      </c>
      <c r="L19">
        <v>0</v>
      </c>
      <c r="O19" s="20" t="s">
        <v>146</v>
      </c>
      <c r="Q19" s="106" t="s">
        <v>145</v>
      </c>
      <c r="R19" s="106">
        <v>8.1742858161615556E-2</v>
      </c>
      <c r="S19" s="106" t="s">
        <v>144</v>
      </c>
      <c r="T19">
        <v>50</v>
      </c>
      <c r="U19" t="s">
        <v>143</v>
      </c>
      <c r="V19" s="111"/>
    </row>
    <row r="20" spans="1:22" x14ac:dyDescent="0.25">
      <c r="A20" s="117" t="s">
        <v>142</v>
      </c>
      <c r="B20" s="117"/>
      <c r="C20" s="120">
        <v>2015</v>
      </c>
      <c r="D20" s="117" t="s">
        <v>141</v>
      </c>
      <c r="E20" s="117"/>
      <c r="H20" s="117"/>
      <c r="J20" t="s">
        <v>130</v>
      </c>
      <c r="K20">
        <v>0</v>
      </c>
      <c r="L20" s="116">
        <f>$C$17/$K$17</f>
        <v>41.19845378943247</v>
      </c>
      <c r="Q20" t="s">
        <v>140</v>
      </c>
      <c r="R20" t="s">
        <v>139</v>
      </c>
      <c r="S20" s="20" t="s">
        <v>129</v>
      </c>
      <c r="T20" t="s">
        <v>138</v>
      </c>
      <c r="U20" s="20" t="s">
        <v>137</v>
      </c>
    </row>
    <row r="21" spans="1:22" x14ac:dyDescent="0.25">
      <c r="C21" s="117"/>
      <c r="D21" s="117"/>
      <c r="E21" s="117"/>
      <c r="F21" s="117"/>
      <c r="G21" s="117"/>
      <c r="H21" s="117"/>
      <c r="J21" t="s">
        <v>124</v>
      </c>
      <c r="K21">
        <v>0</v>
      </c>
      <c r="L21" s="116">
        <f>$H$19*$L20</f>
        <v>1.2359536136829741</v>
      </c>
      <c r="O21">
        <v>1</v>
      </c>
      <c r="P21" t="s">
        <v>136</v>
      </c>
      <c r="Q21" s="106">
        <v>77.819316220058653</v>
      </c>
      <c r="R21" s="106">
        <v>14.860789614639822</v>
      </c>
      <c r="S21" s="106">
        <v>21.221962942649984</v>
      </c>
      <c r="T21">
        <v>4</v>
      </c>
      <c r="U21" s="119">
        <v>1.6918520442297563E-2</v>
      </c>
    </row>
    <row r="22" spans="1:22" x14ac:dyDescent="0.25">
      <c r="A22" s="117"/>
      <c r="D22" s="117"/>
      <c r="F22" s="117"/>
      <c r="H22" s="117"/>
      <c r="J22" t="s">
        <v>123</v>
      </c>
      <c r="L22">
        <v>0</v>
      </c>
      <c r="O22">
        <v>2</v>
      </c>
      <c r="P22" t="s">
        <v>135</v>
      </c>
      <c r="Q22" s="106">
        <v>102.73136356784289</v>
      </c>
      <c r="R22" s="106">
        <v>9.4089023003932599</v>
      </c>
      <c r="S22" s="106">
        <v>17.806457581268802</v>
      </c>
      <c r="T22" s="113">
        <v>6.3478260869565215</v>
      </c>
      <c r="U22" s="112">
        <v>2.6848956354080914E-2</v>
      </c>
    </row>
    <row r="23" spans="1:22" x14ac:dyDescent="0.25">
      <c r="A23" s="117" t="s">
        <v>134</v>
      </c>
      <c r="B23" s="117"/>
      <c r="C23" s="117"/>
      <c r="D23" s="117"/>
      <c r="E23" s="117"/>
      <c r="F23" s="117"/>
      <c r="G23" s="117"/>
      <c r="H23" s="117"/>
    </row>
    <row r="24" spans="1:22" x14ac:dyDescent="0.25">
      <c r="A24" s="117" t="s">
        <v>133</v>
      </c>
      <c r="B24" s="118">
        <v>1.3925713075799215</v>
      </c>
      <c r="C24" s="117"/>
      <c r="D24" s="117"/>
      <c r="E24" s="117"/>
      <c r="H24" s="115">
        <f>H19</f>
        <v>0.03</v>
      </c>
      <c r="I24" t="s">
        <v>117</v>
      </c>
      <c r="J24" t="s">
        <v>116</v>
      </c>
      <c r="K24">
        <v>212.15979141387726</v>
      </c>
      <c r="L24">
        <v>0</v>
      </c>
      <c r="O24" s="20" t="s">
        <v>126</v>
      </c>
      <c r="P24" t="str">
        <f>P21</f>
        <v>semi-dry CFB-FGD</v>
      </c>
      <c r="Q24">
        <f t="shared" ref="Q24:S25" si="0">zar.2010*Q21</f>
        <v>101.89741482890707</v>
      </c>
      <c r="R24">
        <f t="shared" si="0"/>
        <v>19.458871108118903</v>
      </c>
      <c r="S24" s="20">
        <f t="shared" si="0"/>
        <v>27.788257035513553</v>
      </c>
    </row>
    <row r="25" spans="1:22" x14ac:dyDescent="0.25">
      <c r="A25" s="117" t="s">
        <v>132</v>
      </c>
      <c r="B25" s="118">
        <v>0.71809608208706299</v>
      </c>
      <c r="C25" s="117"/>
      <c r="D25" s="117"/>
      <c r="E25" s="117"/>
      <c r="F25" s="117"/>
      <c r="G25" s="117"/>
      <c r="H25" s="117"/>
      <c r="J25" t="s">
        <v>130</v>
      </c>
      <c r="K25">
        <v>0</v>
      </c>
      <c r="L25" s="116">
        <f>$C$17/$K$17</f>
        <v>41.19845378943247</v>
      </c>
      <c r="P25" t="str">
        <f>P22</f>
        <v>WFGD</v>
      </c>
      <c r="Q25">
        <f t="shared" si="0"/>
        <v>134.51750642231315</v>
      </c>
      <c r="R25">
        <f t="shared" si="0"/>
        <v>12.320113660169955</v>
      </c>
      <c r="S25">
        <f t="shared" si="0"/>
        <v>23.315959107903311</v>
      </c>
    </row>
    <row r="26" spans="1:22" x14ac:dyDescent="0.25">
      <c r="J26" t="s">
        <v>124</v>
      </c>
      <c r="L26" s="116">
        <f>$H$19*$L25</f>
        <v>1.2359536136829741</v>
      </c>
    </row>
    <row r="27" spans="1:22" x14ac:dyDescent="0.25">
      <c r="J27" t="s">
        <v>123</v>
      </c>
      <c r="L27">
        <v>0</v>
      </c>
    </row>
    <row r="29" spans="1:22" x14ac:dyDescent="0.25">
      <c r="H29" s="115">
        <f>H19</f>
        <v>0.03</v>
      </c>
      <c r="I29" t="s">
        <v>131</v>
      </c>
      <c r="J29" t="s">
        <v>130</v>
      </c>
      <c r="L29" s="106">
        <f>UPS!Q94</f>
        <v>360.38200986736047</v>
      </c>
      <c r="S29" s="20" t="s">
        <v>129</v>
      </c>
    </row>
    <row r="30" spans="1:22" x14ac:dyDescent="0.25">
      <c r="J30" t="s">
        <v>124</v>
      </c>
      <c r="L30">
        <f>$H$19*L29</f>
        <v>10.811460296020813</v>
      </c>
      <c r="P30" t="s">
        <v>128</v>
      </c>
      <c r="R30" t="s">
        <v>127</v>
      </c>
      <c r="S30">
        <v>0.91917562558741583</v>
      </c>
    </row>
    <row r="31" spans="1:22" x14ac:dyDescent="0.25">
      <c r="J31" t="s">
        <v>123</v>
      </c>
      <c r="L31">
        <v>0</v>
      </c>
      <c r="R31" s="20" t="s">
        <v>126</v>
      </c>
      <c r="S31">
        <f>zar.2010*S30</f>
        <v>1.203578039111052</v>
      </c>
    </row>
    <row r="33" spans="1:37" x14ac:dyDescent="0.25">
      <c r="H33" s="114">
        <v>0.08</v>
      </c>
      <c r="I33" t="s">
        <v>125</v>
      </c>
      <c r="J33" t="s">
        <v>124</v>
      </c>
      <c r="L33" s="112">
        <f>UPS!Q82*H33</f>
        <v>64.512370944000011</v>
      </c>
    </row>
    <row r="34" spans="1:37" x14ac:dyDescent="0.25">
      <c r="J34" t="s">
        <v>123</v>
      </c>
      <c r="L34">
        <v>0</v>
      </c>
      <c r="M34" s="113"/>
    </row>
    <row r="35" spans="1:37" x14ac:dyDescent="0.25">
      <c r="J35" t="s">
        <v>122</v>
      </c>
      <c r="L35" s="112">
        <f>L33+S24+S31</f>
        <v>93.504206018624615</v>
      </c>
    </row>
    <row r="37" spans="1:37" x14ac:dyDescent="0.25">
      <c r="M37" s="106"/>
    </row>
    <row r="42" spans="1:37" x14ac:dyDescent="0.25">
      <c r="B42" s="6" t="s">
        <v>121</v>
      </c>
      <c r="D42" s="6"/>
      <c r="E42" s="6"/>
      <c r="F42" s="7"/>
      <c r="G42" s="9"/>
      <c r="H42" s="11"/>
      <c r="I42" s="10"/>
      <c r="J42" s="9"/>
      <c r="K42" s="11"/>
      <c r="L42" s="10"/>
      <c r="M42" s="9"/>
      <c r="N42" s="8"/>
      <c r="O42" s="7"/>
      <c r="P42" s="7"/>
      <c r="Q42" s="6"/>
      <c r="R42" s="6"/>
      <c r="S42" s="6"/>
      <c r="T42" s="6"/>
      <c r="U42" s="6"/>
      <c r="V42" s="6"/>
      <c r="W42" s="6"/>
      <c r="X42" s="6"/>
      <c r="Y42" s="6"/>
      <c r="Z42" s="6"/>
      <c r="AA42" s="6"/>
      <c r="AB42" s="6"/>
      <c r="AC42" s="6"/>
      <c r="AD42" s="6"/>
      <c r="AE42" s="6"/>
      <c r="AF42" s="6"/>
      <c r="AG42" s="6"/>
      <c r="AH42" s="6"/>
      <c r="AI42" s="6"/>
      <c r="AJ42" s="6"/>
      <c r="AK42" s="6"/>
    </row>
    <row r="43" spans="1:37" x14ac:dyDescent="0.25">
      <c r="A43" s="6"/>
      <c r="B43" s="6"/>
      <c r="C43" s="6"/>
      <c r="D43" s="6"/>
      <c r="E43" s="6">
        <v>2012</v>
      </c>
      <c r="F43" s="6">
        <v>2013</v>
      </c>
      <c r="G43" s="6">
        <v>2014</v>
      </c>
      <c r="H43" s="6">
        <v>2015</v>
      </c>
      <c r="I43" s="6">
        <v>2016</v>
      </c>
      <c r="J43" s="6">
        <v>2017</v>
      </c>
      <c r="K43" s="6">
        <v>2018</v>
      </c>
      <c r="L43" s="6">
        <v>2019</v>
      </c>
      <c r="M43" s="6">
        <v>2020</v>
      </c>
      <c r="N43" s="6">
        <v>2021</v>
      </c>
      <c r="O43" s="6">
        <v>2022</v>
      </c>
      <c r="P43" s="6">
        <v>2023</v>
      </c>
      <c r="Q43" s="6">
        <v>2024</v>
      </c>
      <c r="R43" s="6">
        <v>2025</v>
      </c>
      <c r="S43" s="6">
        <v>2026</v>
      </c>
      <c r="T43" s="6">
        <v>2027</v>
      </c>
      <c r="U43" s="6">
        <v>2028</v>
      </c>
      <c r="V43" s="6">
        <v>2029</v>
      </c>
      <c r="W43" s="6">
        <v>2030</v>
      </c>
      <c r="X43" s="6">
        <v>2031</v>
      </c>
      <c r="Y43" s="6">
        <v>2032</v>
      </c>
      <c r="Z43" s="6">
        <v>2033</v>
      </c>
      <c r="AA43" s="6">
        <v>2034</v>
      </c>
      <c r="AB43" s="6">
        <v>2035</v>
      </c>
      <c r="AC43" s="6">
        <v>2036</v>
      </c>
      <c r="AD43" s="6">
        <v>2037</v>
      </c>
      <c r="AE43" s="6">
        <v>2038</v>
      </c>
      <c r="AF43" s="6">
        <v>2039</v>
      </c>
      <c r="AG43" s="6">
        <v>2040</v>
      </c>
      <c r="AH43" s="6">
        <v>2045</v>
      </c>
      <c r="AI43" s="6">
        <v>2050</v>
      </c>
      <c r="AJ43" s="6">
        <v>2060</v>
      </c>
      <c r="AK43" s="6">
        <v>2070</v>
      </c>
    </row>
    <row r="44" spans="1:37" x14ac:dyDescent="0.25">
      <c r="A44" s="110"/>
      <c r="B44" s="108" t="s">
        <v>119</v>
      </c>
      <c r="C44" s="6" t="s">
        <v>120</v>
      </c>
      <c r="D44" s="6"/>
      <c r="E44" s="111">
        <f>RefineriesData!N172</f>
        <v>556.85035264068915</v>
      </c>
      <c r="F44" s="106">
        <f t="shared" ref="F44:AK44" si="1">E44</f>
        <v>556.85035264068915</v>
      </c>
      <c r="G44" s="106">
        <f t="shared" si="1"/>
        <v>556.85035264068915</v>
      </c>
      <c r="H44" s="106">
        <f t="shared" si="1"/>
        <v>556.85035264068915</v>
      </c>
      <c r="I44" s="106">
        <f t="shared" si="1"/>
        <v>556.85035264068915</v>
      </c>
      <c r="J44" s="106">
        <f t="shared" si="1"/>
        <v>556.85035264068915</v>
      </c>
      <c r="K44" s="106">
        <f t="shared" si="1"/>
        <v>556.85035264068915</v>
      </c>
      <c r="L44" s="106">
        <f t="shared" si="1"/>
        <v>556.85035264068915</v>
      </c>
      <c r="M44" s="106">
        <f t="shared" si="1"/>
        <v>556.85035264068915</v>
      </c>
      <c r="N44" s="106">
        <f t="shared" si="1"/>
        <v>556.85035264068915</v>
      </c>
      <c r="O44" s="106">
        <f t="shared" si="1"/>
        <v>556.85035264068915</v>
      </c>
      <c r="P44" s="106">
        <f t="shared" si="1"/>
        <v>556.85035264068915</v>
      </c>
      <c r="Q44" s="106">
        <f t="shared" si="1"/>
        <v>556.85035264068915</v>
      </c>
      <c r="R44" s="106">
        <f t="shared" si="1"/>
        <v>556.85035264068915</v>
      </c>
      <c r="S44" s="106">
        <f t="shared" si="1"/>
        <v>556.85035264068915</v>
      </c>
      <c r="T44" s="106">
        <f t="shared" si="1"/>
        <v>556.85035264068915</v>
      </c>
      <c r="U44" s="106">
        <f t="shared" si="1"/>
        <v>556.85035264068915</v>
      </c>
      <c r="V44" s="106">
        <f t="shared" si="1"/>
        <v>556.85035264068915</v>
      </c>
      <c r="W44" s="106">
        <f t="shared" si="1"/>
        <v>556.85035264068915</v>
      </c>
      <c r="X44" s="106">
        <f t="shared" si="1"/>
        <v>556.85035264068915</v>
      </c>
      <c r="Y44" s="106">
        <f t="shared" si="1"/>
        <v>556.85035264068915</v>
      </c>
      <c r="Z44" s="106">
        <f t="shared" si="1"/>
        <v>556.85035264068915</v>
      </c>
      <c r="AA44" s="106">
        <f t="shared" si="1"/>
        <v>556.85035264068915</v>
      </c>
      <c r="AB44" s="106">
        <f t="shared" si="1"/>
        <v>556.85035264068915</v>
      </c>
      <c r="AC44" s="106">
        <f t="shared" si="1"/>
        <v>556.85035264068915</v>
      </c>
      <c r="AD44" s="106">
        <f t="shared" si="1"/>
        <v>556.85035264068915</v>
      </c>
      <c r="AE44" s="106">
        <f t="shared" si="1"/>
        <v>556.85035264068915</v>
      </c>
      <c r="AF44" s="106">
        <f t="shared" si="1"/>
        <v>556.85035264068915</v>
      </c>
      <c r="AG44" s="106">
        <f t="shared" si="1"/>
        <v>556.85035264068915</v>
      </c>
      <c r="AH44" s="106">
        <f t="shared" si="1"/>
        <v>556.85035264068915</v>
      </c>
      <c r="AI44" s="106">
        <f t="shared" si="1"/>
        <v>556.85035264068915</v>
      </c>
      <c r="AJ44" s="106">
        <f t="shared" si="1"/>
        <v>556.85035264068915</v>
      </c>
      <c r="AK44" s="106">
        <f t="shared" si="1"/>
        <v>556.85035264068915</v>
      </c>
    </row>
    <row r="45" spans="1:37" x14ac:dyDescent="0.25">
      <c r="A45" s="6"/>
      <c r="B45" s="108" t="s">
        <v>119</v>
      </c>
      <c r="C45" s="6" t="s">
        <v>118</v>
      </c>
      <c r="D45" s="6"/>
      <c r="E45" s="106">
        <f>RefineriesData!N86</f>
        <v>212.15979141387726</v>
      </c>
      <c r="F45" s="106">
        <f t="shared" ref="F45:AK45" si="2">E45</f>
        <v>212.15979141387726</v>
      </c>
      <c r="G45" s="106">
        <f t="shared" si="2"/>
        <v>212.15979141387726</v>
      </c>
      <c r="H45" s="106">
        <f t="shared" si="2"/>
        <v>212.15979141387726</v>
      </c>
      <c r="I45" s="106">
        <f t="shared" si="2"/>
        <v>212.15979141387726</v>
      </c>
      <c r="J45" s="106">
        <f t="shared" si="2"/>
        <v>212.15979141387726</v>
      </c>
      <c r="K45" s="106">
        <f t="shared" si="2"/>
        <v>212.15979141387726</v>
      </c>
      <c r="L45" s="106">
        <f t="shared" si="2"/>
        <v>212.15979141387726</v>
      </c>
      <c r="M45" s="106">
        <f t="shared" si="2"/>
        <v>212.15979141387726</v>
      </c>
      <c r="N45" s="106">
        <f t="shared" si="2"/>
        <v>212.15979141387726</v>
      </c>
      <c r="O45" s="106">
        <f t="shared" si="2"/>
        <v>212.15979141387726</v>
      </c>
      <c r="P45" s="106">
        <f t="shared" si="2"/>
        <v>212.15979141387726</v>
      </c>
      <c r="Q45" s="106">
        <f t="shared" si="2"/>
        <v>212.15979141387726</v>
      </c>
      <c r="R45" s="106">
        <f t="shared" si="2"/>
        <v>212.15979141387726</v>
      </c>
      <c r="S45" s="106">
        <f t="shared" si="2"/>
        <v>212.15979141387726</v>
      </c>
      <c r="T45" s="106">
        <f t="shared" si="2"/>
        <v>212.15979141387726</v>
      </c>
      <c r="U45" s="106">
        <f t="shared" si="2"/>
        <v>212.15979141387726</v>
      </c>
      <c r="V45" s="106">
        <f t="shared" si="2"/>
        <v>212.15979141387726</v>
      </c>
      <c r="W45" s="106">
        <f t="shared" si="2"/>
        <v>212.15979141387726</v>
      </c>
      <c r="X45" s="106">
        <f t="shared" si="2"/>
        <v>212.15979141387726</v>
      </c>
      <c r="Y45" s="106">
        <f t="shared" si="2"/>
        <v>212.15979141387726</v>
      </c>
      <c r="Z45" s="106">
        <f t="shared" si="2"/>
        <v>212.15979141387726</v>
      </c>
      <c r="AA45" s="106">
        <f t="shared" si="2"/>
        <v>212.15979141387726</v>
      </c>
      <c r="AB45" s="106">
        <f t="shared" si="2"/>
        <v>212.15979141387726</v>
      </c>
      <c r="AC45" s="106">
        <f t="shared" si="2"/>
        <v>212.15979141387726</v>
      </c>
      <c r="AD45" s="106">
        <f t="shared" si="2"/>
        <v>212.15979141387726</v>
      </c>
      <c r="AE45" s="106">
        <f t="shared" si="2"/>
        <v>212.15979141387726</v>
      </c>
      <c r="AF45" s="106">
        <f t="shared" si="2"/>
        <v>212.15979141387726</v>
      </c>
      <c r="AG45" s="106">
        <f t="shared" si="2"/>
        <v>212.15979141387726</v>
      </c>
      <c r="AH45" s="106">
        <f t="shared" si="2"/>
        <v>212.15979141387726</v>
      </c>
      <c r="AI45" s="106">
        <f t="shared" si="2"/>
        <v>212.15979141387726</v>
      </c>
      <c r="AJ45" s="106">
        <f t="shared" si="2"/>
        <v>212.15979141387726</v>
      </c>
      <c r="AK45" s="106">
        <f t="shared" si="2"/>
        <v>212.15979141387726</v>
      </c>
    </row>
    <row r="46" spans="1:37" x14ac:dyDescent="0.25">
      <c r="A46" s="6"/>
      <c r="B46" s="6"/>
      <c r="C46" s="6"/>
      <c r="D46" s="6"/>
      <c r="E46" s="6"/>
      <c r="F46" s="7"/>
      <c r="G46" s="9"/>
      <c r="H46" s="11"/>
      <c r="I46" s="10"/>
      <c r="J46" s="9"/>
      <c r="K46" s="11"/>
      <c r="L46" s="10"/>
      <c r="M46" s="9"/>
      <c r="N46" s="8"/>
      <c r="O46" s="7"/>
      <c r="P46" s="7"/>
      <c r="Q46" s="6"/>
      <c r="R46" s="6"/>
      <c r="S46" s="6"/>
      <c r="T46" s="6"/>
      <c r="U46" s="6"/>
      <c r="V46" s="6"/>
      <c r="W46" s="6"/>
      <c r="X46" s="6"/>
      <c r="Y46" s="6"/>
      <c r="Z46" s="6"/>
      <c r="AA46" s="6"/>
      <c r="AB46" s="6"/>
      <c r="AC46" s="6"/>
      <c r="AD46" s="6"/>
      <c r="AE46" s="6"/>
      <c r="AF46" s="6"/>
      <c r="AG46" s="6"/>
      <c r="AH46" s="6"/>
      <c r="AI46" s="6"/>
      <c r="AJ46" s="6"/>
      <c r="AK46" s="6"/>
    </row>
    <row r="47" spans="1:37" x14ac:dyDescent="0.25">
      <c r="A47" s="6"/>
      <c r="B47" s="6"/>
      <c r="C47" s="6"/>
      <c r="D47" s="6"/>
      <c r="E47" s="7"/>
      <c r="F47" s="9"/>
      <c r="G47" s="11"/>
      <c r="H47" s="10"/>
      <c r="I47" s="9"/>
      <c r="J47" s="11"/>
      <c r="K47" s="10"/>
      <c r="L47" s="9"/>
      <c r="M47" s="8"/>
      <c r="N47" s="7"/>
      <c r="O47" s="7"/>
      <c r="P47" s="6"/>
      <c r="Q47" s="6"/>
      <c r="R47" s="6"/>
      <c r="S47" s="6"/>
      <c r="T47" s="6"/>
      <c r="U47" s="6"/>
      <c r="V47" s="6"/>
      <c r="W47" s="6"/>
      <c r="X47" s="6"/>
      <c r="Y47" s="6"/>
      <c r="Z47" s="6"/>
      <c r="AA47" s="6"/>
      <c r="AB47" s="6"/>
      <c r="AC47" s="6"/>
      <c r="AD47" s="6"/>
      <c r="AE47" s="6"/>
      <c r="AF47" s="6"/>
      <c r="AG47" s="6"/>
      <c r="AH47" s="6"/>
      <c r="AI47" s="6"/>
      <c r="AJ47" s="6"/>
      <c r="AK47" s="6"/>
    </row>
    <row r="48" spans="1:37" x14ac:dyDescent="0.25">
      <c r="A48" s="6"/>
      <c r="B48" s="6"/>
      <c r="C48" s="108" t="s">
        <v>117</v>
      </c>
      <c r="D48" s="110" t="s">
        <v>116</v>
      </c>
      <c r="E48" s="109">
        <f t="shared" ref="E48:AK48" si="3">SUMPRODUCT($C$57,E$57)*E$45</f>
        <v>212.15979141387726</v>
      </c>
      <c r="F48" s="109">
        <f t="shared" si="3"/>
        <v>212.15979141387726</v>
      </c>
      <c r="G48" s="109">
        <f t="shared" si="3"/>
        <v>212.15979141387726</v>
      </c>
      <c r="H48" s="109">
        <f t="shared" si="3"/>
        <v>212.15979141387726</v>
      </c>
      <c r="I48" s="109">
        <f t="shared" si="3"/>
        <v>212.15979141387726</v>
      </c>
      <c r="J48" s="109">
        <f t="shared" si="3"/>
        <v>212.15979141387726</v>
      </c>
      <c r="K48" s="109">
        <f t="shared" si="3"/>
        <v>212.15979141387726</v>
      </c>
      <c r="L48" s="109">
        <f t="shared" si="3"/>
        <v>212.15979141387726</v>
      </c>
      <c r="M48" s="109">
        <f t="shared" si="3"/>
        <v>212.15979141387726</v>
      </c>
      <c r="N48" s="109">
        <f t="shared" si="3"/>
        <v>212.15979141387726</v>
      </c>
      <c r="O48" s="109">
        <f t="shared" si="3"/>
        <v>212.15979141387726</v>
      </c>
      <c r="P48" s="109">
        <f t="shared" si="3"/>
        <v>212.15979141387726</v>
      </c>
      <c r="Q48" s="109">
        <f t="shared" si="3"/>
        <v>212.15979141387726</v>
      </c>
      <c r="R48" s="109">
        <f t="shared" si="3"/>
        <v>212.15979141387726</v>
      </c>
      <c r="S48" s="109">
        <f t="shared" si="3"/>
        <v>212.15979141387726</v>
      </c>
      <c r="T48" s="109">
        <f t="shared" si="3"/>
        <v>212.15979141387726</v>
      </c>
      <c r="U48" s="109">
        <f t="shared" si="3"/>
        <v>212.15979141387726</v>
      </c>
      <c r="V48" s="109">
        <f t="shared" si="3"/>
        <v>212.15979141387726</v>
      </c>
      <c r="W48" s="109">
        <f t="shared" si="3"/>
        <v>212.15979141387726</v>
      </c>
      <c r="X48" s="109">
        <f t="shared" si="3"/>
        <v>2.1215979141387727E-2</v>
      </c>
      <c r="Y48" s="109">
        <f t="shared" si="3"/>
        <v>2.1215979141387727E-2</v>
      </c>
      <c r="Z48" s="109">
        <f t="shared" si="3"/>
        <v>2.1215979141387727E-2</v>
      </c>
      <c r="AA48" s="109">
        <f t="shared" si="3"/>
        <v>2.1215979141387727E-2</v>
      </c>
      <c r="AB48" s="109">
        <f t="shared" si="3"/>
        <v>2.1215979141387727E-2</v>
      </c>
      <c r="AC48" s="109">
        <f t="shared" si="3"/>
        <v>2.1215979141387727E-2</v>
      </c>
      <c r="AD48" s="109">
        <f t="shared" si="3"/>
        <v>2.1215979141387727E-2</v>
      </c>
      <c r="AE48" s="109">
        <f t="shared" si="3"/>
        <v>2.1215979141387727E-2</v>
      </c>
      <c r="AF48" s="109">
        <f t="shared" si="3"/>
        <v>2.1215979141387727E-2</v>
      </c>
      <c r="AG48" s="109">
        <f t="shared" si="3"/>
        <v>2.1215979141387727E-2</v>
      </c>
      <c r="AH48" s="109">
        <f t="shared" si="3"/>
        <v>2.1215979141387727E-2</v>
      </c>
      <c r="AI48" s="109">
        <f t="shared" si="3"/>
        <v>2.1215979141387727E-2</v>
      </c>
      <c r="AJ48" s="109">
        <f t="shared" si="3"/>
        <v>2.1215979141387727E-2</v>
      </c>
      <c r="AK48" s="109">
        <f t="shared" si="3"/>
        <v>2.1215979141387727E-2</v>
      </c>
    </row>
    <row r="49" spans="1:37" x14ac:dyDescent="0.25">
      <c r="A49" s="6"/>
      <c r="B49" s="6"/>
      <c r="C49" s="108" t="s">
        <v>117</v>
      </c>
      <c r="D49" s="6" t="s">
        <v>115</v>
      </c>
      <c r="E49" s="109">
        <f t="shared" ref="E49:AK49" si="4">E50+E48</f>
        <v>212.15979141387726</v>
      </c>
      <c r="F49" s="109">
        <f t="shared" si="4"/>
        <v>212.15979141387726</v>
      </c>
      <c r="G49" s="109">
        <f t="shared" si="4"/>
        <v>212.15979141387726</v>
      </c>
      <c r="H49" s="109">
        <f t="shared" si="4"/>
        <v>212.15979141387726</v>
      </c>
      <c r="I49" s="109">
        <f t="shared" si="4"/>
        <v>212.15979141387726</v>
      </c>
      <c r="J49" s="109">
        <f t="shared" si="4"/>
        <v>212.15979141387726</v>
      </c>
      <c r="K49" s="109">
        <f t="shared" si="4"/>
        <v>212.15979141387726</v>
      </c>
      <c r="L49" s="109">
        <f t="shared" si="4"/>
        <v>212.15979141387726</v>
      </c>
      <c r="M49" s="109">
        <f t="shared" si="4"/>
        <v>212.15979141387726</v>
      </c>
      <c r="N49" s="109">
        <f t="shared" si="4"/>
        <v>212.15979141387726</v>
      </c>
      <c r="O49" s="109">
        <f t="shared" si="4"/>
        <v>212.15979141387726</v>
      </c>
      <c r="P49" s="109">
        <f t="shared" si="4"/>
        <v>212.15979141387726</v>
      </c>
      <c r="Q49" s="109">
        <f t="shared" si="4"/>
        <v>212.15979141387726</v>
      </c>
      <c r="R49" s="109">
        <f t="shared" si="4"/>
        <v>212.15979141387726</v>
      </c>
      <c r="S49" s="109">
        <f t="shared" si="4"/>
        <v>212.15979141387726</v>
      </c>
      <c r="T49" s="109">
        <f t="shared" si="4"/>
        <v>212.15979141387726</v>
      </c>
      <c r="U49" s="109">
        <f t="shared" si="4"/>
        <v>212.15979141387726</v>
      </c>
      <c r="V49" s="109">
        <f t="shared" si="4"/>
        <v>212.15979141387726</v>
      </c>
      <c r="W49" s="109">
        <f t="shared" si="4"/>
        <v>212.15979141387726</v>
      </c>
      <c r="X49" s="109">
        <f t="shared" si="4"/>
        <v>212.15979141387726</v>
      </c>
      <c r="Y49" s="109">
        <f t="shared" si="4"/>
        <v>212.15979141387726</v>
      </c>
      <c r="Z49" s="109">
        <f t="shared" si="4"/>
        <v>2.1215979141387727E-2</v>
      </c>
      <c r="AA49" s="109">
        <f t="shared" si="4"/>
        <v>2.1215979141387727E-2</v>
      </c>
      <c r="AB49" s="109">
        <f t="shared" si="4"/>
        <v>2.1215979141387727E-2</v>
      </c>
      <c r="AC49" s="109">
        <f t="shared" si="4"/>
        <v>2.1215979141387727E-2</v>
      </c>
      <c r="AD49" s="109">
        <f t="shared" si="4"/>
        <v>2.1215979141387727E-2</v>
      </c>
      <c r="AE49" s="109">
        <f t="shared" si="4"/>
        <v>2.1215979141387727E-2</v>
      </c>
      <c r="AF49" s="109">
        <f t="shared" si="4"/>
        <v>2.1215979141387727E-2</v>
      </c>
      <c r="AG49" s="109">
        <f t="shared" si="4"/>
        <v>2.1215979141387727E-2</v>
      </c>
      <c r="AH49" s="109">
        <f t="shared" si="4"/>
        <v>2.1215979141387727E-2</v>
      </c>
      <c r="AI49" s="109">
        <f t="shared" si="4"/>
        <v>2.1215979141387727E-2</v>
      </c>
      <c r="AJ49" s="109">
        <f t="shared" si="4"/>
        <v>2.1215979141387727E-2</v>
      </c>
      <c r="AK49" s="109">
        <f t="shared" si="4"/>
        <v>2.1215979141387727E-2</v>
      </c>
    </row>
    <row r="50" spans="1:37" x14ac:dyDescent="0.25">
      <c r="A50" s="6"/>
      <c r="B50" s="6"/>
      <c r="C50" s="108" t="s">
        <v>117</v>
      </c>
      <c r="D50" s="6" t="s">
        <v>113</v>
      </c>
      <c r="E50" s="107">
        <f>ABS(E48-E48)</f>
        <v>0</v>
      </c>
      <c r="F50" s="107">
        <f t="shared" ref="F50:X50" si="5">ABS(F48-E48)</f>
        <v>0</v>
      </c>
      <c r="G50" s="107">
        <f t="shared" si="5"/>
        <v>0</v>
      </c>
      <c r="H50" s="107">
        <f t="shared" si="5"/>
        <v>0</v>
      </c>
      <c r="I50" s="107">
        <f t="shared" si="5"/>
        <v>0</v>
      </c>
      <c r="J50" s="107">
        <f t="shared" si="5"/>
        <v>0</v>
      </c>
      <c r="K50" s="107">
        <f t="shared" si="5"/>
        <v>0</v>
      </c>
      <c r="L50" s="107">
        <f t="shared" si="5"/>
        <v>0</v>
      </c>
      <c r="M50" s="107">
        <f t="shared" si="5"/>
        <v>0</v>
      </c>
      <c r="N50" s="107">
        <f t="shared" si="5"/>
        <v>0</v>
      </c>
      <c r="O50" s="107">
        <f t="shared" si="5"/>
        <v>0</v>
      </c>
      <c r="P50" s="107">
        <f t="shared" si="5"/>
        <v>0</v>
      </c>
      <c r="Q50" s="107">
        <f t="shared" si="5"/>
        <v>0</v>
      </c>
      <c r="R50" s="107">
        <f t="shared" si="5"/>
        <v>0</v>
      </c>
      <c r="S50" s="107">
        <f t="shared" si="5"/>
        <v>0</v>
      </c>
      <c r="T50" s="107">
        <f t="shared" si="5"/>
        <v>0</v>
      </c>
      <c r="U50" s="107">
        <f t="shared" si="5"/>
        <v>0</v>
      </c>
      <c r="V50" s="107">
        <f t="shared" si="5"/>
        <v>0</v>
      </c>
      <c r="W50" s="107">
        <f t="shared" si="5"/>
        <v>0</v>
      </c>
      <c r="X50" s="107">
        <f t="shared" si="5"/>
        <v>212.13857543473588</v>
      </c>
      <c r="Y50" s="107">
        <f>X50</f>
        <v>212.13857543473588</v>
      </c>
      <c r="Z50" s="107">
        <f t="shared" ref="Z50:AK50" si="6">ABS(Z48-Y48)</f>
        <v>0</v>
      </c>
      <c r="AA50" s="107">
        <f t="shared" si="6"/>
        <v>0</v>
      </c>
      <c r="AB50" s="107">
        <f t="shared" si="6"/>
        <v>0</v>
      </c>
      <c r="AC50" s="107">
        <f t="shared" si="6"/>
        <v>0</v>
      </c>
      <c r="AD50" s="107">
        <f t="shared" si="6"/>
        <v>0</v>
      </c>
      <c r="AE50" s="107">
        <f t="shared" si="6"/>
        <v>0</v>
      </c>
      <c r="AF50" s="107">
        <f t="shared" si="6"/>
        <v>0</v>
      </c>
      <c r="AG50" s="107">
        <f t="shared" si="6"/>
        <v>0</v>
      </c>
      <c r="AH50" s="107">
        <f t="shared" si="6"/>
        <v>0</v>
      </c>
      <c r="AI50" s="107">
        <f t="shared" si="6"/>
        <v>0</v>
      </c>
      <c r="AJ50" s="107">
        <f t="shared" si="6"/>
        <v>0</v>
      </c>
      <c r="AK50" s="107">
        <f t="shared" si="6"/>
        <v>0</v>
      </c>
    </row>
    <row r="51" spans="1:37" x14ac:dyDescent="0.25">
      <c r="A51" s="6"/>
      <c r="B51" s="6"/>
      <c r="C51" s="108"/>
      <c r="D51" s="6"/>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row>
    <row r="52" spans="1:37" x14ac:dyDescent="0.25">
      <c r="A52" s="6"/>
      <c r="B52" s="6"/>
      <c r="C52" s="108" t="s">
        <v>114</v>
      </c>
      <c r="D52" s="110" t="s">
        <v>116</v>
      </c>
      <c r="E52" s="109">
        <f t="shared" ref="E52:AK52" si="7">SUMPRODUCT($C$58:$C$60,E$58:E$60)*E$44</f>
        <v>556.85035264068915</v>
      </c>
      <c r="F52" s="109">
        <f t="shared" si="7"/>
        <v>556.85035264068915</v>
      </c>
      <c r="G52" s="109">
        <f t="shared" si="7"/>
        <v>556.85035264068915</v>
      </c>
      <c r="H52" s="109">
        <f t="shared" si="7"/>
        <v>556.85035264068915</v>
      </c>
      <c r="I52" s="109">
        <f t="shared" si="7"/>
        <v>556.85035264068915</v>
      </c>
      <c r="J52" s="109">
        <f t="shared" si="7"/>
        <v>556.85035264068915</v>
      </c>
      <c r="K52" s="109">
        <f t="shared" si="7"/>
        <v>556.85035264068915</v>
      </c>
      <c r="L52" s="109">
        <f t="shared" si="7"/>
        <v>556.85035264068915</v>
      </c>
      <c r="M52" s="109">
        <f t="shared" si="7"/>
        <v>556.85035264068915</v>
      </c>
      <c r="N52" s="109">
        <f t="shared" si="7"/>
        <v>556.85035264068915</v>
      </c>
      <c r="O52" s="109">
        <f t="shared" si="7"/>
        <v>556.85035264068915</v>
      </c>
      <c r="P52" s="109">
        <f t="shared" si="7"/>
        <v>556.85035264068915</v>
      </c>
      <c r="Q52" s="109">
        <f t="shared" si="7"/>
        <v>556.85035264068915</v>
      </c>
      <c r="R52" s="109">
        <f t="shared" si="7"/>
        <v>556.85035264068915</v>
      </c>
      <c r="S52" s="109">
        <f t="shared" si="7"/>
        <v>556.85035264068915</v>
      </c>
      <c r="T52" s="109">
        <f t="shared" si="7"/>
        <v>556.85035264068915</v>
      </c>
      <c r="U52" s="109">
        <f t="shared" si="7"/>
        <v>556.85035264068915</v>
      </c>
      <c r="V52" s="109">
        <f t="shared" si="7"/>
        <v>556.85035264068915</v>
      </c>
      <c r="W52" s="109">
        <f t="shared" si="7"/>
        <v>556.85035264068915</v>
      </c>
      <c r="X52" s="109">
        <f t="shared" si="7"/>
        <v>556.85035264068915</v>
      </c>
      <c r="Y52" s="109">
        <f t="shared" si="7"/>
        <v>556.85035264068915</v>
      </c>
      <c r="Z52" s="109">
        <f t="shared" si="7"/>
        <v>556.85035264068915</v>
      </c>
      <c r="AA52" s="109">
        <f t="shared" si="7"/>
        <v>422.66954477546284</v>
      </c>
      <c r="AB52" s="109">
        <f t="shared" si="7"/>
        <v>422.66954477546284</v>
      </c>
      <c r="AC52" s="109">
        <f t="shared" si="7"/>
        <v>422.66954477546284</v>
      </c>
      <c r="AD52" s="109">
        <f t="shared" si="7"/>
        <v>241.52545415740735</v>
      </c>
      <c r="AE52" s="109">
        <f t="shared" si="7"/>
        <v>241.52545415740735</v>
      </c>
      <c r="AF52" s="109">
        <f t="shared" si="7"/>
        <v>241.52545415740735</v>
      </c>
      <c r="AG52" s="109">
        <f t="shared" si="7"/>
        <v>2.4152545415740738E-2</v>
      </c>
      <c r="AH52" s="109">
        <f t="shared" si="7"/>
        <v>2.4152545415740738E-2</v>
      </c>
      <c r="AI52" s="109">
        <f t="shared" si="7"/>
        <v>2.4152545415740738E-2</v>
      </c>
      <c r="AJ52" s="109">
        <f t="shared" si="7"/>
        <v>2.4152545415740738E-2</v>
      </c>
      <c r="AK52" s="109">
        <f t="shared" si="7"/>
        <v>2.4152545415740738E-2</v>
      </c>
    </row>
    <row r="53" spans="1:37" x14ac:dyDescent="0.25">
      <c r="A53" s="6"/>
      <c r="B53" s="6"/>
      <c r="C53" s="108" t="s">
        <v>114</v>
      </c>
      <c r="D53" s="6" t="s">
        <v>115</v>
      </c>
      <c r="E53" s="109">
        <f t="shared" ref="E53:AK53" si="8">E54+E52</f>
        <v>556.85035264068915</v>
      </c>
      <c r="F53" s="109">
        <f t="shared" si="8"/>
        <v>556.85035264068915</v>
      </c>
      <c r="G53" s="109">
        <f t="shared" si="8"/>
        <v>556.85035264068915</v>
      </c>
      <c r="H53" s="109">
        <f t="shared" si="8"/>
        <v>556.85035264068915</v>
      </c>
      <c r="I53" s="109">
        <f t="shared" si="8"/>
        <v>556.85035264068915</v>
      </c>
      <c r="J53" s="109">
        <f t="shared" si="8"/>
        <v>556.85035264068915</v>
      </c>
      <c r="K53" s="109">
        <f t="shared" si="8"/>
        <v>556.85035264068915</v>
      </c>
      <c r="L53" s="109">
        <f t="shared" si="8"/>
        <v>556.85035264068915</v>
      </c>
      <c r="M53" s="109">
        <f t="shared" si="8"/>
        <v>556.85035264068915</v>
      </c>
      <c r="N53" s="109">
        <f t="shared" si="8"/>
        <v>556.85035264068915</v>
      </c>
      <c r="O53" s="109">
        <f t="shared" si="8"/>
        <v>556.85035264068915</v>
      </c>
      <c r="P53" s="109">
        <f t="shared" si="8"/>
        <v>556.85035264068915</v>
      </c>
      <c r="Q53" s="109">
        <f t="shared" si="8"/>
        <v>556.85035264068915</v>
      </c>
      <c r="R53" s="109">
        <f t="shared" si="8"/>
        <v>556.85035264068915</v>
      </c>
      <c r="S53" s="109">
        <f t="shared" si="8"/>
        <v>556.85035264068915</v>
      </c>
      <c r="T53" s="109">
        <f t="shared" si="8"/>
        <v>556.85035264068915</v>
      </c>
      <c r="U53" s="109">
        <f t="shared" si="8"/>
        <v>556.85035264068915</v>
      </c>
      <c r="V53" s="109">
        <f t="shared" si="8"/>
        <v>556.85035264068915</v>
      </c>
      <c r="W53" s="109">
        <f t="shared" si="8"/>
        <v>556.85035264068915</v>
      </c>
      <c r="X53" s="109">
        <f t="shared" si="8"/>
        <v>556.85035264068915</v>
      </c>
      <c r="Y53" s="109">
        <f t="shared" si="8"/>
        <v>556.85035264068915</v>
      </c>
      <c r="Z53" s="109">
        <f t="shared" si="8"/>
        <v>556.85035264068915</v>
      </c>
      <c r="AA53" s="109">
        <f t="shared" si="8"/>
        <v>556.85035264068915</v>
      </c>
      <c r="AB53" s="109">
        <f t="shared" si="8"/>
        <v>556.85035264068915</v>
      </c>
      <c r="AC53" s="109">
        <f t="shared" si="8"/>
        <v>422.66954477546284</v>
      </c>
      <c r="AD53" s="109">
        <f t="shared" si="8"/>
        <v>422.66954477546284</v>
      </c>
      <c r="AE53" s="109">
        <f t="shared" si="8"/>
        <v>422.66954477546284</v>
      </c>
      <c r="AF53" s="109">
        <f t="shared" si="8"/>
        <v>241.52545415740735</v>
      </c>
      <c r="AG53" s="109">
        <f t="shared" si="8"/>
        <v>241.52545415740735</v>
      </c>
      <c r="AH53" s="109">
        <f t="shared" si="8"/>
        <v>241.52545415740735</v>
      </c>
      <c r="AI53" s="109">
        <f t="shared" si="8"/>
        <v>2.4152545415740738E-2</v>
      </c>
      <c r="AJ53" s="109">
        <f t="shared" si="8"/>
        <v>2.4152545415740738E-2</v>
      </c>
      <c r="AK53" s="109">
        <f t="shared" si="8"/>
        <v>2.4152545415740738E-2</v>
      </c>
    </row>
    <row r="54" spans="1:37" x14ac:dyDescent="0.25">
      <c r="A54" s="6"/>
      <c r="B54" s="6"/>
      <c r="C54" s="108" t="s">
        <v>114</v>
      </c>
      <c r="D54" s="6" t="s">
        <v>113</v>
      </c>
      <c r="E54" s="107">
        <f>ABS(E52-E52)</f>
        <v>0</v>
      </c>
      <c r="F54" s="107">
        <f t="shared" ref="F54:AA54" si="9">ABS(F52-E52)</f>
        <v>0</v>
      </c>
      <c r="G54" s="107">
        <f t="shared" si="9"/>
        <v>0</v>
      </c>
      <c r="H54" s="107">
        <f t="shared" si="9"/>
        <v>0</v>
      </c>
      <c r="I54" s="107">
        <f t="shared" si="9"/>
        <v>0</v>
      </c>
      <c r="J54" s="107">
        <f t="shared" si="9"/>
        <v>0</v>
      </c>
      <c r="K54" s="107">
        <f t="shared" si="9"/>
        <v>0</v>
      </c>
      <c r="L54" s="107">
        <f t="shared" si="9"/>
        <v>0</v>
      </c>
      <c r="M54" s="107">
        <f t="shared" si="9"/>
        <v>0</v>
      </c>
      <c r="N54" s="107">
        <f t="shared" si="9"/>
        <v>0</v>
      </c>
      <c r="O54" s="107">
        <f t="shared" si="9"/>
        <v>0</v>
      </c>
      <c r="P54" s="107">
        <f t="shared" si="9"/>
        <v>0</v>
      </c>
      <c r="Q54" s="107">
        <f t="shared" si="9"/>
        <v>0</v>
      </c>
      <c r="R54" s="107">
        <f t="shared" si="9"/>
        <v>0</v>
      </c>
      <c r="S54" s="107">
        <f t="shared" si="9"/>
        <v>0</v>
      </c>
      <c r="T54" s="107">
        <f t="shared" si="9"/>
        <v>0</v>
      </c>
      <c r="U54" s="107">
        <f t="shared" si="9"/>
        <v>0</v>
      </c>
      <c r="V54" s="107">
        <f t="shared" si="9"/>
        <v>0</v>
      </c>
      <c r="W54" s="107">
        <f t="shared" si="9"/>
        <v>0</v>
      </c>
      <c r="X54" s="107">
        <f t="shared" si="9"/>
        <v>0</v>
      </c>
      <c r="Y54" s="107">
        <f t="shared" si="9"/>
        <v>0</v>
      </c>
      <c r="Z54" s="107">
        <f t="shared" si="9"/>
        <v>0</v>
      </c>
      <c r="AA54" s="107">
        <f t="shared" si="9"/>
        <v>134.18080786522631</v>
      </c>
      <c r="AB54" s="107">
        <f>AA54</f>
        <v>134.18080786522631</v>
      </c>
      <c r="AC54" s="107">
        <f>ABS(AC52-AB52)</f>
        <v>0</v>
      </c>
      <c r="AD54" s="107">
        <f>ABS(AD52-AC52)</f>
        <v>181.14409061805549</v>
      </c>
      <c r="AE54" s="107">
        <f>AD54</f>
        <v>181.14409061805549</v>
      </c>
      <c r="AF54" s="107">
        <f>ABS(AF52-AE52)</f>
        <v>0</v>
      </c>
      <c r="AG54" s="107">
        <f>ABS(AG52-AF52)</f>
        <v>241.50130161199161</v>
      </c>
      <c r="AH54" s="107">
        <f>AG54</f>
        <v>241.50130161199161</v>
      </c>
      <c r="AI54" s="107">
        <f>ABS(AI52-AH52)</f>
        <v>0</v>
      </c>
      <c r="AJ54" s="107">
        <f>ABS(AJ52-AI52)</f>
        <v>0</v>
      </c>
      <c r="AK54" s="107">
        <f>ABS(AK52-AJ52)</f>
        <v>0</v>
      </c>
    </row>
    <row r="55" spans="1:37" x14ac:dyDescent="0.25">
      <c r="A55" s="6"/>
      <c r="B55" s="6"/>
      <c r="C55" s="6"/>
      <c r="D55" s="6"/>
      <c r="E55" s="7"/>
      <c r="F55" s="9"/>
      <c r="G55" s="11"/>
      <c r="H55" s="10"/>
      <c r="I55" s="9"/>
      <c r="J55" s="11"/>
      <c r="K55" s="10"/>
      <c r="L55" s="9"/>
      <c r="M55" s="8"/>
      <c r="N55" s="7"/>
      <c r="O55" s="7"/>
      <c r="P55" s="6"/>
      <c r="Q55" s="6"/>
      <c r="R55" s="6"/>
      <c r="S55" s="6"/>
      <c r="T55" s="6"/>
      <c r="U55" s="6"/>
      <c r="V55" s="6"/>
      <c r="W55" s="6"/>
      <c r="X55" s="6"/>
      <c r="Y55" s="6"/>
      <c r="Z55" s="6"/>
      <c r="AA55" s="6"/>
      <c r="AB55" s="6"/>
      <c r="AC55" s="6"/>
      <c r="AD55" s="6"/>
      <c r="AE55" s="6"/>
      <c r="AF55" s="6"/>
      <c r="AG55" s="6"/>
      <c r="AH55" s="6"/>
      <c r="AI55" s="6"/>
      <c r="AJ55" s="6"/>
      <c r="AK55" s="6"/>
    </row>
    <row r="56" spans="1:37" x14ac:dyDescent="0.25">
      <c r="A56" s="6"/>
      <c r="B56" s="6"/>
      <c r="C56" s="6"/>
      <c r="D56" s="6"/>
      <c r="E56" s="106"/>
      <c r="F56" s="106"/>
      <c r="G56" s="106"/>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row>
    <row r="57" spans="1:37" x14ac:dyDescent="0.25">
      <c r="A57" s="6"/>
      <c r="B57" s="6"/>
      <c r="C57" s="90">
        <v>1</v>
      </c>
      <c r="D57" s="6" t="str">
        <f>'Crude refineries'!D54</f>
        <v>NATREF</v>
      </c>
      <c r="E57" s="105">
        <v>1</v>
      </c>
      <c r="F57" s="105">
        <v>1</v>
      </c>
      <c r="G57" s="105">
        <v>1</v>
      </c>
      <c r="H57" s="105">
        <v>1</v>
      </c>
      <c r="I57" s="105">
        <v>1</v>
      </c>
      <c r="J57" s="105">
        <v>1</v>
      </c>
      <c r="K57" s="105">
        <v>1</v>
      </c>
      <c r="L57" s="105">
        <v>1</v>
      </c>
      <c r="M57" s="105">
        <v>1</v>
      </c>
      <c r="N57" s="105">
        <v>1</v>
      </c>
      <c r="O57" s="105">
        <v>1</v>
      </c>
      <c r="P57" s="105">
        <v>1</v>
      </c>
      <c r="Q57" s="105">
        <v>1</v>
      </c>
      <c r="R57" s="105">
        <v>1</v>
      </c>
      <c r="S57" s="105">
        <v>1</v>
      </c>
      <c r="T57" s="105">
        <v>1</v>
      </c>
      <c r="U57" s="105">
        <v>1</v>
      </c>
      <c r="V57" s="105">
        <v>1</v>
      </c>
      <c r="W57" s="105">
        <v>1</v>
      </c>
      <c r="X57" s="104">
        <v>1E-4</v>
      </c>
      <c r="Y57" s="104">
        <v>1E-4</v>
      </c>
      <c r="Z57" s="104">
        <v>1E-4</v>
      </c>
      <c r="AA57" s="104">
        <v>1E-4</v>
      </c>
      <c r="AB57" s="104">
        <v>1E-4</v>
      </c>
      <c r="AC57" s="104">
        <v>1E-4</v>
      </c>
      <c r="AD57" s="104">
        <v>1E-4</v>
      </c>
      <c r="AE57" s="104">
        <v>1E-4</v>
      </c>
      <c r="AF57" s="104">
        <v>1E-4</v>
      </c>
      <c r="AG57" s="104">
        <v>1E-4</v>
      </c>
      <c r="AH57" s="104">
        <v>1E-4</v>
      </c>
      <c r="AI57" s="104">
        <v>1E-4</v>
      </c>
      <c r="AJ57" s="104">
        <v>1E-4</v>
      </c>
      <c r="AK57" s="104">
        <v>1E-4</v>
      </c>
    </row>
    <row r="58" spans="1:37" x14ac:dyDescent="0.25">
      <c r="A58" s="6"/>
      <c r="B58" s="6"/>
      <c r="C58" s="90">
        <f>'Crude refineries'!E51/SUM('Crude refineries'!$E$51:$E$53)</f>
        <v>0.24096385542168675</v>
      </c>
      <c r="D58" s="6" t="str">
        <f>'Crude refineries'!D51</f>
        <v>CHEVREF</v>
      </c>
      <c r="E58" s="105">
        <v>1</v>
      </c>
      <c r="F58" s="105">
        <v>1</v>
      </c>
      <c r="G58" s="105">
        <v>1</v>
      </c>
      <c r="H58" s="105">
        <v>1</v>
      </c>
      <c r="I58" s="105">
        <v>1</v>
      </c>
      <c r="J58" s="105">
        <v>1</v>
      </c>
      <c r="K58" s="105">
        <v>1</v>
      </c>
      <c r="L58" s="105">
        <v>1</v>
      </c>
      <c r="M58" s="105">
        <v>1</v>
      </c>
      <c r="N58" s="105">
        <v>1</v>
      </c>
      <c r="O58" s="105">
        <v>1</v>
      </c>
      <c r="P58" s="105">
        <v>1</v>
      </c>
      <c r="Q58" s="105">
        <v>1</v>
      </c>
      <c r="R58" s="105">
        <v>1</v>
      </c>
      <c r="S58" s="105">
        <v>1</v>
      </c>
      <c r="T58" s="105">
        <v>1</v>
      </c>
      <c r="U58" s="105">
        <v>1</v>
      </c>
      <c r="V58" s="105">
        <v>1</v>
      </c>
      <c r="W58" s="105">
        <v>1</v>
      </c>
      <c r="X58" s="105">
        <v>1</v>
      </c>
      <c r="Y58" s="105">
        <v>1</v>
      </c>
      <c r="Z58" s="105">
        <v>1</v>
      </c>
      <c r="AA58" s="104">
        <v>0</v>
      </c>
      <c r="AB58" s="104">
        <v>0</v>
      </c>
      <c r="AC58" s="104">
        <v>0</v>
      </c>
      <c r="AD58" s="104">
        <v>0</v>
      </c>
      <c r="AE58" s="104">
        <v>0</v>
      </c>
      <c r="AF58" s="104">
        <v>0</v>
      </c>
      <c r="AG58" s="104">
        <v>0</v>
      </c>
      <c r="AH58" s="104">
        <v>0</v>
      </c>
      <c r="AI58" s="104">
        <v>0</v>
      </c>
      <c r="AJ58" s="104">
        <v>0</v>
      </c>
      <c r="AK58" s="104">
        <v>0</v>
      </c>
    </row>
    <row r="59" spans="1:37" x14ac:dyDescent="0.25">
      <c r="A59" s="6"/>
      <c r="B59" s="6"/>
      <c r="C59" s="90">
        <f>'Crude refineries'!E53/SUM('Crude refineries'!$E$51:$E$53)</f>
        <v>0.3253012048192771</v>
      </c>
      <c r="D59" s="6" t="str">
        <f>'Crude refineries'!D53</f>
        <v>ENREF</v>
      </c>
      <c r="E59" s="105">
        <v>1</v>
      </c>
      <c r="F59" s="105">
        <v>1</v>
      </c>
      <c r="G59" s="105">
        <v>1</v>
      </c>
      <c r="H59" s="105">
        <v>1</v>
      </c>
      <c r="I59" s="105">
        <v>1</v>
      </c>
      <c r="J59" s="105">
        <v>1</v>
      </c>
      <c r="K59" s="105">
        <v>1</v>
      </c>
      <c r="L59" s="105">
        <v>1</v>
      </c>
      <c r="M59" s="105">
        <v>1</v>
      </c>
      <c r="N59" s="105">
        <v>1</v>
      </c>
      <c r="O59" s="105">
        <v>1</v>
      </c>
      <c r="P59" s="105">
        <v>1</v>
      </c>
      <c r="Q59" s="105">
        <v>1</v>
      </c>
      <c r="R59" s="105">
        <v>1</v>
      </c>
      <c r="S59" s="105">
        <v>1</v>
      </c>
      <c r="T59" s="105">
        <v>1</v>
      </c>
      <c r="U59" s="105">
        <v>1</v>
      </c>
      <c r="V59" s="105">
        <v>1</v>
      </c>
      <c r="W59" s="105">
        <v>1</v>
      </c>
      <c r="X59" s="105">
        <v>1</v>
      </c>
      <c r="Y59" s="105">
        <v>1</v>
      </c>
      <c r="Z59" s="105">
        <v>1</v>
      </c>
      <c r="AA59" s="105">
        <v>1</v>
      </c>
      <c r="AB59" s="105">
        <v>1</v>
      </c>
      <c r="AC59" s="105">
        <v>1</v>
      </c>
      <c r="AD59" s="104">
        <v>0</v>
      </c>
      <c r="AE59" s="104">
        <v>0</v>
      </c>
      <c r="AF59" s="104">
        <v>0</v>
      </c>
      <c r="AG59" s="104">
        <v>0</v>
      </c>
      <c r="AH59" s="104">
        <v>0</v>
      </c>
      <c r="AI59" s="104">
        <v>0</v>
      </c>
      <c r="AJ59" s="104">
        <v>0</v>
      </c>
      <c r="AK59" s="104">
        <v>0</v>
      </c>
    </row>
    <row r="60" spans="1:37" x14ac:dyDescent="0.25">
      <c r="A60" s="6"/>
      <c r="B60" s="6"/>
      <c r="C60" s="90">
        <f>'Crude refineries'!E52/SUM('Crude refineries'!$E$51:$E$53)</f>
        <v>0.43373493975903615</v>
      </c>
      <c r="D60" s="6" t="str">
        <f>'Crude refineries'!D52</f>
        <v>SAPREF</v>
      </c>
      <c r="E60" s="105">
        <v>1</v>
      </c>
      <c r="F60" s="105">
        <v>1</v>
      </c>
      <c r="G60" s="105">
        <v>1</v>
      </c>
      <c r="H60" s="105">
        <v>1</v>
      </c>
      <c r="I60" s="105">
        <v>1</v>
      </c>
      <c r="J60" s="105">
        <v>1</v>
      </c>
      <c r="K60" s="105">
        <v>1</v>
      </c>
      <c r="L60" s="105">
        <v>1</v>
      </c>
      <c r="M60" s="105">
        <v>1</v>
      </c>
      <c r="N60" s="105">
        <v>1</v>
      </c>
      <c r="O60" s="105">
        <v>1</v>
      </c>
      <c r="P60" s="105">
        <v>1</v>
      </c>
      <c r="Q60" s="105">
        <v>1</v>
      </c>
      <c r="R60" s="105">
        <v>1</v>
      </c>
      <c r="S60" s="105">
        <v>1</v>
      </c>
      <c r="T60" s="105">
        <v>1</v>
      </c>
      <c r="U60" s="105">
        <v>1</v>
      </c>
      <c r="V60" s="105">
        <v>1</v>
      </c>
      <c r="W60" s="105">
        <v>1</v>
      </c>
      <c r="X60" s="105">
        <v>1</v>
      </c>
      <c r="Y60" s="105">
        <v>1</v>
      </c>
      <c r="Z60" s="105">
        <v>1</v>
      </c>
      <c r="AA60" s="105">
        <v>1</v>
      </c>
      <c r="AB60" s="105">
        <v>1</v>
      </c>
      <c r="AC60" s="105">
        <v>1</v>
      </c>
      <c r="AD60" s="105">
        <v>1</v>
      </c>
      <c r="AE60" s="105">
        <v>1</v>
      </c>
      <c r="AF60" s="105">
        <v>1</v>
      </c>
      <c r="AG60" s="104">
        <v>1E-4</v>
      </c>
      <c r="AH60" s="104">
        <v>1E-4</v>
      </c>
      <c r="AI60" s="104">
        <v>1E-4</v>
      </c>
      <c r="AJ60" s="104">
        <v>1E-4</v>
      </c>
      <c r="AK60" s="104">
        <v>1E-4</v>
      </c>
    </row>
    <row r="61" spans="1:37" x14ac:dyDescent="0.25">
      <c r="A61" s="6"/>
      <c r="B61" s="6"/>
      <c r="C61" s="6"/>
      <c r="D61" s="6"/>
      <c r="E61" s="6"/>
      <c r="F61" s="9"/>
      <c r="G61" s="11"/>
      <c r="H61" s="10"/>
      <c r="I61" s="9"/>
      <c r="J61" s="11"/>
      <c r="K61" s="10"/>
      <c r="L61" s="9"/>
      <c r="M61" s="8"/>
      <c r="N61" s="7"/>
      <c r="O61" s="7"/>
      <c r="P61" s="6"/>
      <c r="Q61" s="6"/>
      <c r="R61" s="6"/>
      <c r="S61" s="6"/>
      <c r="T61" s="6"/>
      <c r="U61" s="6"/>
      <c r="V61" s="6"/>
      <c r="W61" s="6"/>
      <c r="X61" s="6"/>
      <c r="Y61" s="6"/>
      <c r="Z61" s="6"/>
      <c r="AA61" s="6"/>
      <c r="AB61" s="6"/>
      <c r="AC61" s="6"/>
      <c r="AD61" s="6"/>
      <c r="AE61" s="6"/>
      <c r="AF61" s="6"/>
      <c r="AG61" s="6"/>
      <c r="AH61" s="6"/>
      <c r="AI61" s="6"/>
      <c r="AJ61" s="6"/>
      <c r="AK61" s="6"/>
    </row>
    <row r="62" spans="1:37" x14ac:dyDescent="0.25">
      <c r="A62" s="6"/>
      <c r="B62" s="6"/>
      <c r="C62" s="6"/>
      <c r="D62" s="6"/>
      <c r="E62" s="7"/>
      <c r="F62" s="9"/>
      <c r="G62" s="11"/>
      <c r="H62" s="10"/>
      <c r="I62" s="9"/>
      <c r="J62" s="11"/>
      <c r="K62" s="10"/>
      <c r="L62" s="9"/>
      <c r="M62" s="8"/>
      <c r="N62" s="7"/>
      <c r="O62" s="7"/>
      <c r="P62" s="6"/>
      <c r="Q62" s="6"/>
      <c r="R62" s="6"/>
      <c r="S62" s="6"/>
      <c r="T62" s="6"/>
      <c r="U62" s="6"/>
      <c r="V62" s="6"/>
      <c r="W62" s="6"/>
      <c r="X62" s="6"/>
      <c r="Y62" s="6"/>
      <c r="Z62" s="6"/>
      <c r="AA62" s="6"/>
      <c r="AB62" s="6"/>
      <c r="AC62" s="6"/>
      <c r="AD62" s="6"/>
      <c r="AE62" s="6"/>
      <c r="AF62" s="6"/>
      <c r="AG62" s="6"/>
      <c r="AH62" s="6"/>
      <c r="AI62" s="6"/>
      <c r="AJ62" s="6"/>
      <c r="AK62" s="6"/>
    </row>
    <row r="63" spans="1:37" x14ac:dyDescent="0.25">
      <c r="A63" s="6"/>
      <c r="B63" s="103" t="s">
        <v>112</v>
      </c>
      <c r="C63" s="103"/>
      <c r="D63" s="103"/>
      <c r="E63" s="102"/>
      <c r="F63" s="100"/>
      <c r="G63" s="99"/>
      <c r="H63" s="101"/>
      <c r="I63" s="100"/>
      <c r="J63" s="99"/>
      <c r="K63" s="10" t="s">
        <v>111</v>
      </c>
      <c r="L63" s="9"/>
      <c r="M63" s="8"/>
      <c r="N63" s="7"/>
      <c r="O63" s="7"/>
      <c r="P63" s="6"/>
      <c r="Q63" s="6"/>
      <c r="R63" s="6"/>
      <c r="S63" s="6"/>
      <c r="T63" s="6"/>
      <c r="U63" s="6"/>
      <c r="V63" s="6"/>
      <c r="W63" s="6"/>
      <c r="X63" s="6"/>
      <c r="Y63" s="6"/>
      <c r="Z63" s="6"/>
      <c r="AA63" s="6"/>
      <c r="AB63" s="6"/>
      <c r="AC63" s="6"/>
      <c r="AD63" s="6"/>
      <c r="AE63" s="6"/>
      <c r="AF63" s="6"/>
      <c r="AG63" s="6"/>
      <c r="AH63" s="6"/>
      <c r="AI63" s="6"/>
      <c r="AJ63" s="6"/>
      <c r="AK63" s="6"/>
    </row>
    <row r="64" spans="1:37" x14ac:dyDescent="0.25">
      <c r="A64" s="6"/>
      <c r="B64" s="103" t="s">
        <v>110</v>
      </c>
      <c r="C64" s="103"/>
      <c r="D64" s="103"/>
      <c r="E64" s="102"/>
      <c r="F64" s="100"/>
      <c r="G64" s="99"/>
      <c r="H64" s="101"/>
      <c r="I64" s="100"/>
      <c r="J64" s="99"/>
      <c r="K64" s="10" t="s">
        <v>109</v>
      </c>
      <c r="L64" s="9"/>
      <c r="M64" s="8"/>
      <c r="N64" s="7"/>
      <c r="O64" s="7"/>
      <c r="P64" s="6"/>
      <c r="Q64" s="6"/>
      <c r="R64" s="6"/>
      <c r="S64" s="6"/>
      <c r="T64" s="6"/>
      <c r="U64" s="6"/>
      <c r="V64" s="6"/>
      <c r="W64" s="6"/>
      <c r="X64" s="6"/>
      <c r="Y64" s="6"/>
      <c r="Z64" s="6"/>
      <c r="AA64" s="6"/>
      <c r="AB64" s="6"/>
      <c r="AC64" s="6"/>
      <c r="AD64" s="6"/>
      <c r="AE64" s="6"/>
      <c r="AF64" s="6"/>
      <c r="AG64" s="6"/>
      <c r="AH64" s="6"/>
      <c r="AI64" s="6"/>
      <c r="AJ64" s="6"/>
      <c r="AK64" s="6"/>
    </row>
    <row r="65" spans="1:37" x14ac:dyDescent="0.25">
      <c r="A65" s="6"/>
      <c r="B65" s="6"/>
      <c r="C65" s="6"/>
      <c r="D65" s="6"/>
      <c r="E65" s="7"/>
      <c r="F65" s="9"/>
      <c r="G65" s="11"/>
      <c r="H65" s="10"/>
      <c r="I65" s="9"/>
      <c r="J65" s="11"/>
      <c r="K65" s="10"/>
      <c r="L65" s="9"/>
      <c r="M65" s="8"/>
      <c r="N65" s="7"/>
      <c r="O65" s="7"/>
      <c r="P65" s="6"/>
      <c r="Q65" s="6"/>
      <c r="R65" s="6"/>
      <c r="S65" s="6"/>
      <c r="T65" s="6"/>
      <c r="U65" s="6"/>
      <c r="V65" s="6"/>
      <c r="W65" s="6"/>
      <c r="X65" s="6"/>
      <c r="Y65" s="6"/>
      <c r="Z65" s="6"/>
      <c r="AA65" s="6"/>
      <c r="AB65" s="6"/>
      <c r="AC65" s="6"/>
      <c r="AD65" s="6"/>
      <c r="AE65" s="6"/>
      <c r="AF65" s="6"/>
      <c r="AG65" s="6"/>
      <c r="AH65" s="6"/>
      <c r="AI65" s="6"/>
      <c r="AJ65" s="6"/>
      <c r="AK65" s="6"/>
    </row>
    <row r="66" spans="1:37" x14ac:dyDescent="0.25">
      <c r="A66" s="6"/>
      <c r="B66" s="6"/>
      <c r="C66" s="6"/>
      <c r="D66" s="6"/>
      <c r="E66" s="7"/>
      <c r="F66" s="9"/>
      <c r="G66" s="11"/>
      <c r="H66" s="10"/>
      <c r="I66" s="9"/>
      <c r="J66" s="11"/>
      <c r="K66" s="10"/>
      <c r="L66" s="9"/>
      <c r="M66" s="8"/>
      <c r="N66" s="7"/>
      <c r="O66" s="7"/>
      <c r="P66" s="6"/>
      <c r="Q66" s="6"/>
      <c r="R66" s="6"/>
      <c r="S66" s="6"/>
      <c r="T66" s="6"/>
      <c r="U66" s="6"/>
      <c r="V66" s="6"/>
      <c r="W66" s="6"/>
      <c r="X66" s="6"/>
      <c r="Y66" s="6"/>
      <c r="Z66" s="6"/>
      <c r="AA66" s="6"/>
      <c r="AB66" s="6"/>
      <c r="AC66" s="6"/>
      <c r="AD66" s="6"/>
      <c r="AE66" s="6"/>
      <c r="AF66" s="6"/>
      <c r="AG66" s="6"/>
      <c r="AH66" s="6"/>
      <c r="AI66" s="6"/>
      <c r="AJ66" s="6"/>
      <c r="AK66" s="6"/>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6182-CD24-43B6-8527-2DB92BF505F3}">
  <sheetPr codeName="Sheet4">
    <tabColor theme="9"/>
  </sheetPr>
  <dimension ref="A1:V45"/>
  <sheetViews>
    <sheetView workbookViewId="0">
      <pane xSplit="2" topLeftCell="N1" activePane="topRight" state="frozen"/>
      <selection pane="topRight" activeCell="T21" sqref="T21"/>
    </sheetView>
  </sheetViews>
  <sheetFormatPr defaultColWidth="11.42578125" defaultRowHeight="12.75" x14ac:dyDescent="0.2"/>
  <cols>
    <col min="1" max="1" width="19.7109375" style="6" customWidth="1"/>
    <col min="2" max="2" width="7.28515625" style="6" customWidth="1"/>
    <col min="3" max="4" width="9.7109375" style="6" bestFit="1" customWidth="1"/>
    <col min="5" max="5" width="10.42578125" style="7" customWidth="1"/>
    <col min="6" max="7" width="10.7109375" style="6" bestFit="1" customWidth="1"/>
    <col min="8" max="8" width="9.7109375" style="7" customWidth="1"/>
    <col min="9" max="9" width="17.28515625" style="6" bestFit="1" customWidth="1"/>
    <col min="10" max="10" width="13.28515625" style="6" customWidth="1"/>
    <col min="11" max="11" width="12.28515625" style="6" customWidth="1"/>
    <col min="12" max="12" width="14.42578125" style="6" customWidth="1"/>
    <col min="13" max="13" width="5.28515625" style="6" customWidth="1"/>
    <col min="14" max="14" width="15.28515625" style="6" customWidth="1"/>
    <col min="15" max="15" width="10.28515625" style="6" customWidth="1"/>
    <col min="16" max="16" width="10.7109375" style="6" customWidth="1"/>
    <col min="17" max="17" width="13.42578125" style="6" customWidth="1"/>
    <col min="18" max="18" width="11.28515625" style="6" customWidth="1"/>
    <col min="19" max="19" width="12.28515625" style="6" customWidth="1"/>
    <col min="20" max="20" width="13.5703125" style="6" customWidth="1"/>
    <col min="21" max="21" width="11.28515625" style="6" bestFit="1" customWidth="1"/>
    <col min="22" max="16384" width="11.42578125" style="6"/>
  </cols>
  <sheetData>
    <row r="1" spans="1:20" x14ac:dyDescent="0.2">
      <c r="D1" s="170" t="s">
        <v>108</v>
      </c>
      <c r="E1" s="10"/>
      <c r="G1" s="169" t="s">
        <v>106</v>
      </c>
    </row>
    <row r="2" spans="1:20" x14ac:dyDescent="0.2">
      <c r="A2" s="161"/>
      <c r="B2" s="80"/>
      <c r="C2" s="505" t="s">
        <v>13</v>
      </c>
      <c r="D2" s="506"/>
      <c r="E2" s="507"/>
      <c r="F2" s="508" t="s">
        <v>190</v>
      </c>
      <c r="G2" s="509"/>
      <c r="H2" s="500"/>
      <c r="I2" s="9"/>
    </row>
    <row r="3" spans="1:20" x14ac:dyDescent="0.2">
      <c r="A3" s="149"/>
      <c r="C3" s="95">
        <v>1997</v>
      </c>
      <c r="D3" s="94">
        <v>2006</v>
      </c>
      <c r="E3" s="105" t="s">
        <v>79</v>
      </c>
      <c r="F3" s="95">
        <v>1997</v>
      </c>
      <c r="G3" s="94">
        <v>2006</v>
      </c>
      <c r="H3" s="168" t="s">
        <v>79</v>
      </c>
    </row>
    <row r="4" spans="1:20" x14ac:dyDescent="0.2">
      <c r="A4" s="149"/>
      <c r="C4" s="49"/>
      <c r="D4" s="11"/>
      <c r="E4" s="10"/>
      <c r="F4" s="167"/>
      <c r="G4" s="11"/>
      <c r="H4" s="48"/>
      <c r="I4" s="9"/>
    </row>
    <row r="5" spans="1:20" ht="15" x14ac:dyDescent="0.25">
      <c r="A5" s="166" t="s">
        <v>189</v>
      </c>
      <c r="B5" s="6" t="s">
        <v>97</v>
      </c>
      <c r="C5" s="148">
        <v>1633000</v>
      </c>
      <c r="D5" s="11"/>
      <c r="E5" s="10"/>
      <c r="F5" s="140">
        <v>68640008</v>
      </c>
      <c r="G5" s="139">
        <v>68640008</v>
      </c>
      <c r="H5" s="138"/>
      <c r="O5" s="6" t="s">
        <v>107</v>
      </c>
    </row>
    <row r="6" spans="1:20" ht="15" x14ac:dyDescent="0.25">
      <c r="A6" s="166" t="s">
        <v>188</v>
      </c>
      <c r="B6" s="6" t="s">
        <v>187</v>
      </c>
      <c r="C6" s="49"/>
      <c r="D6" s="11"/>
      <c r="E6" s="10"/>
      <c r="F6" s="140" t="s">
        <v>186</v>
      </c>
      <c r="G6" s="139">
        <v>25000000</v>
      </c>
      <c r="H6" s="138">
        <f>G6*-L6</f>
        <v>547500</v>
      </c>
      <c r="I6" s="9"/>
      <c r="L6" s="6">
        <v>-2.1899999999999999E-2</v>
      </c>
      <c r="O6" s="6">
        <f>G6/H6</f>
        <v>45.662100456621005</v>
      </c>
      <c r="S6" s="6">
        <f>T31/H6</f>
        <v>0.41592147700518595</v>
      </c>
    </row>
    <row r="7" spans="1:20" ht="15" x14ac:dyDescent="0.25">
      <c r="A7" s="166" t="s">
        <v>185</v>
      </c>
      <c r="B7" s="6" t="s">
        <v>95</v>
      </c>
      <c r="C7" s="49">
        <v>45000</v>
      </c>
      <c r="D7" s="11">
        <v>45000</v>
      </c>
      <c r="E7" s="10"/>
      <c r="F7" s="140">
        <v>150000</v>
      </c>
      <c r="G7" s="139">
        <v>150000</v>
      </c>
      <c r="H7" s="138"/>
      <c r="I7" s="9"/>
      <c r="O7" s="6">
        <f>1/O6</f>
        <v>2.1899999999999999E-2</v>
      </c>
      <c r="Q7" s="6">
        <f>1/2.8571</f>
        <v>0.35000525007875116</v>
      </c>
      <c r="S7" s="6">
        <f>223/958</f>
        <v>0.23277661795407098</v>
      </c>
    </row>
    <row r="8" spans="1:20" x14ac:dyDescent="0.2">
      <c r="A8" s="149" t="s">
        <v>184</v>
      </c>
      <c r="C8" s="49"/>
      <c r="D8" s="11"/>
      <c r="E8" s="10"/>
      <c r="F8" s="49"/>
      <c r="G8" s="11"/>
      <c r="H8" s="48"/>
      <c r="I8" s="9"/>
    </row>
    <row r="9" spans="1:20" x14ac:dyDescent="0.2">
      <c r="A9" s="149"/>
      <c r="C9" s="49"/>
      <c r="D9" s="11"/>
      <c r="E9" s="10"/>
      <c r="F9" s="49"/>
      <c r="G9" s="11"/>
      <c r="H9" s="48"/>
      <c r="I9" s="9"/>
    </row>
    <row r="10" spans="1:20" x14ac:dyDescent="0.2">
      <c r="A10" s="165" t="s">
        <v>183</v>
      </c>
      <c r="B10" s="6" t="s">
        <v>182</v>
      </c>
      <c r="C10" s="49"/>
      <c r="D10" s="11">
        <v>10.17</v>
      </c>
      <c r="E10" s="10" t="s">
        <v>181</v>
      </c>
      <c r="F10" s="49"/>
      <c r="G10" s="11"/>
      <c r="H10" s="48"/>
    </row>
    <row r="11" spans="1:20" x14ac:dyDescent="0.2">
      <c r="A11" s="149" t="s">
        <v>88</v>
      </c>
      <c r="B11" s="6" t="s">
        <v>87</v>
      </c>
      <c r="C11" s="49">
        <v>364</v>
      </c>
      <c r="D11" s="11"/>
      <c r="E11" s="10"/>
      <c r="F11" s="140">
        <v>351</v>
      </c>
      <c r="G11" s="139"/>
      <c r="H11" s="138"/>
    </row>
    <row r="12" spans="1:20" x14ac:dyDescent="0.2">
      <c r="A12" s="149"/>
      <c r="C12" s="49"/>
      <c r="D12" s="11"/>
      <c r="E12" s="10"/>
      <c r="F12" s="89"/>
      <c r="G12" s="88"/>
      <c r="H12" s="154"/>
    </row>
    <row r="13" spans="1:20" ht="14.25" customHeight="1" x14ac:dyDescent="0.2">
      <c r="A13" s="161"/>
      <c r="B13" s="80"/>
      <c r="C13" s="164"/>
      <c r="D13" s="163"/>
      <c r="E13" s="162"/>
      <c r="F13" s="9"/>
      <c r="G13" s="11"/>
      <c r="H13" s="48"/>
      <c r="I13" s="161"/>
      <c r="J13" s="510" t="s">
        <v>84</v>
      </c>
      <c r="K13" s="160"/>
      <c r="L13" s="511" t="s">
        <v>83</v>
      </c>
      <c r="M13" s="80"/>
      <c r="N13" s="160"/>
      <c r="O13" s="159" t="s">
        <v>180</v>
      </c>
      <c r="P13" s="158" t="s">
        <v>179</v>
      </c>
      <c r="Q13" s="159" t="s">
        <v>180</v>
      </c>
      <c r="R13" s="158" t="s">
        <v>179</v>
      </c>
      <c r="S13" s="159" t="s">
        <v>180</v>
      </c>
      <c r="T13" s="158" t="s">
        <v>179</v>
      </c>
    </row>
    <row r="14" spans="1:20" ht="14.25" x14ac:dyDescent="0.2">
      <c r="A14" s="501" t="s">
        <v>85</v>
      </c>
      <c r="B14" s="502"/>
      <c r="C14" s="157"/>
      <c r="D14" s="88"/>
      <c r="E14" s="156"/>
      <c r="F14" s="155"/>
      <c r="G14" s="88"/>
      <c r="H14" s="154"/>
      <c r="I14" s="153"/>
      <c r="J14" s="494"/>
      <c r="K14" s="152" t="s">
        <v>79</v>
      </c>
      <c r="L14" s="512"/>
      <c r="M14" s="63"/>
      <c r="N14" s="152" t="s">
        <v>79</v>
      </c>
      <c r="O14" s="503" t="s">
        <v>178</v>
      </c>
      <c r="P14" s="504"/>
      <c r="Q14" s="503" t="s">
        <v>177</v>
      </c>
      <c r="R14" s="504"/>
      <c r="S14" s="503" t="s">
        <v>176</v>
      </c>
      <c r="T14" s="504"/>
    </row>
    <row r="15" spans="1:20" x14ac:dyDescent="0.2">
      <c r="A15" s="40" t="s">
        <v>66</v>
      </c>
      <c r="C15" s="68">
        <v>0</v>
      </c>
      <c r="D15" s="142">
        <v>0</v>
      </c>
      <c r="E15" s="141"/>
      <c r="F15" s="140">
        <v>30900</v>
      </c>
      <c r="G15" s="139">
        <f t="shared" ref="G15:G30" si="0">F15*$G$7/$F$7</f>
        <v>30900</v>
      </c>
      <c r="H15" s="138"/>
      <c r="I15" s="53" t="s">
        <v>66</v>
      </c>
      <c r="J15" s="80">
        <f>0.7172*1000</f>
        <v>717.19999999999993</v>
      </c>
      <c r="K15" s="78" t="s">
        <v>76</v>
      </c>
      <c r="L15" s="53">
        <f>43.71*1000</f>
        <v>43710</v>
      </c>
      <c r="M15" s="54"/>
      <c r="N15" s="151" t="s">
        <v>173</v>
      </c>
      <c r="O15" s="150">
        <f t="shared" ref="O15:O30" si="1">D15</f>
        <v>0</v>
      </c>
      <c r="P15" s="150">
        <f t="shared" ref="P15:P30" si="2">G15</f>
        <v>30900</v>
      </c>
      <c r="Q15" s="50">
        <f>O15*J15/10^3</f>
        <v>0</v>
      </c>
      <c r="R15" s="50">
        <f t="shared" ref="R15:R30" si="3">P15*$J15/10^3</f>
        <v>22161.479999999996</v>
      </c>
      <c r="S15" s="71">
        <f t="shared" ref="S15:S28" si="4">Q15*10^3*$L15/10^9</f>
        <v>0</v>
      </c>
      <c r="T15" s="71">
        <f t="shared" ref="T15:T30" si="5">R15*10^3*$L15/10^9</f>
        <v>968.6782907999999</v>
      </c>
    </row>
    <row r="16" spans="1:20" x14ac:dyDescent="0.2">
      <c r="A16" s="40" t="s">
        <v>64</v>
      </c>
      <c r="C16" s="68">
        <v>0</v>
      </c>
      <c r="D16" s="142">
        <v>0</v>
      </c>
      <c r="E16" s="141"/>
      <c r="F16" s="140">
        <v>0</v>
      </c>
      <c r="G16" s="139">
        <f t="shared" si="0"/>
        <v>0</v>
      </c>
      <c r="H16" s="138"/>
      <c r="I16" s="72" t="s">
        <v>64</v>
      </c>
      <c r="J16" s="6">
        <f>1.0132*1000</f>
        <v>1013.2</v>
      </c>
      <c r="K16" s="48" t="s">
        <v>76</v>
      </c>
      <c r="L16" s="72">
        <v>40193</v>
      </c>
      <c r="M16" s="45"/>
      <c r="N16" s="10" t="s">
        <v>76</v>
      </c>
      <c r="O16" s="136">
        <f t="shared" si="1"/>
        <v>0</v>
      </c>
      <c r="P16" s="136">
        <f t="shared" si="2"/>
        <v>0</v>
      </c>
      <c r="Q16" s="50">
        <f>O16*J16/10^3</f>
        <v>0</v>
      </c>
      <c r="R16" s="72">
        <f t="shared" si="3"/>
        <v>0</v>
      </c>
      <c r="S16" s="71">
        <f t="shared" si="4"/>
        <v>0</v>
      </c>
      <c r="T16" s="71">
        <f t="shared" si="5"/>
        <v>0</v>
      </c>
    </row>
    <row r="17" spans="1:21" x14ac:dyDescent="0.2">
      <c r="A17" s="40" t="s">
        <v>62</v>
      </c>
      <c r="C17" s="68">
        <v>0</v>
      </c>
      <c r="D17" s="142">
        <v>0</v>
      </c>
      <c r="E17" s="141"/>
      <c r="F17" s="140">
        <v>0</v>
      </c>
      <c r="G17" s="139">
        <f t="shared" si="0"/>
        <v>0</v>
      </c>
      <c r="H17" s="138"/>
      <c r="I17" s="72" t="s">
        <v>62</v>
      </c>
      <c r="J17" s="6">
        <f>0.718*1000</f>
        <v>718</v>
      </c>
      <c r="K17" s="10" t="s">
        <v>76</v>
      </c>
      <c r="L17" s="72">
        <v>45008</v>
      </c>
      <c r="M17" s="45"/>
      <c r="N17" s="10" t="s">
        <v>76</v>
      </c>
      <c r="O17" s="136">
        <f t="shared" si="1"/>
        <v>0</v>
      </c>
      <c r="P17" s="49">
        <f t="shared" si="2"/>
        <v>0</v>
      </c>
      <c r="Q17" s="72">
        <f>O17*J17/10^3</f>
        <v>0</v>
      </c>
      <c r="R17" s="72">
        <f t="shared" si="3"/>
        <v>0</v>
      </c>
      <c r="S17" s="71">
        <f t="shared" si="4"/>
        <v>0</v>
      </c>
      <c r="T17" s="71">
        <f t="shared" si="5"/>
        <v>0</v>
      </c>
    </row>
    <row r="18" spans="1:21" x14ac:dyDescent="0.2">
      <c r="A18" s="40" t="s">
        <v>60</v>
      </c>
      <c r="C18" s="68">
        <v>394700</v>
      </c>
      <c r="D18" s="142">
        <v>394700</v>
      </c>
      <c r="E18" s="141"/>
      <c r="F18" s="140">
        <v>1374800</v>
      </c>
      <c r="G18" s="139">
        <f t="shared" si="0"/>
        <v>1374800</v>
      </c>
      <c r="H18" s="138"/>
      <c r="I18" s="72" t="s">
        <v>60</v>
      </c>
      <c r="J18" s="45">
        <f>AVERAGE(54.6,53,59.9)*(3.2808)^3*0.453593</f>
        <v>894.33282118473073</v>
      </c>
      <c r="K18" s="10" t="s">
        <v>78</v>
      </c>
      <c r="L18" s="72">
        <f>46*1000</f>
        <v>46000</v>
      </c>
      <c r="M18" s="45"/>
      <c r="N18" s="10" t="s">
        <v>77</v>
      </c>
      <c r="O18" s="136">
        <f t="shared" si="1"/>
        <v>394700</v>
      </c>
      <c r="P18" s="49">
        <f t="shared" si="2"/>
        <v>1374800</v>
      </c>
      <c r="Q18" s="72">
        <f>O18*J18/10^3</f>
        <v>352993.16452161322</v>
      </c>
      <c r="R18" s="72">
        <f t="shared" si="3"/>
        <v>1229528.7625647679</v>
      </c>
      <c r="S18" s="71">
        <f t="shared" si="4"/>
        <v>16237.685567994209</v>
      </c>
      <c r="T18" s="71">
        <f t="shared" si="5"/>
        <v>56558.323077979323</v>
      </c>
      <c r="U18" s="73">
        <f>T18+S18</f>
        <v>72796.008645973532</v>
      </c>
    </row>
    <row r="19" spans="1:21" x14ac:dyDescent="0.2">
      <c r="A19" s="149" t="s">
        <v>175</v>
      </c>
      <c r="C19" s="148">
        <v>123400</v>
      </c>
      <c r="D19" s="67">
        <v>123400</v>
      </c>
      <c r="E19" s="147"/>
      <c r="F19" s="140">
        <v>816800</v>
      </c>
      <c r="G19" s="139">
        <f t="shared" si="0"/>
        <v>816800</v>
      </c>
      <c r="H19" s="138"/>
      <c r="I19" s="72" t="s">
        <v>175</v>
      </c>
      <c r="J19" s="45">
        <v>794</v>
      </c>
      <c r="K19" s="146" t="s">
        <v>174</v>
      </c>
      <c r="L19" s="72">
        <v>26700</v>
      </c>
      <c r="M19" s="45"/>
      <c r="N19" s="144" t="s">
        <v>174</v>
      </c>
      <c r="O19" s="136">
        <f t="shared" si="1"/>
        <v>123400</v>
      </c>
      <c r="P19" s="49">
        <f t="shared" si="2"/>
        <v>816800</v>
      </c>
      <c r="Q19" s="72">
        <f>O19*$J19/10^3</f>
        <v>97979.6</v>
      </c>
      <c r="R19" s="72">
        <f t="shared" si="3"/>
        <v>648539.19999999995</v>
      </c>
      <c r="S19" s="71">
        <f t="shared" si="4"/>
        <v>2616.0553199999999</v>
      </c>
      <c r="T19" s="71">
        <f t="shared" si="5"/>
        <v>17315.996640000001</v>
      </c>
    </row>
    <row r="20" spans="1:21" x14ac:dyDescent="0.2">
      <c r="A20" s="40" t="s">
        <v>58</v>
      </c>
      <c r="C20" s="68">
        <v>0</v>
      </c>
      <c r="D20" s="142">
        <v>0</v>
      </c>
      <c r="E20" s="141"/>
      <c r="F20" s="140">
        <v>0</v>
      </c>
      <c r="G20" s="139">
        <f t="shared" si="0"/>
        <v>0</v>
      </c>
      <c r="H20" s="138"/>
      <c r="I20" s="72" t="s">
        <v>58</v>
      </c>
      <c r="J20" s="6">
        <f>0.9475*1000</f>
        <v>947.5</v>
      </c>
      <c r="K20" s="10" t="s">
        <v>76</v>
      </c>
      <c r="L20" s="72">
        <v>40193</v>
      </c>
      <c r="M20" s="45"/>
      <c r="N20" s="10" t="s">
        <v>76</v>
      </c>
      <c r="O20" s="136">
        <f t="shared" si="1"/>
        <v>0</v>
      </c>
      <c r="P20" s="49">
        <f t="shared" si="2"/>
        <v>0</v>
      </c>
      <c r="Q20" s="72">
        <f>O20*J20/10^3</f>
        <v>0</v>
      </c>
      <c r="R20" s="72">
        <f t="shared" si="3"/>
        <v>0</v>
      </c>
      <c r="S20" s="71">
        <f t="shared" si="4"/>
        <v>0</v>
      </c>
      <c r="T20" s="71">
        <f t="shared" si="5"/>
        <v>0</v>
      </c>
    </row>
    <row r="21" spans="1:21" ht="15" x14ac:dyDescent="0.25">
      <c r="A21" s="40" t="s">
        <v>57</v>
      </c>
      <c r="C21" s="68">
        <v>14500</v>
      </c>
      <c r="D21" s="142">
        <v>14500</v>
      </c>
      <c r="E21" s="141"/>
      <c r="F21" s="140">
        <v>189400</v>
      </c>
      <c r="G21" s="139">
        <f t="shared" si="0"/>
        <v>189400</v>
      </c>
      <c r="H21" s="138"/>
      <c r="I21" s="40" t="s">
        <v>57</v>
      </c>
      <c r="J21" s="6">
        <f>0.6948*1000</f>
        <v>694.8</v>
      </c>
      <c r="K21" s="10" t="s">
        <v>76</v>
      </c>
      <c r="L21" s="72">
        <v>48148</v>
      </c>
      <c r="M21" s="77"/>
      <c r="N21" s="10" t="s">
        <v>76</v>
      </c>
      <c r="O21" s="136">
        <f t="shared" si="1"/>
        <v>14500</v>
      </c>
      <c r="P21" s="49">
        <f t="shared" si="2"/>
        <v>189400</v>
      </c>
      <c r="Q21" s="72">
        <f>O21*$J21/10^3</f>
        <v>10074.6</v>
      </c>
      <c r="R21" s="72">
        <f t="shared" si="3"/>
        <v>131595.12</v>
      </c>
      <c r="S21" s="71">
        <f t="shared" si="4"/>
        <v>485.07184080000002</v>
      </c>
      <c r="T21" s="145">
        <f t="shared" si="5"/>
        <v>6336.0418377599999</v>
      </c>
    </row>
    <row r="22" spans="1:21" x14ac:dyDescent="0.2">
      <c r="A22" s="40" t="s">
        <v>56</v>
      </c>
      <c r="C22" s="68">
        <v>200600</v>
      </c>
      <c r="D22" s="142">
        <v>200600</v>
      </c>
      <c r="E22" s="141"/>
      <c r="F22" s="140">
        <v>292400</v>
      </c>
      <c r="G22" s="139">
        <f t="shared" si="0"/>
        <v>292400</v>
      </c>
      <c r="H22" s="138"/>
      <c r="I22" s="72" t="s">
        <v>56</v>
      </c>
      <c r="J22" s="6">
        <f>0.797*1000</f>
        <v>797</v>
      </c>
      <c r="K22" s="10" t="s">
        <v>76</v>
      </c>
      <c r="L22" s="72">
        <f>43.28*1000</f>
        <v>43280</v>
      </c>
      <c r="M22" s="45"/>
      <c r="N22" s="144" t="s">
        <v>173</v>
      </c>
      <c r="O22" s="136">
        <f t="shared" si="1"/>
        <v>200600</v>
      </c>
      <c r="P22" s="49">
        <f t="shared" si="2"/>
        <v>292400</v>
      </c>
      <c r="Q22" s="72">
        <f t="shared" ref="Q22:Q30" si="6">O22*J22/10^3</f>
        <v>159878.20000000001</v>
      </c>
      <c r="R22" s="72">
        <f t="shared" si="3"/>
        <v>233042.8</v>
      </c>
      <c r="S22" s="71">
        <f t="shared" si="4"/>
        <v>6919.5284959999999</v>
      </c>
      <c r="T22" s="71">
        <f t="shared" si="5"/>
        <v>10086.092384</v>
      </c>
    </row>
    <row r="23" spans="1:21" x14ac:dyDescent="0.2">
      <c r="A23" s="40" t="s">
        <v>55</v>
      </c>
      <c r="C23" s="68">
        <v>77900</v>
      </c>
      <c r="D23" s="142">
        <v>77900</v>
      </c>
      <c r="E23" s="141"/>
      <c r="F23" s="140">
        <v>122900</v>
      </c>
      <c r="G23" s="139">
        <f t="shared" si="0"/>
        <v>122900</v>
      </c>
      <c r="H23" s="138"/>
      <c r="I23" s="72" t="s">
        <v>55</v>
      </c>
      <c r="J23" s="6">
        <f>0.562*1000</f>
        <v>562</v>
      </c>
      <c r="K23" s="10" t="s">
        <v>76</v>
      </c>
      <c r="L23" s="72">
        <v>47311</v>
      </c>
      <c r="M23" s="45"/>
      <c r="N23" s="10" t="s">
        <v>76</v>
      </c>
      <c r="O23" s="136">
        <f t="shared" si="1"/>
        <v>77900</v>
      </c>
      <c r="P23" s="49">
        <f t="shared" si="2"/>
        <v>122900</v>
      </c>
      <c r="Q23" s="72">
        <f t="shared" si="6"/>
        <v>43779.8</v>
      </c>
      <c r="R23" s="72">
        <f t="shared" si="3"/>
        <v>69069.8</v>
      </c>
      <c r="S23" s="71">
        <f t="shared" si="4"/>
        <v>2071.2661177999998</v>
      </c>
      <c r="T23" s="71">
        <f t="shared" si="5"/>
        <v>3267.7613077999999</v>
      </c>
    </row>
    <row r="24" spans="1:21" ht="15" x14ac:dyDescent="0.25">
      <c r="A24" s="40" t="s">
        <v>54</v>
      </c>
      <c r="C24" s="68">
        <v>0</v>
      </c>
      <c r="D24" s="142">
        <v>0</v>
      </c>
      <c r="E24" s="141"/>
      <c r="F24" s="140">
        <v>0</v>
      </c>
      <c r="G24" s="139">
        <f t="shared" si="0"/>
        <v>0</v>
      </c>
      <c r="H24" s="138"/>
      <c r="I24" s="72" t="s">
        <v>54</v>
      </c>
      <c r="J24" s="6">
        <f>0.891*1000</f>
        <v>891</v>
      </c>
      <c r="K24" s="10" t="s">
        <v>76</v>
      </c>
      <c r="L24" s="479">
        <f>L20</f>
        <v>40193</v>
      </c>
      <c r="M24" s="75"/>
      <c r="N24" s="143"/>
      <c r="O24" s="136">
        <f t="shared" si="1"/>
        <v>0</v>
      </c>
      <c r="P24" s="49">
        <f t="shared" si="2"/>
        <v>0</v>
      </c>
      <c r="Q24" s="72">
        <f t="shared" si="6"/>
        <v>0</v>
      </c>
      <c r="R24" s="72">
        <f t="shared" si="3"/>
        <v>0</v>
      </c>
      <c r="S24" s="71">
        <f t="shared" si="4"/>
        <v>0</v>
      </c>
      <c r="T24" s="71">
        <f t="shared" si="5"/>
        <v>0</v>
      </c>
    </row>
    <row r="25" spans="1:21" ht="14.25" x14ac:dyDescent="0.2">
      <c r="A25" s="40" t="s">
        <v>53</v>
      </c>
      <c r="C25" s="68">
        <v>0</v>
      </c>
      <c r="D25" s="142">
        <v>0</v>
      </c>
      <c r="E25" s="141"/>
      <c r="F25" s="140">
        <v>11700</v>
      </c>
      <c r="G25" s="139">
        <f t="shared" si="0"/>
        <v>11700</v>
      </c>
      <c r="H25" s="138"/>
      <c r="I25" s="72" t="s">
        <v>172</v>
      </c>
      <c r="J25" s="6">
        <v>723</v>
      </c>
      <c r="K25" s="10" t="s">
        <v>75</v>
      </c>
      <c r="L25" s="72">
        <v>47300</v>
      </c>
      <c r="M25" s="45"/>
      <c r="N25" s="10" t="s">
        <v>75</v>
      </c>
      <c r="O25" s="136">
        <f t="shared" si="1"/>
        <v>0</v>
      </c>
      <c r="P25" s="49">
        <f t="shared" si="2"/>
        <v>11700</v>
      </c>
      <c r="Q25" s="72">
        <f t="shared" si="6"/>
        <v>0</v>
      </c>
      <c r="R25" s="72">
        <f t="shared" si="3"/>
        <v>8459.1</v>
      </c>
      <c r="S25" s="71">
        <f t="shared" si="4"/>
        <v>0</v>
      </c>
      <c r="T25" s="71">
        <f t="shared" si="5"/>
        <v>400.11543</v>
      </c>
      <c r="U25" s="73">
        <f>SUM(S25:S28)+SUM(T25:T28)</f>
        <v>156530.62788000001</v>
      </c>
    </row>
    <row r="26" spans="1:21" ht="14.25" x14ac:dyDescent="0.2">
      <c r="A26" s="40" t="s">
        <v>52</v>
      </c>
      <c r="C26" s="68">
        <v>0</v>
      </c>
      <c r="D26" s="142">
        <v>0</v>
      </c>
      <c r="E26" s="141"/>
      <c r="F26" s="140">
        <v>3428400</v>
      </c>
      <c r="G26" s="139">
        <f t="shared" si="0"/>
        <v>3428400</v>
      </c>
      <c r="H26" s="138"/>
      <c r="I26" s="72" t="s">
        <v>171</v>
      </c>
      <c r="J26" s="6">
        <v>723</v>
      </c>
      <c r="K26" s="10" t="s">
        <v>75</v>
      </c>
      <c r="L26" s="72">
        <v>47300</v>
      </c>
      <c r="M26" s="45"/>
      <c r="N26" s="10" t="s">
        <v>75</v>
      </c>
      <c r="O26" s="136">
        <f t="shared" si="1"/>
        <v>0</v>
      </c>
      <c r="P26" s="49">
        <f t="shared" si="2"/>
        <v>3428400</v>
      </c>
      <c r="Q26" s="72">
        <f t="shared" si="6"/>
        <v>0</v>
      </c>
      <c r="R26" s="72">
        <f t="shared" si="3"/>
        <v>2478733.2000000002</v>
      </c>
      <c r="S26" s="71">
        <f t="shared" si="4"/>
        <v>0</v>
      </c>
      <c r="T26" s="71">
        <f t="shared" si="5"/>
        <v>117244.08036000001</v>
      </c>
    </row>
    <row r="27" spans="1:21" ht="14.25" x14ac:dyDescent="0.2">
      <c r="A27" s="40" t="s">
        <v>51</v>
      </c>
      <c r="C27" s="68">
        <v>27100</v>
      </c>
      <c r="D27" s="142">
        <v>27100</v>
      </c>
      <c r="E27" s="141"/>
      <c r="F27" s="140">
        <v>19200</v>
      </c>
      <c r="G27" s="139">
        <f t="shared" si="0"/>
        <v>19200</v>
      </c>
      <c r="H27" s="138"/>
      <c r="I27" s="72" t="s">
        <v>170</v>
      </c>
      <c r="J27" s="6">
        <v>723</v>
      </c>
      <c r="K27" s="10" t="s">
        <v>75</v>
      </c>
      <c r="L27" s="72">
        <v>47300</v>
      </c>
      <c r="M27" s="45"/>
      <c r="N27" s="10" t="s">
        <v>75</v>
      </c>
      <c r="O27" s="136">
        <f t="shared" si="1"/>
        <v>27100</v>
      </c>
      <c r="P27" s="49">
        <f t="shared" si="2"/>
        <v>19200</v>
      </c>
      <c r="Q27" s="72">
        <f t="shared" si="6"/>
        <v>19593.3</v>
      </c>
      <c r="R27" s="72">
        <f t="shared" si="3"/>
        <v>13881.6</v>
      </c>
      <c r="S27" s="71">
        <f t="shared" si="4"/>
        <v>926.76309000000003</v>
      </c>
      <c r="T27" s="71">
        <f t="shared" si="5"/>
        <v>656.59968000000003</v>
      </c>
    </row>
    <row r="28" spans="1:21" ht="14.25" x14ac:dyDescent="0.2">
      <c r="A28" s="40" t="s">
        <v>50</v>
      </c>
      <c r="C28" s="68">
        <v>795000</v>
      </c>
      <c r="D28" s="142">
        <v>795000</v>
      </c>
      <c r="E28" s="141"/>
      <c r="F28" s="140">
        <v>295800</v>
      </c>
      <c r="G28" s="139">
        <f t="shared" si="0"/>
        <v>295800</v>
      </c>
      <c r="H28" s="138"/>
      <c r="I28" s="72" t="s">
        <v>169</v>
      </c>
      <c r="J28" s="6">
        <v>723</v>
      </c>
      <c r="K28" s="10" t="s">
        <v>75</v>
      </c>
      <c r="L28" s="72">
        <v>47300</v>
      </c>
      <c r="M28" s="45"/>
      <c r="N28" s="10" t="s">
        <v>75</v>
      </c>
      <c r="O28" s="136">
        <f t="shared" si="1"/>
        <v>795000</v>
      </c>
      <c r="P28" s="49">
        <f t="shared" si="2"/>
        <v>295800</v>
      </c>
      <c r="Q28" s="72">
        <f t="shared" si="6"/>
        <v>574785</v>
      </c>
      <c r="R28" s="72">
        <f t="shared" si="3"/>
        <v>213863.4</v>
      </c>
      <c r="S28" s="71">
        <f t="shared" si="4"/>
        <v>27187.3305</v>
      </c>
      <c r="T28" s="71">
        <f t="shared" si="5"/>
        <v>10115.73882</v>
      </c>
      <c r="U28" s="73">
        <f>SUM(T25:T28)</f>
        <v>128416.53429000001</v>
      </c>
    </row>
    <row r="29" spans="1:21" ht="15" x14ac:dyDescent="0.25">
      <c r="A29" s="40" t="s">
        <v>49</v>
      </c>
      <c r="C29" s="68">
        <v>0</v>
      </c>
      <c r="D29" s="142">
        <v>0</v>
      </c>
      <c r="E29" s="141"/>
      <c r="F29" s="140">
        <v>6200</v>
      </c>
      <c r="G29" s="139">
        <f t="shared" si="0"/>
        <v>6200</v>
      </c>
      <c r="H29" s="138"/>
      <c r="I29" s="72" t="s">
        <v>49</v>
      </c>
      <c r="J29" s="182">
        <f>J22</f>
        <v>797</v>
      </c>
      <c r="L29" s="477">
        <f>L22</f>
        <v>43280</v>
      </c>
      <c r="M29" s="137"/>
      <c r="N29" s="10" t="s">
        <v>74</v>
      </c>
      <c r="O29" s="136">
        <f t="shared" si="1"/>
        <v>0</v>
      </c>
      <c r="P29" s="49">
        <f t="shared" si="2"/>
        <v>6200</v>
      </c>
      <c r="Q29" s="72">
        <f t="shared" si="6"/>
        <v>0</v>
      </c>
      <c r="R29" s="72">
        <f t="shared" si="3"/>
        <v>4941.3999999999996</v>
      </c>
      <c r="S29" s="71">
        <f>Q29*10^3*$L29/10^9</f>
        <v>0</v>
      </c>
      <c r="T29" s="71">
        <f t="shared" si="5"/>
        <v>213.86379199999999</v>
      </c>
    </row>
    <row r="30" spans="1:21" ht="15" x14ac:dyDescent="0.25">
      <c r="A30" s="38" t="s">
        <v>48</v>
      </c>
      <c r="B30" s="63"/>
      <c r="C30" s="61">
        <v>0</v>
      </c>
      <c r="D30" s="135">
        <v>0</v>
      </c>
      <c r="E30" s="134"/>
      <c r="F30" s="133">
        <v>214800</v>
      </c>
      <c r="G30" s="132">
        <f t="shared" si="0"/>
        <v>214800</v>
      </c>
      <c r="H30" s="131"/>
      <c r="I30" s="130" t="s">
        <v>48</v>
      </c>
      <c r="J30" s="476">
        <f>J19</f>
        <v>794</v>
      </c>
      <c r="K30" s="129"/>
      <c r="L30" s="478">
        <f>'Crude refineries'!S25</f>
        <v>26700</v>
      </c>
      <c r="M30" s="128"/>
      <c r="N30" s="127"/>
      <c r="O30" s="126">
        <f t="shared" si="1"/>
        <v>0</v>
      </c>
      <c r="P30" s="89">
        <f t="shared" si="2"/>
        <v>214800</v>
      </c>
      <c r="Q30" s="72">
        <f t="shared" si="6"/>
        <v>0</v>
      </c>
      <c r="R30" s="72">
        <f t="shared" si="3"/>
        <v>170551.2</v>
      </c>
      <c r="S30" s="71">
        <f>Q30*10^3*$L30/10^9</f>
        <v>0</v>
      </c>
      <c r="T30" s="71">
        <f t="shared" si="5"/>
        <v>4553.7170400000005</v>
      </c>
    </row>
    <row r="31" spans="1:21" x14ac:dyDescent="0.2">
      <c r="C31" s="9"/>
      <c r="D31" s="9">
        <f>SUM(D15:D30)</f>
        <v>1633200</v>
      </c>
      <c r="E31" s="10"/>
      <c r="F31" s="9"/>
      <c r="G31" s="9">
        <f>SUM(G15:G30)</f>
        <v>6803300</v>
      </c>
      <c r="H31" s="10"/>
      <c r="O31" s="9">
        <f t="shared" ref="O31:T31" si="7">SUM(O15:O30)</f>
        <v>1633200</v>
      </c>
      <c r="P31" s="9">
        <f t="shared" si="7"/>
        <v>6803300</v>
      </c>
      <c r="Q31" s="9">
        <f t="shared" si="7"/>
        <v>1259083.6645216134</v>
      </c>
      <c r="R31" s="9">
        <f t="shared" si="7"/>
        <v>5224367.0625647688</v>
      </c>
      <c r="S31" s="9">
        <f t="shared" si="7"/>
        <v>56443.700932594205</v>
      </c>
      <c r="T31" s="9">
        <f t="shared" si="7"/>
        <v>227717.00866033931</v>
      </c>
    </row>
    <row r="32" spans="1:21" x14ac:dyDescent="0.2">
      <c r="C32" s="9"/>
      <c r="D32" s="9"/>
      <c r="E32" s="10"/>
      <c r="F32" s="9"/>
      <c r="G32" s="9"/>
      <c r="H32" s="10"/>
      <c r="Q32" s="125">
        <f>Q31*2.3</f>
        <v>2895892.4283997105</v>
      </c>
      <c r="T32" s="6">
        <f>7/5*T31</f>
        <v>318803.81212447502</v>
      </c>
    </row>
    <row r="33" spans="1:22" ht="13.5" customHeight="1" x14ac:dyDescent="0.2">
      <c r="A33" s="43" t="s">
        <v>79</v>
      </c>
      <c r="C33" s="9"/>
      <c r="D33" s="9"/>
      <c r="E33" s="10"/>
      <c r="F33" s="9"/>
      <c r="G33" s="9"/>
      <c r="H33" s="10"/>
      <c r="L33" s="9"/>
      <c r="M33" s="9"/>
      <c r="N33" s="9"/>
      <c r="O33" s="9"/>
      <c r="P33" s="9"/>
      <c r="Q33" s="9"/>
      <c r="R33" s="9"/>
    </row>
    <row r="34" spans="1:22" x14ac:dyDescent="0.2">
      <c r="C34" s="9"/>
      <c r="D34" s="9"/>
      <c r="E34" s="10"/>
      <c r="F34" s="9"/>
      <c r="G34" s="9"/>
      <c r="H34" s="10"/>
      <c r="L34" s="9"/>
      <c r="M34" s="9"/>
      <c r="N34" s="9"/>
      <c r="O34" s="9"/>
      <c r="Q34" s="6" t="s">
        <v>168</v>
      </c>
      <c r="R34" s="9">
        <v>1020000</v>
      </c>
      <c r="S34" s="6" t="s">
        <v>167</v>
      </c>
      <c r="T34" s="9">
        <f>Q31</f>
        <v>1259083.6645216134</v>
      </c>
      <c r="U34" s="6" t="s">
        <v>166</v>
      </c>
      <c r="V34" s="6" t="s">
        <v>165</v>
      </c>
    </row>
    <row r="35" spans="1:22" ht="24" customHeight="1" x14ac:dyDescent="0.2">
      <c r="A35" s="6" t="s">
        <v>70</v>
      </c>
      <c r="C35" s="9"/>
      <c r="P35" s="6" t="s">
        <v>164</v>
      </c>
      <c r="Q35" s="90">
        <v>0.06</v>
      </c>
      <c r="R35" s="6">
        <f t="shared" ref="R35:R41" si="8">Q35*$R$34</f>
        <v>61200</v>
      </c>
      <c r="S35" s="123">
        <f>R35*1000*L18*0.000000001</f>
        <v>2815.2000000000003</v>
      </c>
      <c r="T35" s="123">
        <f t="shared" ref="T35:T41" si="9">Q35*$T$34</f>
        <v>75545.019871296798</v>
      </c>
      <c r="U35" s="123">
        <f>T35*1000*L18*0.000000001</f>
        <v>3475.0709140796525</v>
      </c>
      <c r="V35" s="123">
        <f>RefineriesData!Y236</f>
        <v>1875.9460465116279</v>
      </c>
    </row>
    <row r="36" spans="1:22" ht="24" customHeight="1" x14ac:dyDescent="0.2">
      <c r="A36" s="6" t="s">
        <v>163</v>
      </c>
      <c r="C36" s="9"/>
      <c r="P36" s="6" t="s">
        <v>162</v>
      </c>
      <c r="Q36" s="124">
        <v>0.53</v>
      </c>
      <c r="R36" s="6">
        <f t="shared" si="8"/>
        <v>540600</v>
      </c>
      <c r="S36" s="123">
        <f>R36*L25*0.000001</f>
        <v>25570.379999999997</v>
      </c>
      <c r="T36" s="123">
        <f t="shared" si="9"/>
        <v>667314.34219645511</v>
      </c>
      <c r="U36" s="123">
        <f>T36*L25*0.000001</f>
        <v>31563.968385892324</v>
      </c>
      <c r="V36" s="123">
        <f>RefineriesData!Y237</f>
        <v>16570.856744186047</v>
      </c>
    </row>
    <row r="37" spans="1:22" ht="24" customHeight="1" x14ac:dyDescent="0.2">
      <c r="A37" s="6" t="s">
        <v>161</v>
      </c>
      <c r="C37" s="9"/>
      <c r="P37" s="6" t="s">
        <v>160</v>
      </c>
      <c r="Q37" s="124">
        <v>0.11</v>
      </c>
      <c r="R37" s="6">
        <f t="shared" si="8"/>
        <v>112200</v>
      </c>
      <c r="S37" s="123">
        <f>R37*L22*0.000001</f>
        <v>4856.0159999999996</v>
      </c>
      <c r="T37" s="123">
        <f t="shared" si="9"/>
        <v>138499.20309737747</v>
      </c>
      <c r="U37" s="123">
        <f>T37*L22*0.000001</f>
        <v>5994.2455100544967</v>
      </c>
      <c r="V37" s="123">
        <f>RefineriesData!Y238</f>
        <v>3439.2344186046507</v>
      </c>
    </row>
    <row r="38" spans="1:22" ht="24" customHeight="1" x14ac:dyDescent="0.2">
      <c r="A38" s="6" t="s">
        <v>67</v>
      </c>
      <c r="C38" s="9"/>
      <c r="P38" s="6" t="s">
        <v>159</v>
      </c>
      <c r="Q38" s="124">
        <v>0.08</v>
      </c>
      <c r="R38" s="6">
        <f t="shared" si="8"/>
        <v>81600</v>
      </c>
      <c r="S38" s="123">
        <f>R38*L23*0.000001</f>
        <v>3860.5775999999996</v>
      </c>
      <c r="T38" s="123">
        <f t="shared" si="9"/>
        <v>100726.69316172907</v>
      </c>
      <c r="U38" s="123">
        <f>T38*L23*0.000001</f>
        <v>4765.4805801745642</v>
      </c>
      <c r="V38" s="123">
        <f>RefineriesData!Y239</f>
        <v>2501.2613953488376</v>
      </c>
    </row>
    <row r="39" spans="1:22" ht="24" customHeight="1" x14ac:dyDescent="0.2">
      <c r="A39" s="6" t="s">
        <v>65</v>
      </c>
      <c r="P39" s="6" t="s">
        <v>158</v>
      </c>
      <c r="Q39" s="124">
        <v>0.12</v>
      </c>
      <c r="R39" s="6">
        <f t="shared" si="8"/>
        <v>122400</v>
      </c>
      <c r="S39" s="123">
        <f>R39*L17*0.000001</f>
        <v>5508.9791999999998</v>
      </c>
      <c r="T39" s="123">
        <f t="shared" si="9"/>
        <v>151090.0397425936</v>
      </c>
      <c r="U39" s="123">
        <f>T39*L17*0.000001</f>
        <v>6800.2605087346519</v>
      </c>
      <c r="V39" s="123">
        <f>RefineriesData!Y240</f>
        <v>3751.8920930232557</v>
      </c>
    </row>
    <row r="40" spans="1:22" ht="24" customHeight="1" x14ac:dyDescent="0.2">
      <c r="A40" s="6" t="s">
        <v>63</v>
      </c>
      <c r="P40" s="6" t="s">
        <v>157</v>
      </c>
      <c r="Q40" s="124">
        <v>0.06</v>
      </c>
      <c r="R40" s="6">
        <f t="shared" si="8"/>
        <v>61200</v>
      </c>
      <c r="S40" s="123">
        <f>R40*L19*0.000001</f>
        <v>1634.04</v>
      </c>
      <c r="T40" s="123">
        <f t="shared" si="9"/>
        <v>75545.019871296798</v>
      </c>
      <c r="U40" s="123">
        <f>T40*L19*0.000001</f>
        <v>2017.0520305636244</v>
      </c>
      <c r="V40" s="123">
        <f>RefineriesData!Y241</f>
        <v>1875.9460465116279</v>
      </c>
    </row>
    <row r="41" spans="1:22" ht="24" customHeight="1" x14ac:dyDescent="0.2">
      <c r="A41" s="6" t="s">
        <v>156</v>
      </c>
      <c r="P41" s="6" t="s">
        <v>155</v>
      </c>
      <c r="Q41" s="124">
        <v>0.04</v>
      </c>
      <c r="R41" s="6">
        <f t="shared" si="8"/>
        <v>40800</v>
      </c>
      <c r="S41" s="123">
        <f>R41*L20*0.000001</f>
        <v>1639.8743999999999</v>
      </c>
      <c r="T41" s="123">
        <f t="shared" si="9"/>
        <v>50363.346580864534</v>
      </c>
      <c r="U41" s="123">
        <f>T41*L20*0.000001</f>
        <v>2024.2539891246881</v>
      </c>
      <c r="V41" s="123">
        <f>RefineriesData!Y242</f>
        <v>1250.6306976744188</v>
      </c>
    </row>
    <row r="42" spans="1:22" ht="24" customHeight="1" x14ac:dyDescent="0.2">
      <c r="A42" s="6" t="s">
        <v>61</v>
      </c>
      <c r="S42" s="93">
        <f>SUM(S35:S41)</f>
        <v>45885.067199999998</v>
      </c>
      <c r="T42" s="93"/>
      <c r="U42" s="93">
        <f>SUM(U35:U41)</f>
        <v>56640.331918623997</v>
      </c>
      <c r="V42" s="93">
        <f>SUM(V35:V41)</f>
        <v>31265.767441860466</v>
      </c>
    </row>
    <row r="43" spans="1:22" ht="24" customHeight="1" x14ac:dyDescent="0.2">
      <c r="A43" s="6" t="s">
        <v>59</v>
      </c>
    </row>
    <row r="44" spans="1:22" x14ac:dyDescent="0.2">
      <c r="P44" s="122" t="s">
        <v>154</v>
      </c>
    </row>
    <row r="45" spans="1:22" x14ac:dyDescent="0.2">
      <c r="P45" s="6" t="s">
        <v>153</v>
      </c>
    </row>
  </sheetData>
  <mergeCells count="8">
    <mergeCell ref="A14:B14"/>
    <mergeCell ref="O14:P14"/>
    <mergeCell ref="Q14:R14"/>
    <mergeCell ref="S14:T14"/>
    <mergeCell ref="C2:E2"/>
    <mergeCell ref="F2:H2"/>
    <mergeCell ref="J13:J14"/>
    <mergeCell ref="L13:L14"/>
  </mergeCell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0538F-164C-4B04-80F8-3D69A9BA6B7B}">
  <sheetPr codeName="Sheet5">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173">
        <f>31016/3.6</f>
        <v>8615.5555555555547</v>
      </c>
      <c r="O8">
        <f>29/1.6</f>
        <v>18.125</v>
      </c>
    </row>
    <row r="9" spans="2:19" x14ac:dyDescent="0.25">
      <c r="B9" s="171" t="s">
        <v>305</v>
      </c>
      <c r="C9" s="171"/>
      <c r="D9" s="204">
        <f>96.25/35%/95%*3.6</f>
        <v>1042.105263157895</v>
      </c>
      <c r="P9" s="195"/>
    </row>
    <row r="10" spans="2:19" x14ac:dyDescent="0.25">
      <c r="B10" s="178"/>
      <c r="C10" s="178" t="s">
        <v>200</v>
      </c>
      <c r="D10" s="176">
        <f>D8*D9/1000</f>
        <v>8978.3157894736869</v>
      </c>
    </row>
    <row r="11" spans="2:19" x14ac:dyDescent="0.25">
      <c r="K11" s="173">
        <f>24%*D8</f>
        <v>2067.7333333333331</v>
      </c>
      <c r="L11" s="174" t="s">
        <v>304</v>
      </c>
      <c r="M11" s="171"/>
    </row>
    <row r="12" spans="2:19" x14ac:dyDescent="0.25">
      <c r="B12" s="201"/>
      <c r="C12" s="201" t="s">
        <v>303</v>
      </c>
      <c r="D12" s="173">
        <v>0</v>
      </c>
      <c r="K12" s="197">
        <f t="shared" ref="K12:K18" si="0">$K$11*M12</f>
        <v>206.77333333333331</v>
      </c>
      <c r="L12" s="171" t="s">
        <v>302</v>
      </c>
      <c r="M12" s="202">
        <v>0.1</v>
      </c>
      <c r="O12" t="s">
        <v>301</v>
      </c>
      <c r="P12" t="s">
        <v>300</v>
      </c>
      <c r="Q12" t="s">
        <v>299</v>
      </c>
      <c r="R12" s="195">
        <f>D26</f>
        <v>958308</v>
      </c>
      <c r="S12" s="195">
        <f>R12/21.9</f>
        <v>43758.356164383564</v>
      </c>
    </row>
    <row r="13" spans="2:19" x14ac:dyDescent="0.25">
      <c r="B13" s="171" t="s">
        <v>202</v>
      </c>
      <c r="C13" s="171"/>
      <c r="D13" s="191">
        <f>96.25/30%/95%*3.6</f>
        <v>1215.7894736842106</v>
      </c>
      <c r="G13" s="16"/>
      <c r="H13" s="185"/>
      <c r="K13" s="197">
        <f t="shared" si="0"/>
        <v>0</v>
      </c>
      <c r="L13" s="171" t="s">
        <v>298</v>
      </c>
      <c r="M13" s="202">
        <v>0</v>
      </c>
      <c r="Q13" t="s">
        <v>297</v>
      </c>
      <c r="R13" s="195">
        <f>F24+F30+F48</f>
        <v>872111.71428571432</v>
      </c>
      <c r="S13" s="195">
        <f>R13/21.9</f>
        <v>39822.452707110242</v>
      </c>
    </row>
    <row r="14" spans="2:19" x14ac:dyDescent="0.25">
      <c r="B14" s="178"/>
      <c r="C14" s="178" t="s">
        <v>200</v>
      </c>
      <c r="D14" s="176">
        <f>D12*D13/1000</f>
        <v>0</v>
      </c>
      <c r="F14">
        <f>275790/(40+1.6*18/11-18)/1000</f>
        <v>11.202695716395866</v>
      </c>
      <c r="G14" s="16"/>
      <c r="H14" s="185"/>
      <c r="K14" s="197">
        <f t="shared" si="0"/>
        <v>82.709333333333333</v>
      </c>
      <c r="L14" s="171" t="s">
        <v>296</v>
      </c>
      <c r="M14" s="202">
        <v>0.04</v>
      </c>
    </row>
    <row r="15" spans="2:19" x14ac:dyDescent="0.25">
      <c r="G15" s="16" t="s">
        <v>295</v>
      </c>
      <c r="H15" s="185"/>
      <c r="K15" s="197">
        <f t="shared" si="0"/>
        <v>723.70666666666659</v>
      </c>
      <c r="L15" s="171" t="s">
        <v>294</v>
      </c>
      <c r="M15" s="202">
        <v>0.35</v>
      </c>
      <c r="P15" t="s">
        <v>293</v>
      </c>
      <c r="Q15" t="s">
        <v>292</v>
      </c>
      <c r="R15" s="195">
        <f>K45</f>
        <v>223163.32782833933</v>
      </c>
      <c r="S15" s="189">
        <f>R15/R16</f>
        <v>0.37423310686522404</v>
      </c>
    </row>
    <row r="16" spans="2:19" x14ac:dyDescent="0.25">
      <c r="G16" s="16"/>
      <c r="H16" s="185"/>
      <c r="K16" s="197">
        <f t="shared" si="0"/>
        <v>723.70666666666659</v>
      </c>
      <c r="L16" s="171" t="s">
        <v>291</v>
      </c>
      <c r="M16" s="202">
        <v>0.35</v>
      </c>
      <c r="Q16" t="s">
        <v>290</v>
      </c>
      <c r="R16" s="195">
        <f>F48</f>
        <v>596321.71428571432</v>
      </c>
    </row>
    <row r="17" spans="1:19" x14ac:dyDescent="0.25">
      <c r="G17" s="16"/>
      <c r="H17" s="185"/>
      <c r="K17" s="197">
        <f t="shared" si="0"/>
        <v>289.48266666666666</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17805.599999999999</v>
      </c>
      <c r="L21" s="174" t="s">
        <v>211</v>
      </c>
      <c r="M21" s="171"/>
      <c r="P21" t="s">
        <v>279</v>
      </c>
      <c r="Q21" t="s">
        <v>273</v>
      </c>
      <c r="R21" s="182">
        <v>58604</v>
      </c>
    </row>
    <row r="22" spans="1:19" x14ac:dyDescent="0.25">
      <c r="F22" s="183"/>
      <c r="G22" s="183" t="s">
        <v>254</v>
      </c>
      <c r="H22" s="173">
        <f>H21*2</f>
        <v>1250</v>
      </c>
      <c r="K22" t="s">
        <v>278</v>
      </c>
      <c r="L22" s="203">
        <f>K11*D9/1000</f>
        <v>2154.7957894736846</v>
      </c>
      <c r="M22">
        <v>2142</v>
      </c>
      <c r="Q22" t="s">
        <v>277</v>
      </c>
      <c r="R22" s="195">
        <f>H27+H32+H50</f>
        <v>52157.787499999999</v>
      </c>
    </row>
    <row r="23" spans="1:19" x14ac:dyDescent="0.25">
      <c r="F23" s="180"/>
      <c r="G23" s="183" t="s">
        <v>249</v>
      </c>
      <c r="H23" s="199">
        <v>0.75</v>
      </c>
      <c r="K23" t="s">
        <v>276</v>
      </c>
      <c r="L23" s="203">
        <f>29*D27</f>
        <v>2791.25</v>
      </c>
      <c r="M23" s="203">
        <f>4260-M27</f>
        <v>3700</v>
      </c>
    </row>
    <row r="24" spans="1:19" x14ac:dyDescent="0.25">
      <c r="A24" s="195"/>
      <c r="F24" s="173">
        <f>H25*3.6/K31</f>
        <v>63103.448275862072</v>
      </c>
      <c r="G24" s="172" t="s">
        <v>275</v>
      </c>
      <c r="H24" s="180"/>
      <c r="K24" t="s">
        <v>57</v>
      </c>
      <c r="L24" s="113">
        <f>4.4*56.1</f>
        <v>246.84000000000003</v>
      </c>
      <c r="P24" t="s">
        <v>274</v>
      </c>
      <c r="Q24" t="s">
        <v>273</v>
      </c>
      <c r="R24" s="195">
        <v>8890</v>
      </c>
    </row>
    <row r="25" spans="1:19" x14ac:dyDescent="0.25">
      <c r="B25" s="171"/>
      <c r="C25" s="174" t="s">
        <v>272</v>
      </c>
      <c r="D25" s="171"/>
      <c r="F25" s="183"/>
      <c r="G25" s="181" t="s">
        <v>245</v>
      </c>
      <c r="H25" s="191">
        <f>18300/3.6</f>
        <v>5083.333333333333</v>
      </c>
      <c r="K25" t="s">
        <v>198</v>
      </c>
      <c r="L25" s="113">
        <f>3.256*77.367</f>
        <v>251.90695199999999</v>
      </c>
      <c r="Q25" t="s">
        <v>271</v>
      </c>
      <c r="R25" s="195">
        <f>D10+D61</f>
        <v>10117.675164473687</v>
      </c>
    </row>
    <row r="26" spans="1:19" x14ac:dyDescent="0.25">
      <c r="B26" s="184"/>
      <c r="C26" s="183" t="s">
        <v>194</v>
      </c>
      <c r="D26" s="180">
        <v>958308</v>
      </c>
      <c r="F26" s="171"/>
      <c r="G26" s="181" t="s">
        <v>243</v>
      </c>
      <c r="H26" s="173"/>
      <c r="K26" t="s">
        <v>197</v>
      </c>
      <c r="L26" s="186" t="s">
        <v>270</v>
      </c>
    </row>
    <row r="27" spans="1:19" x14ac:dyDescent="0.25">
      <c r="A27" s="195"/>
      <c r="B27" s="171" t="s">
        <v>202</v>
      </c>
      <c r="C27" s="171"/>
      <c r="D27" s="171">
        <v>96.25</v>
      </c>
      <c r="F27" s="178"/>
      <c r="G27" s="177" t="s">
        <v>200</v>
      </c>
      <c r="H27" s="176">
        <f>F24*$D$27/1000</f>
        <v>6073.7068965517246</v>
      </c>
      <c r="K27" t="s">
        <v>269</v>
      </c>
      <c r="M27" s="203">
        <v>560</v>
      </c>
    </row>
    <row r="28" spans="1:19" x14ac:dyDescent="0.25">
      <c r="F28" t="s">
        <v>268</v>
      </c>
      <c r="O28" t="s">
        <v>267</v>
      </c>
      <c r="Q28" t="s">
        <v>266</v>
      </c>
    </row>
    <row r="29" spans="1:19" x14ac:dyDescent="0.25">
      <c r="F29" s="171"/>
      <c r="G29" s="201" t="s">
        <v>265</v>
      </c>
      <c r="H29" s="171"/>
      <c r="Q29" t="s">
        <v>264</v>
      </c>
    </row>
    <row r="30" spans="1:19" x14ac:dyDescent="0.25">
      <c r="F30" s="182">
        <f>275790-F24</f>
        <v>212686.55172413791</v>
      </c>
      <c r="G30" s="183" t="s">
        <v>194</v>
      </c>
      <c r="H30" s="197">
        <f>F30*H31</f>
        <v>153134.31724137929</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20471.080603448274</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f>280+140</f>
        <v>420</v>
      </c>
      <c r="P35" t="s">
        <v>90</v>
      </c>
      <c r="Q35" s="115">
        <v>0.45</v>
      </c>
      <c r="V35" t="s">
        <v>255</v>
      </c>
    </row>
    <row r="36" spans="1:22" x14ac:dyDescent="0.25">
      <c r="F36" s="183"/>
      <c r="G36" s="181" t="s">
        <v>254</v>
      </c>
      <c r="H36" s="173">
        <f>H35*2</f>
        <v>840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f>59.5*1000</f>
        <v>59500</v>
      </c>
      <c r="F38" s="173">
        <v>0</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0</v>
      </c>
      <c r="K39" s="189">
        <f>K38/(K38+K45)</f>
        <v>0.62576689313477596</v>
      </c>
      <c r="P39" t="s">
        <v>244</v>
      </c>
      <c r="Q39">
        <f>Q38/Q35*3.6</f>
        <v>9811.1999999999989</v>
      </c>
    </row>
    <row r="40" spans="1:22" x14ac:dyDescent="0.25">
      <c r="F40" s="171"/>
      <c r="G40" s="181" t="s">
        <v>243</v>
      </c>
      <c r="H40" s="197">
        <f>0.5*F38*H37</f>
        <v>0</v>
      </c>
      <c r="P40" s="196" t="s">
        <v>242</v>
      </c>
      <c r="Q40" s="196">
        <f>Q39*56.1/1000</f>
        <v>550.40832</v>
      </c>
    </row>
    <row r="41" spans="1:22" x14ac:dyDescent="0.25">
      <c r="F41" s="178"/>
      <c r="G41" s="177" t="s">
        <v>200</v>
      </c>
      <c r="H41" s="176">
        <f>F38*$D$39/1000</f>
        <v>0</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3679.0153846153844</v>
      </c>
      <c r="G46" s="172" t="s">
        <v>208</v>
      </c>
      <c r="H46" s="171"/>
      <c r="K46" s="173">
        <v>3679.0153846153844</v>
      </c>
      <c r="L46" s="172" t="s">
        <v>208</v>
      </c>
      <c r="M46" s="171"/>
      <c r="P46" t="s">
        <v>228</v>
      </c>
      <c r="Q46">
        <v>2627</v>
      </c>
      <c r="R46" t="s">
        <v>227</v>
      </c>
    </row>
    <row r="47" spans="1:22" x14ac:dyDescent="0.25">
      <c r="F47" s="173">
        <f>(275790-K21)*39%*H31</f>
        <v>72442.019520000002</v>
      </c>
      <c r="G47" s="172" t="s">
        <v>226</v>
      </c>
      <c r="H47" s="171"/>
      <c r="K47" s="194">
        <f>H30-K21-K56-F47</f>
        <v>62886.697721379285</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708463.73380571429</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37.682763710160955</v>
      </c>
    </row>
    <row r="57" spans="2:17" x14ac:dyDescent="0.25">
      <c r="C57" t="s">
        <v>209</v>
      </c>
      <c r="K57" s="173">
        <f>O57</f>
        <v>330.10101010100999</v>
      </c>
      <c r="L57" s="172" t="s">
        <v>208</v>
      </c>
      <c r="M57" s="171"/>
      <c r="N57" s="179" t="s">
        <v>207</v>
      </c>
      <c r="O57" s="185">
        <f>P57/D10*D8</f>
        <v>330.10101010100999</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8523</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1139.359375</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59500</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EB942-0555-4D6E-AC20-82948D1207BE}">
  <sheetPr codeName="Sheet6">
    <tabColor theme="9"/>
    <pageSetUpPr fitToPage="1"/>
  </sheetPr>
  <dimension ref="A2:V75"/>
  <sheetViews>
    <sheetView workbookViewId="0"/>
  </sheetViews>
  <sheetFormatPr defaultRowHeight="15" x14ac:dyDescent="0.25"/>
  <cols>
    <col min="2" max="2" width="9" customWidth="1"/>
    <col min="3" max="3" width="22.28515625" customWidth="1"/>
    <col min="4" max="4" width="9.42578125" bestFit="1" customWidth="1"/>
    <col min="6" max="6" width="9.28515625" customWidth="1"/>
    <col min="7" max="7" width="25.7109375" customWidth="1"/>
    <col min="8" max="8" width="9.42578125" bestFit="1" customWidth="1"/>
    <col min="12" max="12" width="22.42578125" customWidth="1"/>
    <col min="13" max="13" width="12.28515625" customWidth="1"/>
    <col min="15" max="15" width="16.28515625" customWidth="1"/>
    <col min="16" max="16" width="25.7109375" customWidth="1"/>
    <col min="17" max="17" width="25.28515625" customWidth="1"/>
  </cols>
  <sheetData>
    <row r="2" spans="2:19" s="210" customFormat="1" ht="20.25" thickBot="1" x14ac:dyDescent="0.35">
      <c r="B2" s="210" t="s">
        <v>315</v>
      </c>
    </row>
    <row r="3" spans="2:19" ht="15.75" thickTop="1" x14ac:dyDescent="0.25"/>
    <row r="4" spans="2:19" x14ac:dyDescent="0.25">
      <c r="B4" s="209"/>
      <c r="C4" s="209"/>
      <c r="D4" s="209"/>
      <c r="E4" s="209"/>
      <c r="G4" s="201" t="s">
        <v>314</v>
      </c>
      <c r="H4" s="205"/>
      <c r="I4" s="205"/>
    </row>
    <row r="5" spans="2:19" x14ac:dyDescent="0.25">
      <c r="G5" s="200" t="s">
        <v>313</v>
      </c>
      <c r="H5" s="208" t="s">
        <v>312</v>
      </c>
      <c r="I5" s="205"/>
    </row>
    <row r="6" spans="2:19" x14ac:dyDescent="0.25">
      <c r="B6" s="195"/>
      <c r="G6" s="173" t="s">
        <v>311</v>
      </c>
      <c r="H6" s="207" t="s">
        <v>310</v>
      </c>
      <c r="I6" s="205"/>
    </row>
    <row r="7" spans="2:19" x14ac:dyDescent="0.25">
      <c r="B7" t="s">
        <v>309</v>
      </c>
      <c r="G7" s="197" t="s">
        <v>308</v>
      </c>
      <c r="H7" s="206" t="s">
        <v>307</v>
      </c>
      <c r="I7" s="205"/>
    </row>
    <row r="8" spans="2:19" x14ac:dyDescent="0.25">
      <c r="B8" s="201"/>
      <c r="C8" s="201" t="s">
        <v>306</v>
      </c>
      <c r="D8" s="215">
        <f>28064/3.6</f>
        <v>7795.5555555555557</v>
      </c>
      <c r="O8">
        <f>29/1.6</f>
        <v>18.125</v>
      </c>
    </row>
    <row r="9" spans="2:19" x14ac:dyDescent="0.25">
      <c r="B9" s="171" t="s">
        <v>318</v>
      </c>
      <c r="C9" s="171"/>
      <c r="D9" s="214">
        <v>0.92800000000000005</v>
      </c>
      <c r="E9" s="213" t="s">
        <v>317</v>
      </c>
      <c r="P9" s="195"/>
    </row>
    <row r="10" spans="2:19" x14ac:dyDescent="0.25">
      <c r="B10" s="178"/>
      <c r="C10" s="178" t="s">
        <v>200</v>
      </c>
      <c r="D10" s="176">
        <f>D8*D9</f>
        <v>7234.2755555555559</v>
      </c>
    </row>
    <row r="11" spans="2:19" x14ac:dyDescent="0.25">
      <c r="K11" s="173">
        <f>24%*D8</f>
        <v>1870.9333333333334</v>
      </c>
      <c r="L11" s="174" t="s">
        <v>304</v>
      </c>
      <c r="M11" s="171"/>
    </row>
    <row r="12" spans="2:19" x14ac:dyDescent="0.25">
      <c r="B12" s="201"/>
      <c r="C12" s="201" t="s">
        <v>303</v>
      </c>
      <c r="D12" s="173">
        <v>0</v>
      </c>
      <c r="K12" s="197">
        <f t="shared" ref="K12:K18" si="0">$K$11*M12</f>
        <v>187.09333333333336</v>
      </c>
      <c r="L12" s="171" t="s">
        <v>302</v>
      </c>
      <c r="M12" s="202">
        <v>0.1</v>
      </c>
      <c r="O12" t="s">
        <v>301</v>
      </c>
      <c r="P12" t="s">
        <v>300</v>
      </c>
      <c r="Q12" t="s">
        <v>299</v>
      </c>
      <c r="R12" s="195">
        <f>D26</f>
        <v>861176.88</v>
      </c>
      <c r="S12" s="195">
        <f>R12/21.9</f>
        <v>39323.145205479457</v>
      </c>
    </row>
    <row r="13" spans="2:19" x14ac:dyDescent="0.25">
      <c r="B13" s="171" t="s">
        <v>202</v>
      </c>
      <c r="C13" s="171"/>
      <c r="D13" s="191">
        <f>96.25/30%/95%*3.6</f>
        <v>1215.7894736842106</v>
      </c>
      <c r="G13" s="16"/>
      <c r="H13" s="185"/>
      <c r="K13" s="197">
        <f t="shared" si="0"/>
        <v>0</v>
      </c>
      <c r="L13" s="171" t="s">
        <v>298</v>
      </c>
      <c r="M13" s="202">
        <v>0</v>
      </c>
      <c r="Q13" t="s">
        <v>297</v>
      </c>
      <c r="R13" s="195">
        <f>F24+F30+F48</f>
        <v>883442.1884457143</v>
      </c>
      <c r="S13" s="195">
        <f>R13/21.9</f>
        <v>40339.825956425317</v>
      </c>
    </row>
    <row r="14" spans="2:19" x14ac:dyDescent="0.25">
      <c r="B14" s="178"/>
      <c r="C14" s="178" t="s">
        <v>200</v>
      </c>
      <c r="D14" s="176">
        <f>D12*D13/1000</f>
        <v>0</v>
      </c>
      <c r="F14">
        <f>275790/(40+1.6*18/11-18)/1000</f>
        <v>11.202695716395866</v>
      </c>
      <c r="G14" s="16"/>
      <c r="H14" s="185"/>
      <c r="K14" s="197">
        <f t="shared" si="0"/>
        <v>74.837333333333333</v>
      </c>
      <c r="L14" s="171" t="s">
        <v>296</v>
      </c>
      <c r="M14" s="202">
        <v>0.04</v>
      </c>
    </row>
    <row r="15" spans="2:19" x14ac:dyDescent="0.25">
      <c r="G15" s="16" t="s">
        <v>295</v>
      </c>
      <c r="H15" s="185"/>
      <c r="K15" s="197">
        <f t="shared" si="0"/>
        <v>654.8266666666666</v>
      </c>
      <c r="L15" s="171" t="s">
        <v>294</v>
      </c>
      <c r="M15" s="202">
        <v>0.35</v>
      </c>
      <c r="P15" t="s">
        <v>293</v>
      </c>
      <c r="Q15" t="s">
        <v>292</v>
      </c>
      <c r="R15" s="195">
        <f>K45</f>
        <v>223163.32782833933</v>
      </c>
      <c r="S15" s="189">
        <f>R15/R16</f>
        <v>0.37423310686522404</v>
      </c>
    </row>
    <row r="16" spans="2:19" x14ac:dyDescent="0.25">
      <c r="G16" s="16"/>
      <c r="H16" s="185"/>
      <c r="K16" s="197">
        <f t="shared" si="0"/>
        <v>654.8266666666666</v>
      </c>
      <c r="L16" s="171" t="s">
        <v>291</v>
      </c>
      <c r="M16" s="202">
        <v>0.35</v>
      </c>
      <c r="Q16" t="s">
        <v>290</v>
      </c>
      <c r="R16" s="195">
        <f>F48</f>
        <v>596321.71428571432</v>
      </c>
    </row>
    <row r="17" spans="1:19" x14ac:dyDescent="0.25">
      <c r="G17" s="16"/>
      <c r="H17" s="185"/>
      <c r="K17" s="197">
        <f t="shared" si="0"/>
        <v>261.9306666666667</v>
      </c>
      <c r="L17" s="171" t="s">
        <v>289</v>
      </c>
      <c r="M17" s="202">
        <v>0.14000000000000001</v>
      </c>
    </row>
    <row r="18" spans="1:19" x14ac:dyDescent="0.25">
      <c r="G18" s="16"/>
      <c r="H18" s="185"/>
      <c r="K18" s="197">
        <f t="shared" si="0"/>
        <v>0</v>
      </c>
      <c r="L18" s="171" t="s">
        <v>288</v>
      </c>
      <c r="M18" s="202">
        <v>0</v>
      </c>
      <c r="P18" t="s">
        <v>287</v>
      </c>
      <c r="Q18" t="s">
        <v>286</v>
      </c>
      <c r="R18" s="195">
        <v>4512</v>
      </c>
    </row>
    <row r="19" spans="1:19" x14ac:dyDescent="0.25">
      <c r="H19" s="203"/>
      <c r="L19" s="171" t="s">
        <v>285</v>
      </c>
      <c r="M19" t="s">
        <v>284</v>
      </c>
      <c r="Q19" t="s">
        <v>283</v>
      </c>
      <c r="R19" s="195">
        <v>5083</v>
      </c>
    </row>
    <row r="20" spans="1:19" x14ac:dyDescent="0.25">
      <c r="F20" s="183"/>
      <c r="G20" s="201" t="s">
        <v>282</v>
      </c>
      <c r="H20" s="180"/>
      <c r="K20">
        <v>29</v>
      </c>
      <c r="L20" s="171" t="s">
        <v>281</v>
      </c>
      <c r="M20" t="s">
        <v>280</v>
      </c>
    </row>
    <row r="21" spans="1:19" x14ac:dyDescent="0.25">
      <c r="F21" s="183"/>
      <c r="G21" s="183" t="s">
        <v>256</v>
      </c>
      <c r="H21" s="171">
        <f>105+520</f>
        <v>625</v>
      </c>
      <c r="K21" s="173">
        <f>1600*O8*H31-105/625*F24*K31</f>
        <v>16393.056</v>
      </c>
      <c r="L21" s="174" t="s">
        <v>211</v>
      </c>
      <c r="M21" s="171"/>
      <c r="P21" t="s">
        <v>279</v>
      </c>
      <c r="Q21" t="s">
        <v>273</v>
      </c>
      <c r="R21" s="182">
        <v>58604</v>
      </c>
    </row>
    <row r="22" spans="1:19" x14ac:dyDescent="0.25">
      <c r="F22" s="183"/>
      <c r="G22" s="183" t="s">
        <v>254</v>
      </c>
      <c r="H22" s="173">
        <f>H21*2</f>
        <v>1250</v>
      </c>
      <c r="K22" t="s">
        <v>278</v>
      </c>
      <c r="L22" s="203">
        <f>K11*D9/1000</f>
        <v>1.7362261333333335</v>
      </c>
      <c r="M22">
        <v>2142</v>
      </c>
      <c r="Q22" t="s">
        <v>277</v>
      </c>
      <c r="R22" s="212">
        <f>H27+H32+H50</f>
        <v>53248.345637900005</v>
      </c>
    </row>
    <row r="23" spans="1:19" x14ac:dyDescent="0.25">
      <c r="F23" s="180"/>
      <c r="G23" s="183" t="s">
        <v>249</v>
      </c>
      <c r="H23" s="199">
        <v>0.75</v>
      </c>
      <c r="K23" t="s">
        <v>276</v>
      </c>
      <c r="L23" s="203">
        <f>29*D27</f>
        <v>2791.25</v>
      </c>
      <c r="M23" s="203">
        <f>4260-M27</f>
        <v>3700</v>
      </c>
    </row>
    <row r="24" spans="1:19" x14ac:dyDescent="0.25">
      <c r="A24" s="195"/>
      <c r="F24" s="173">
        <f>H25*3.6/K31</f>
        <v>92096.551724137942</v>
      </c>
      <c r="G24" s="172" t="s">
        <v>275</v>
      </c>
      <c r="H24" s="180"/>
      <c r="K24" t="s">
        <v>57</v>
      </c>
      <c r="L24" s="113">
        <f>4.4*56.1</f>
        <v>246.84000000000003</v>
      </c>
      <c r="P24" t="s">
        <v>274</v>
      </c>
      <c r="Q24" t="s">
        <v>273</v>
      </c>
      <c r="R24" s="195">
        <v>7659</v>
      </c>
      <c r="S24" s="211">
        <f>1- R24/R25</f>
        <v>-5.8710017496952815E-2</v>
      </c>
    </row>
    <row r="25" spans="1:19" x14ac:dyDescent="0.25">
      <c r="B25" s="171"/>
      <c r="C25" s="174" t="s">
        <v>272</v>
      </c>
      <c r="D25" s="171"/>
      <c r="F25" s="183"/>
      <c r="G25" s="181" t="s">
        <v>245</v>
      </c>
      <c r="H25" s="191">
        <f>26708/3.6</f>
        <v>7418.8888888888887</v>
      </c>
      <c r="K25" t="s">
        <v>198</v>
      </c>
      <c r="L25" s="113">
        <f>3.256*77.367</f>
        <v>251.90695199999999</v>
      </c>
      <c r="Q25" t="s">
        <v>271</v>
      </c>
      <c r="R25" s="195">
        <f>D10+D61</f>
        <v>7234.2755555555559</v>
      </c>
    </row>
    <row r="26" spans="1:19" x14ac:dyDescent="0.25">
      <c r="B26" s="184"/>
      <c r="C26" s="183" t="s">
        <v>194</v>
      </c>
      <c r="D26" s="180">
        <v>861176.88</v>
      </c>
      <c r="F26" s="171"/>
      <c r="G26" s="181" t="s">
        <v>243</v>
      </c>
      <c r="H26" s="173"/>
      <c r="K26" t="s">
        <v>197</v>
      </c>
      <c r="L26" s="186" t="s">
        <v>270</v>
      </c>
    </row>
    <row r="27" spans="1:19" x14ac:dyDescent="0.25">
      <c r="A27" s="195"/>
      <c r="B27" s="171" t="s">
        <v>202</v>
      </c>
      <c r="C27" s="171"/>
      <c r="D27" s="171">
        <v>96.25</v>
      </c>
      <c r="F27" s="178"/>
      <c r="G27" s="177" t="s">
        <v>200</v>
      </c>
      <c r="H27" s="176">
        <f>F24*$D$27/1000</f>
        <v>8864.2931034482772</v>
      </c>
      <c r="K27" t="s">
        <v>269</v>
      </c>
      <c r="M27" s="203">
        <v>560</v>
      </c>
    </row>
    <row r="28" spans="1:19" x14ac:dyDescent="0.25">
      <c r="F28" t="s">
        <v>268</v>
      </c>
      <c r="O28" t="s">
        <v>267</v>
      </c>
      <c r="Q28" t="s">
        <v>266</v>
      </c>
    </row>
    <row r="29" spans="1:19" x14ac:dyDescent="0.25">
      <c r="C29" t="s">
        <v>316</v>
      </c>
      <c r="F29" s="171"/>
      <c r="G29" s="201" t="s">
        <v>265</v>
      </c>
      <c r="H29" s="171"/>
      <c r="Q29" t="s">
        <v>264</v>
      </c>
    </row>
    <row r="30" spans="1:19" x14ac:dyDescent="0.25">
      <c r="F30" s="182">
        <f>RefineriesData!D23-F24</f>
        <v>195023.9224358621</v>
      </c>
      <c r="G30" s="183" t="s">
        <v>194</v>
      </c>
      <c r="H30" s="197">
        <f>F30*H31</f>
        <v>140417.22415382072</v>
      </c>
      <c r="K30" t="s">
        <v>263</v>
      </c>
      <c r="Q30" t="s">
        <v>262</v>
      </c>
      <c r="S30" t="s">
        <v>261</v>
      </c>
    </row>
    <row r="31" spans="1:19" x14ac:dyDescent="0.25">
      <c r="F31" s="197"/>
      <c r="G31" s="183" t="s">
        <v>90</v>
      </c>
      <c r="H31" s="202">
        <v>0.72</v>
      </c>
      <c r="K31" s="115">
        <v>0.28999999999999998</v>
      </c>
      <c r="Q31" t="s">
        <v>260</v>
      </c>
      <c r="S31" t="s">
        <v>259</v>
      </c>
    </row>
    <row r="32" spans="1:19" x14ac:dyDescent="0.25">
      <c r="F32" s="178"/>
      <c r="G32" s="177" t="s">
        <v>200</v>
      </c>
      <c r="H32" s="176">
        <f>F30*$D$27/1000</f>
        <v>18771.052534451726</v>
      </c>
      <c r="K32">
        <f>275790*0.23*K31</f>
        <v>18395.192999999999</v>
      </c>
    </row>
    <row r="33" spans="1:22" x14ac:dyDescent="0.25">
      <c r="K33">
        <f>K32/3.6</f>
        <v>5109.7758333333331</v>
      </c>
      <c r="Q33" t="s">
        <v>258</v>
      </c>
    </row>
    <row r="34" spans="1:22" x14ac:dyDescent="0.25">
      <c r="F34" s="183"/>
      <c r="G34" s="201" t="s">
        <v>257</v>
      </c>
      <c r="H34" s="180"/>
      <c r="P34" s="20" t="s">
        <v>252</v>
      </c>
      <c r="V34" s="20" t="s">
        <v>90</v>
      </c>
    </row>
    <row r="35" spans="1:22" x14ac:dyDescent="0.25">
      <c r="F35" s="183"/>
      <c r="G35" s="181" t="s">
        <v>256</v>
      </c>
      <c r="H35" s="200">
        <v>440</v>
      </c>
      <c r="P35" t="s">
        <v>90</v>
      </c>
      <c r="Q35" s="115">
        <v>0.45</v>
      </c>
      <c r="V35" t="s">
        <v>255</v>
      </c>
    </row>
    <row r="36" spans="1:22" x14ac:dyDescent="0.25">
      <c r="F36" s="183"/>
      <c r="G36" s="181" t="s">
        <v>254</v>
      </c>
      <c r="H36" s="173">
        <f>H35*2</f>
        <v>880</v>
      </c>
      <c r="K36" s="175"/>
      <c r="L36" s="174" t="s">
        <v>253</v>
      </c>
      <c r="M36" s="171"/>
      <c r="P36" t="s">
        <v>252</v>
      </c>
      <c r="V36" t="s">
        <v>251</v>
      </c>
    </row>
    <row r="37" spans="1:22" x14ac:dyDescent="0.25">
      <c r="B37" s="184"/>
      <c r="C37" s="174" t="s">
        <v>250</v>
      </c>
      <c r="D37" s="171"/>
      <c r="F37" s="180"/>
      <c r="G37" s="181" t="s">
        <v>249</v>
      </c>
      <c r="H37" s="199">
        <v>0.85</v>
      </c>
      <c r="K37" s="175">
        <v>19000</v>
      </c>
      <c r="L37" s="172" t="s">
        <v>17</v>
      </c>
      <c r="M37" s="171"/>
      <c r="P37" t="s">
        <v>248</v>
      </c>
    </row>
    <row r="38" spans="1:22" x14ac:dyDescent="0.25">
      <c r="B38" s="184"/>
      <c r="C38" s="183" t="s">
        <v>194</v>
      </c>
      <c r="D38" s="198">
        <v>126.1652</v>
      </c>
      <c r="F38" s="173">
        <v>126</v>
      </c>
      <c r="G38" s="172" t="s">
        <v>247</v>
      </c>
      <c r="H38" s="180"/>
      <c r="K38" s="173">
        <f>F48-H45</f>
        <v>373158.38645737502</v>
      </c>
      <c r="L38" s="172" t="s">
        <v>197</v>
      </c>
      <c r="M38" s="171"/>
      <c r="P38" t="s">
        <v>246</v>
      </c>
      <c r="Q38">
        <f>140*8.76</f>
        <v>1226.3999999999999</v>
      </c>
    </row>
    <row r="39" spans="1:22" x14ac:dyDescent="0.25">
      <c r="B39" s="171" t="s">
        <v>202</v>
      </c>
      <c r="C39" s="171"/>
      <c r="D39" s="171">
        <v>56.1</v>
      </c>
      <c r="F39" s="183"/>
      <c r="G39" s="181" t="s">
        <v>245</v>
      </c>
      <c r="H39" s="197">
        <f>0.5*H37*F38/3.6</f>
        <v>14.874999999999998</v>
      </c>
      <c r="K39" s="189">
        <f>K38/(K38+K45)</f>
        <v>0.62576689313477596</v>
      </c>
      <c r="P39" t="s">
        <v>244</v>
      </c>
      <c r="Q39">
        <f>Q38/Q35*3.6</f>
        <v>9811.1999999999989</v>
      </c>
    </row>
    <row r="40" spans="1:22" x14ac:dyDescent="0.25">
      <c r="F40" s="171"/>
      <c r="G40" s="181" t="s">
        <v>243</v>
      </c>
      <c r="H40" s="197">
        <f>0.5*F38*H37</f>
        <v>53.55</v>
      </c>
      <c r="P40" s="196" t="s">
        <v>242</v>
      </c>
      <c r="Q40" s="196">
        <f>Q39*56.1/1000</f>
        <v>550.40832</v>
      </c>
    </row>
    <row r="41" spans="1:22" x14ac:dyDescent="0.25">
      <c r="F41" s="178"/>
      <c r="G41" s="177" t="s">
        <v>200</v>
      </c>
      <c r="H41" s="176">
        <f>F38*$D$39/1000</f>
        <v>7.0686</v>
      </c>
      <c r="P41" t="s">
        <v>242</v>
      </c>
    </row>
    <row r="42" spans="1:22" x14ac:dyDescent="0.25">
      <c r="P42" t="s">
        <v>241</v>
      </c>
      <c r="Q42" t="s">
        <v>238</v>
      </c>
    </row>
    <row r="43" spans="1:22" x14ac:dyDescent="0.25">
      <c r="K43" t="s">
        <v>240</v>
      </c>
      <c r="P43" t="s">
        <v>239</v>
      </c>
      <c r="Q43" t="s">
        <v>238</v>
      </c>
    </row>
    <row r="44" spans="1:22" x14ac:dyDescent="0.25">
      <c r="F44" s="182" t="s">
        <v>237</v>
      </c>
      <c r="G44" s="174" t="s">
        <v>236</v>
      </c>
      <c r="H44" s="171"/>
      <c r="K44" s="175">
        <f>K45*6.5/5.05</f>
        <v>287239.92690776353</v>
      </c>
      <c r="L44" s="174" t="s">
        <v>235</v>
      </c>
      <c r="M44" s="171"/>
      <c r="P44" t="s">
        <v>234</v>
      </c>
      <c r="Q44">
        <f>0.35/2627*1000</f>
        <v>0.13323182337266842</v>
      </c>
      <c r="R44" t="s">
        <v>233</v>
      </c>
    </row>
    <row r="45" spans="1:22" x14ac:dyDescent="0.25">
      <c r="F45" s="195">
        <f>39.7*1000</f>
        <v>39700</v>
      </c>
      <c r="G45" s="181" t="s">
        <v>232</v>
      </c>
      <c r="H45" s="173">
        <f>K45</f>
        <v>223163.32782833933</v>
      </c>
      <c r="K45" s="173">
        <v>223163.32782833933</v>
      </c>
      <c r="L45" s="172" t="s">
        <v>231</v>
      </c>
      <c r="M45" s="171"/>
      <c r="P45" t="s">
        <v>230</v>
      </c>
      <c r="Q45" t="s">
        <v>229</v>
      </c>
    </row>
    <row r="46" spans="1:22" x14ac:dyDescent="0.25">
      <c r="A46" s="195"/>
      <c r="F46" s="173">
        <v>3679.0153846153798</v>
      </c>
      <c r="G46" s="172" t="s">
        <v>208</v>
      </c>
      <c r="H46" s="171"/>
      <c r="K46" s="173">
        <v>3679.0153846153844</v>
      </c>
      <c r="L46" s="172" t="s">
        <v>208</v>
      </c>
      <c r="M46" s="171"/>
      <c r="P46" t="s">
        <v>228</v>
      </c>
      <c r="Q46">
        <v>2627</v>
      </c>
      <c r="R46" t="s">
        <v>227</v>
      </c>
    </row>
    <row r="47" spans="1:22" x14ac:dyDescent="0.25">
      <c r="F47" s="173">
        <f>(275790-K21)*39%*H31</f>
        <v>72838.661875199992</v>
      </c>
      <c r="G47" s="172" t="s">
        <v>226</v>
      </c>
      <c r="H47" s="171"/>
      <c r="K47" s="194">
        <f>H30-K21-K56-F47</f>
        <v>51185.506278620727</v>
      </c>
      <c r="L47" s="193" t="s">
        <v>211</v>
      </c>
      <c r="M47" s="192"/>
      <c r="P47" t="s">
        <v>225</v>
      </c>
      <c r="Q47">
        <f>0.35/Q46</f>
        <v>1.3323182337266843E-4</v>
      </c>
      <c r="R47" t="s">
        <v>224</v>
      </c>
    </row>
    <row r="48" spans="1:22" x14ac:dyDescent="0.25">
      <c r="F48" s="182">
        <f>18027/RefineriesData!D20*RefineriesData!D24</f>
        <v>596321.71428571432</v>
      </c>
      <c r="G48" s="172" t="s">
        <v>223</v>
      </c>
      <c r="H48" s="171"/>
      <c r="K48" s="175"/>
      <c r="L48" s="181" t="s">
        <v>60</v>
      </c>
      <c r="M48" s="191">
        <v>56558.323077979323</v>
      </c>
      <c r="N48" s="179">
        <v>74.066699999999997</v>
      </c>
      <c r="P48" t="s">
        <v>222</v>
      </c>
      <c r="Q48">
        <f>96.25/1000</f>
        <v>9.6250000000000002E-2</v>
      </c>
      <c r="R48" t="s">
        <v>221</v>
      </c>
    </row>
    <row r="49" spans="2:17" x14ac:dyDescent="0.25">
      <c r="F49" s="175"/>
      <c r="G49" s="181" t="s">
        <v>220</v>
      </c>
      <c r="H49" s="190">
        <f>H50*1000/F48</f>
        <v>42.951647384968609</v>
      </c>
      <c r="K49" s="175"/>
      <c r="L49" s="181" t="s">
        <v>201</v>
      </c>
      <c r="M49" s="180">
        <v>128417</v>
      </c>
      <c r="N49" s="179">
        <v>69.3</v>
      </c>
      <c r="P49" t="s">
        <v>219</v>
      </c>
      <c r="Q49" s="189">
        <f>Q48/Q44</f>
        <v>0.72242500000000009</v>
      </c>
    </row>
    <row r="50" spans="2:17" x14ac:dyDescent="0.25">
      <c r="F50" s="188">
        <f>F48+F47+F45</f>
        <v>708860.37616091431</v>
      </c>
      <c r="G50" s="177" t="s">
        <v>200</v>
      </c>
      <c r="H50" s="176">
        <v>25613</v>
      </c>
      <c r="K50" s="175"/>
      <c r="L50" s="181" t="s">
        <v>199</v>
      </c>
      <c r="M50" s="180">
        <v>10086</v>
      </c>
      <c r="N50" s="179">
        <v>71.5</v>
      </c>
      <c r="P50" t="s">
        <v>218</v>
      </c>
    </row>
    <row r="51" spans="2:17" x14ac:dyDescent="0.25">
      <c r="F51" s="178"/>
      <c r="G51" s="177" t="s">
        <v>217</v>
      </c>
      <c r="H51" s="176">
        <v>4490</v>
      </c>
      <c r="K51" s="175"/>
      <c r="L51" s="181" t="s">
        <v>55</v>
      </c>
      <c r="M51" s="180">
        <v>3268</v>
      </c>
      <c r="N51" s="179">
        <v>63.066699999999997</v>
      </c>
    </row>
    <row r="52" spans="2:17" x14ac:dyDescent="0.25">
      <c r="G52" t="s">
        <v>216</v>
      </c>
      <c r="K52" s="175"/>
      <c r="L52" s="181" t="s">
        <v>197</v>
      </c>
      <c r="M52" s="187">
        <f>K45-SUM(M48:M51)</f>
        <v>24834.004750360007</v>
      </c>
      <c r="N52" s="179">
        <v>0</v>
      </c>
    </row>
    <row r="53" spans="2:17" x14ac:dyDescent="0.25">
      <c r="K53" s="178"/>
      <c r="L53" s="177" t="s">
        <v>196</v>
      </c>
      <c r="M53" s="176">
        <f>SUMPRODUCT(M48:M52,N48:N52)/1000</f>
        <v>14015.637423519771</v>
      </c>
      <c r="N53" s="179"/>
      <c r="O53" t="s">
        <v>215</v>
      </c>
    </row>
    <row r="54" spans="2:17" x14ac:dyDescent="0.25">
      <c r="N54" s="179"/>
      <c r="O54" t="s">
        <v>214</v>
      </c>
    </row>
    <row r="55" spans="2:17" x14ac:dyDescent="0.25">
      <c r="K55" s="175" t="s">
        <v>213</v>
      </c>
      <c r="L55" s="174" t="s">
        <v>212</v>
      </c>
      <c r="M55" s="186"/>
      <c r="N55" s="179"/>
    </row>
    <row r="56" spans="2:17" x14ac:dyDescent="0.25">
      <c r="K56" s="173"/>
      <c r="L56" s="172" t="s">
        <v>211</v>
      </c>
      <c r="M56" s="171"/>
      <c r="N56" s="179" t="s">
        <v>210</v>
      </c>
      <c r="O56" s="185">
        <f>O57/(8.76)</f>
        <v>42.316170681782395</v>
      </c>
    </row>
    <row r="57" spans="2:17" x14ac:dyDescent="0.25">
      <c r="C57" t="s">
        <v>209</v>
      </c>
      <c r="K57" s="173">
        <f>O57</f>
        <v>370.68965517241378</v>
      </c>
      <c r="L57" s="172" t="s">
        <v>208</v>
      </c>
      <c r="M57" s="171"/>
      <c r="N57" s="179" t="s">
        <v>207</v>
      </c>
      <c r="O57" s="185">
        <f>P57/D10*D8</f>
        <v>370.68965517241378</v>
      </c>
      <c r="P57">
        <v>344</v>
      </c>
      <c r="Q57" t="s">
        <v>206</v>
      </c>
    </row>
    <row r="58" spans="2:17" x14ac:dyDescent="0.25">
      <c r="B58" s="184"/>
      <c r="C58" s="174" t="s">
        <v>205</v>
      </c>
      <c r="D58" s="171"/>
      <c r="K58" s="175">
        <v>4094</v>
      </c>
      <c r="L58" s="172" t="s">
        <v>204</v>
      </c>
      <c r="M58" s="175"/>
      <c r="N58" s="179"/>
      <c r="O58" t="s">
        <v>203</v>
      </c>
    </row>
    <row r="59" spans="2:17" x14ac:dyDescent="0.25">
      <c r="B59" s="184"/>
      <c r="C59" s="183" t="s">
        <v>194</v>
      </c>
      <c r="D59" s="182">
        <v>0</v>
      </c>
      <c r="K59" s="175"/>
      <c r="L59" s="181" t="s">
        <v>60</v>
      </c>
      <c r="M59" s="180">
        <v>78363.603915510073</v>
      </c>
      <c r="N59" s="179">
        <f>N48</f>
        <v>74.066699999999997</v>
      </c>
    </row>
    <row r="60" spans="2:17" x14ac:dyDescent="0.25">
      <c r="B60" s="171" t="s">
        <v>202</v>
      </c>
      <c r="C60" s="171"/>
      <c r="D60" s="171">
        <f>H32/H30</f>
        <v>0.13368055555555555</v>
      </c>
      <c r="K60" s="175"/>
      <c r="L60" s="181" t="s">
        <v>201</v>
      </c>
      <c r="M60" s="180">
        <v>65892</v>
      </c>
      <c r="N60" s="179">
        <f>N49</f>
        <v>69.3</v>
      </c>
    </row>
    <row r="61" spans="2:17" x14ac:dyDescent="0.25">
      <c r="B61" s="178"/>
      <c r="C61" s="177" t="s">
        <v>200</v>
      </c>
      <c r="D61" s="176">
        <f>D60*D59</f>
        <v>0</v>
      </c>
      <c r="K61" s="175"/>
      <c r="L61" s="181" t="s">
        <v>199</v>
      </c>
      <c r="M61" s="180">
        <v>43484.734440000007</v>
      </c>
      <c r="N61" s="179">
        <f>N50</f>
        <v>71.5</v>
      </c>
    </row>
    <row r="62" spans="2:17" x14ac:dyDescent="0.25">
      <c r="K62" s="175"/>
      <c r="L62" s="181" t="s">
        <v>55</v>
      </c>
      <c r="M62" s="180">
        <v>539.60618239120879</v>
      </c>
      <c r="N62" s="179">
        <f>N51</f>
        <v>63.066699999999997</v>
      </c>
    </row>
    <row r="63" spans="2:17" x14ac:dyDescent="0.25">
      <c r="K63" s="175"/>
      <c r="L63" s="181" t="s">
        <v>198</v>
      </c>
      <c r="M63" s="180">
        <v>7538.9011900219784</v>
      </c>
      <c r="N63" s="179">
        <v>77.366699999999994</v>
      </c>
    </row>
    <row r="64" spans="2:17" x14ac:dyDescent="0.25">
      <c r="K64" s="175"/>
      <c r="L64" s="181" t="s">
        <v>197</v>
      </c>
      <c r="M64" s="180">
        <f>203441-SUM(M59:M63)</f>
        <v>7622.1542720767611</v>
      </c>
      <c r="N64" s="179">
        <v>0</v>
      </c>
    </row>
    <row r="65" spans="3:13" x14ac:dyDescent="0.25">
      <c r="K65" s="178"/>
      <c r="L65" s="177" t="s">
        <v>196</v>
      </c>
      <c r="M65" s="176">
        <f>SUMPRODUCT(M59:M64,N59:N64)/1000</f>
        <v>14096.898742509997</v>
      </c>
    </row>
    <row r="67" spans="3:13" x14ac:dyDescent="0.25">
      <c r="K67" s="175"/>
      <c r="L67" s="174" t="s">
        <v>195</v>
      </c>
      <c r="M67" s="171"/>
    </row>
    <row r="68" spans="3:13" x14ac:dyDescent="0.25">
      <c r="K68" s="173">
        <f>D38-F38</f>
        <v>0.16519999999999868</v>
      </c>
      <c r="L68" s="172" t="s">
        <v>194</v>
      </c>
      <c r="M68" s="171"/>
    </row>
    <row r="69" spans="3:13" x14ac:dyDescent="0.25">
      <c r="C69" t="s">
        <v>193</v>
      </c>
    </row>
    <row r="70" spans="3:13" x14ac:dyDescent="0.25">
      <c r="L70" t="s">
        <v>192</v>
      </c>
    </row>
    <row r="75" spans="3:13" x14ac:dyDescent="0.25">
      <c r="C75" t="s">
        <v>191</v>
      </c>
    </row>
  </sheetData>
  <pageMargins left="0.7" right="0.7" top="0.75" bottom="0.75" header="0.3" footer="0.3"/>
  <pageSetup paperSize="8" scale="84"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97853-8649-4AF4-AF96-A22BA5900254}">
  <sheetPr codeName="Sheet7">
    <tabColor theme="9"/>
  </sheetPr>
  <dimension ref="A1:V102"/>
  <sheetViews>
    <sheetView workbookViewId="0">
      <selection sqref="A1:I1"/>
    </sheetView>
  </sheetViews>
  <sheetFormatPr defaultColWidth="7.7109375" defaultRowHeight="12.75" x14ac:dyDescent="0.25"/>
  <cols>
    <col min="1" max="1" width="6.85546875" style="216" customWidth="1"/>
    <col min="2" max="2" width="34" style="216" customWidth="1"/>
    <col min="3" max="3" width="12" style="216" customWidth="1"/>
    <col min="4" max="4" width="8" style="216" customWidth="1"/>
    <col min="5" max="5" width="10" style="216" customWidth="1"/>
    <col min="6" max="7" width="8" style="216" customWidth="1"/>
    <col min="8" max="8" width="8.85546875" style="216" customWidth="1"/>
    <col min="9" max="9" width="13" style="216" customWidth="1"/>
    <col min="10" max="20" width="7.7109375" style="216"/>
    <col min="21" max="21" width="10.28515625" style="216" customWidth="1"/>
    <col min="22" max="16384" width="7.7109375" style="216"/>
  </cols>
  <sheetData>
    <row r="1" spans="1:22" ht="85.5" customHeight="1" x14ac:dyDescent="0.25">
      <c r="A1" s="521" t="s">
        <v>402</v>
      </c>
      <c r="B1" s="516"/>
      <c r="C1" s="516"/>
      <c r="D1" s="516"/>
      <c r="E1" s="516"/>
      <c r="F1" s="516"/>
      <c r="G1" s="516"/>
      <c r="H1" s="516"/>
      <c r="I1" s="516"/>
      <c r="J1" s="216" t="s">
        <v>401</v>
      </c>
    </row>
    <row r="2" spans="1:22" ht="31.5" customHeight="1" x14ac:dyDescent="0.25">
      <c r="A2" s="522" t="s">
        <v>345</v>
      </c>
      <c r="B2" s="522"/>
      <c r="C2" s="522"/>
      <c r="D2" s="259">
        <v>2019</v>
      </c>
      <c r="E2" s="258">
        <v>2018</v>
      </c>
      <c r="F2" s="257">
        <v>2017</v>
      </c>
      <c r="G2" s="256">
        <v>2016</v>
      </c>
      <c r="H2" s="260" t="s">
        <v>400</v>
      </c>
      <c r="J2" s="259">
        <v>2019</v>
      </c>
      <c r="K2" s="258">
        <v>2018</v>
      </c>
      <c r="L2" s="257">
        <v>2017</v>
      </c>
      <c r="M2" s="256">
        <v>2016</v>
      </c>
      <c r="O2" t="s">
        <v>399</v>
      </c>
      <c r="R2"/>
      <c r="S2"/>
      <c r="T2" s="252"/>
      <c r="U2" s="252"/>
    </row>
    <row r="3" spans="1:22" ht="12.6" customHeight="1" x14ac:dyDescent="0.25">
      <c r="A3" s="523" t="s">
        <v>398</v>
      </c>
      <c r="B3" s="523"/>
      <c r="C3" s="254"/>
      <c r="D3" s="255"/>
      <c r="E3" s="254"/>
      <c r="F3" s="254"/>
      <c r="G3" s="253"/>
      <c r="H3" s="524" t="s">
        <v>373</v>
      </c>
      <c r="Q3"/>
      <c r="R3"/>
      <c r="S3"/>
      <c r="T3" s="252"/>
      <c r="U3" s="252"/>
    </row>
    <row r="4" spans="1:22" ht="11.25" customHeight="1" x14ac:dyDescent="0.25">
      <c r="A4" s="527" t="s">
        <v>397</v>
      </c>
      <c r="B4" s="527"/>
      <c r="C4" s="241">
        <v>1</v>
      </c>
      <c r="D4" s="231">
        <v>18446</v>
      </c>
      <c r="E4" s="222">
        <v>17836</v>
      </c>
      <c r="F4" s="222">
        <v>18472</v>
      </c>
      <c r="G4" s="221">
        <v>18806</v>
      </c>
      <c r="H4" s="525"/>
      <c r="J4" s="216">
        <f>D4/F4</f>
        <v>0.99859246427024684</v>
      </c>
      <c r="K4" s="216">
        <f>E4/F4</f>
        <v>0.96556951061065399</v>
      </c>
      <c r="L4" s="216">
        <f>F4/F4</f>
        <v>1</v>
      </c>
      <c r="Q4"/>
      <c r="S4"/>
      <c r="T4" s="252"/>
    </row>
    <row r="5" spans="1:22" ht="11.25" customHeight="1" x14ac:dyDescent="0.2">
      <c r="A5" s="513" t="s">
        <v>340</v>
      </c>
      <c r="B5" s="513"/>
      <c r="C5" s="239"/>
      <c r="D5" s="231">
        <v>6736</v>
      </c>
      <c r="E5" s="222">
        <v>6720</v>
      </c>
      <c r="F5" s="222">
        <v>6974</v>
      </c>
      <c r="G5" s="221">
        <v>7019</v>
      </c>
      <c r="H5" s="525"/>
    </row>
    <row r="6" spans="1:22" ht="11.25" customHeight="1" x14ac:dyDescent="0.2">
      <c r="A6" s="513" t="s">
        <v>336</v>
      </c>
      <c r="B6" s="513"/>
      <c r="C6" s="239"/>
      <c r="D6" s="231">
        <v>1467</v>
      </c>
      <c r="E6" s="222">
        <v>1585</v>
      </c>
      <c r="F6" s="222">
        <v>1561</v>
      </c>
      <c r="G6" s="221">
        <v>1461</v>
      </c>
      <c r="H6" s="525"/>
    </row>
    <row r="7" spans="1:22" ht="11.25" customHeight="1" x14ac:dyDescent="0.2">
      <c r="A7" s="513" t="s">
        <v>335</v>
      </c>
      <c r="B7" s="513"/>
      <c r="C7" s="239"/>
      <c r="D7" s="231">
        <v>3209</v>
      </c>
      <c r="E7" s="222">
        <v>3192</v>
      </c>
      <c r="F7" s="222">
        <v>2976</v>
      </c>
      <c r="G7" s="221">
        <v>3331</v>
      </c>
      <c r="H7" s="525"/>
    </row>
    <row r="8" spans="1:22" ht="11.25" customHeight="1" x14ac:dyDescent="0.2">
      <c r="A8" s="513" t="s">
        <v>331</v>
      </c>
      <c r="B8" s="513"/>
      <c r="C8" s="239"/>
      <c r="D8" s="231">
        <v>4271</v>
      </c>
      <c r="E8" s="222">
        <v>3578</v>
      </c>
      <c r="F8" s="222">
        <v>3964</v>
      </c>
      <c r="G8" s="221">
        <v>4067</v>
      </c>
      <c r="H8" s="525"/>
    </row>
    <row r="9" spans="1:22" ht="11.25" customHeight="1" x14ac:dyDescent="0.2">
      <c r="A9" s="513" t="s">
        <v>330</v>
      </c>
      <c r="B9" s="513"/>
      <c r="C9" s="239"/>
      <c r="D9" s="231">
        <v>1277</v>
      </c>
      <c r="E9" s="222">
        <v>1341</v>
      </c>
      <c r="F9" s="222">
        <v>1345</v>
      </c>
      <c r="G9" s="221">
        <v>1309</v>
      </c>
      <c r="H9" s="525"/>
    </row>
    <row r="10" spans="1:22" ht="11.25" customHeight="1" x14ac:dyDescent="0.2">
      <c r="A10" s="513" t="s">
        <v>326</v>
      </c>
      <c r="B10" s="513"/>
      <c r="C10" s="239"/>
      <c r="D10" s="233">
        <v>688</v>
      </c>
      <c r="E10" s="219">
        <v>707</v>
      </c>
      <c r="F10" s="219">
        <v>811</v>
      </c>
      <c r="G10" s="218">
        <v>793</v>
      </c>
      <c r="H10" s="525"/>
    </row>
    <row r="11" spans="1:22" ht="11.25" customHeight="1" x14ac:dyDescent="0.2">
      <c r="A11" s="513" t="s">
        <v>325</v>
      </c>
      <c r="B11" s="513"/>
      <c r="C11" s="239"/>
      <c r="D11" s="233">
        <v>53</v>
      </c>
      <c r="E11" s="219">
        <v>54</v>
      </c>
      <c r="F11" s="219">
        <v>64</v>
      </c>
      <c r="G11" s="218">
        <v>62</v>
      </c>
      <c r="H11" s="525"/>
    </row>
    <row r="12" spans="1:22" ht="12" customHeight="1" x14ac:dyDescent="0.25">
      <c r="A12" s="514" t="s">
        <v>324</v>
      </c>
      <c r="B12" s="514"/>
      <c r="C12" s="514"/>
      <c r="D12" s="251">
        <v>745</v>
      </c>
      <c r="E12" s="250">
        <v>659</v>
      </c>
      <c r="F12" s="250">
        <v>776</v>
      </c>
      <c r="G12" s="249">
        <v>763</v>
      </c>
      <c r="H12" s="526"/>
      <c r="V12" s="243"/>
    </row>
    <row r="13" spans="1:22" ht="11.45" customHeight="1" x14ac:dyDescent="0.2">
      <c r="A13" s="520" t="s">
        <v>396</v>
      </c>
      <c r="B13" s="520"/>
      <c r="C13" s="248">
        <v>2</v>
      </c>
      <c r="D13" s="247"/>
      <c r="E13" s="246"/>
      <c r="F13" s="246"/>
      <c r="G13" s="245"/>
      <c r="H13" s="244"/>
      <c r="V13" s="243"/>
    </row>
    <row r="14" spans="1:22" ht="11.25" customHeight="1" x14ac:dyDescent="0.2">
      <c r="A14" s="516" t="s">
        <v>395</v>
      </c>
      <c r="B14" s="516"/>
      <c r="C14" s="239"/>
      <c r="D14" s="231">
        <v>105.04</v>
      </c>
      <c r="E14" s="222">
        <v>109.18</v>
      </c>
      <c r="F14" s="222">
        <v>110.68</v>
      </c>
      <c r="G14" s="221">
        <v>119.25</v>
      </c>
      <c r="H14" s="240" t="s">
        <v>373</v>
      </c>
      <c r="J14" s="216">
        <f t="shared" ref="J14:J22" si="0">D14*gwpch4</f>
        <v>2415.92</v>
      </c>
      <c r="K14" s="216">
        <f t="shared" ref="K14:K22" si="1">E14*gwpch4</f>
        <v>2511.1400000000003</v>
      </c>
      <c r="L14" s="216">
        <f t="shared" ref="L14:L22" si="2">F14*gwpch4</f>
        <v>2545.6400000000003</v>
      </c>
      <c r="M14" s="216">
        <f t="shared" ref="M14:M22" si="3">G14*gwpch4</f>
        <v>2742.75</v>
      </c>
    </row>
    <row r="15" spans="1:22" ht="11.25" customHeight="1" x14ac:dyDescent="0.2">
      <c r="A15" s="513" t="s">
        <v>340</v>
      </c>
      <c r="B15" s="513"/>
      <c r="C15" s="239"/>
      <c r="D15" s="231">
        <v>96.16</v>
      </c>
      <c r="E15" s="222">
        <v>98.34</v>
      </c>
      <c r="F15" s="222">
        <v>99.52</v>
      </c>
      <c r="G15" s="221">
        <v>100.1</v>
      </c>
      <c r="H15" s="230"/>
      <c r="J15" s="216">
        <f t="shared" si="0"/>
        <v>2211.6799999999998</v>
      </c>
      <c r="K15" s="216">
        <f t="shared" si="1"/>
        <v>2261.8200000000002</v>
      </c>
      <c r="L15" s="216">
        <f t="shared" si="2"/>
        <v>2288.96</v>
      </c>
      <c r="M15" s="216">
        <f t="shared" si="3"/>
        <v>2302.2999999999997</v>
      </c>
    </row>
    <row r="16" spans="1:22" ht="11.25" customHeight="1" x14ac:dyDescent="0.2">
      <c r="A16" s="513" t="s">
        <v>336</v>
      </c>
      <c r="B16" s="513"/>
      <c r="C16" s="239"/>
      <c r="D16" s="231">
        <v>5.34</v>
      </c>
      <c r="E16" s="222">
        <v>7.24</v>
      </c>
      <c r="F16" s="222">
        <v>7.42</v>
      </c>
      <c r="G16" s="221">
        <v>10.54</v>
      </c>
      <c r="H16" s="230"/>
      <c r="J16" s="216">
        <f t="shared" si="0"/>
        <v>122.82</v>
      </c>
      <c r="K16" s="216">
        <f t="shared" si="1"/>
        <v>166.52</v>
      </c>
      <c r="L16" s="216">
        <f t="shared" si="2"/>
        <v>170.66</v>
      </c>
      <c r="M16" s="216">
        <f t="shared" si="3"/>
        <v>242.42</v>
      </c>
    </row>
    <row r="17" spans="1:13" ht="11.25" customHeight="1" x14ac:dyDescent="0.2">
      <c r="A17" s="513" t="s">
        <v>335</v>
      </c>
      <c r="B17" s="513"/>
      <c r="C17" s="239"/>
      <c r="D17" s="231">
        <v>3.49</v>
      </c>
      <c r="E17" s="222">
        <v>3.55</v>
      </c>
      <c r="F17" s="222">
        <v>3.73</v>
      </c>
      <c r="G17" s="221">
        <v>4.01</v>
      </c>
      <c r="H17" s="230"/>
      <c r="J17" s="216">
        <f t="shared" si="0"/>
        <v>80.27000000000001</v>
      </c>
      <c r="K17" s="216">
        <f t="shared" si="1"/>
        <v>81.649999999999991</v>
      </c>
      <c r="L17" s="216">
        <f t="shared" si="2"/>
        <v>85.79</v>
      </c>
      <c r="M17" s="216">
        <f t="shared" si="3"/>
        <v>92.22999999999999</v>
      </c>
    </row>
    <row r="18" spans="1:13" ht="11.25" customHeight="1" x14ac:dyDescent="0.2">
      <c r="A18" s="513" t="s">
        <v>331</v>
      </c>
      <c r="B18" s="513"/>
      <c r="C18" s="239"/>
      <c r="D18" s="242">
        <v>0</v>
      </c>
      <c r="E18" s="222">
        <v>0</v>
      </c>
      <c r="F18" s="222">
        <v>0</v>
      </c>
      <c r="G18" s="221">
        <v>0</v>
      </c>
      <c r="H18" s="230"/>
      <c r="J18" s="216">
        <f t="shared" si="0"/>
        <v>0</v>
      </c>
      <c r="K18" s="216">
        <f t="shared" si="1"/>
        <v>0</v>
      </c>
      <c r="L18" s="216">
        <f t="shared" si="2"/>
        <v>0</v>
      </c>
      <c r="M18" s="216">
        <f t="shared" si="3"/>
        <v>0</v>
      </c>
    </row>
    <row r="19" spans="1:13" ht="11.25" customHeight="1" x14ac:dyDescent="0.2">
      <c r="A19" s="513" t="s">
        <v>330</v>
      </c>
      <c r="B19" s="513"/>
      <c r="C19" s="239"/>
      <c r="D19" s="231">
        <v>0</v>
      </c>
      <c r="E19" s="222">
        <v>0</v>
      </c>
      <c r="F19" s="222">
        <v>0</v>
      </c>
      <c r="G19" s="221">
        <v>0</v>
      </c>
      <c r="H19" s="230"/>
      <c r="J19" s="216">
        <f t="shared" si="0"/>
        <v>0</v>
      </c>
      <c r="K19" s="216">
        <f t="shared" si="1"/>
        <v>0</v>
      </c>
      <c r="L19" s="216">
        <f t="shared" si="2"/>
        <v>0</v>
      </c>
      <c r="M19" s="216">
        <f t="shared" si="3"/>
        <v>0</v>
      </c>
    </row>
    <row r="20" spans="1:13" ht="11.25" customHeight="1" x14ac:dyDescent="0.2">
      <c r="A20" s="513" t="s">
        <v>326</v>
      </c>
      <c r="B20" s="513"/>
      <c r="C20" s="239"/>
      <c r="D20" s="231">
        <v>0.04</v>
      </c>
      <c r="E20" s="222">
        <v>0.04</v>
      </c>
      <c r="F20" s="222">
        <v>0</v>
      </c>
      <c r="G20" s="221">
        <v>0</v>
      </c>
      <c r="H20" s="230"/>
      <c r="J20" s="216">
        <f t="shared" si="0"/>
        <v>0.92</v>
      </c>
      <c r="K20" s="216">
        <f t="shared" si="1"/>
        <v>0.92</v>
      </c>
      <c r="L20" s="216">
        <f t="shared" si="2"/>
        <v>0</v>
      </c>
      <c r="M20" s="216">
        <f t="shared" si="3"/>
        <v>0</v>
      </c>
    </row>
    <row r="21" spans="1:13" ht="11.25" customHeight="1" x14ac:dyDescent="0.2">
      <c r="A21" s="513" t="s">
        <v>325</v>
      </c>
      <c r="B21" s="513"/>
      <c r="C21" s="239"/>
      <c r="D21" s="231">
        <v>0</v>
      </c>
      <c r="E21" s="222">
        <v>0</v>
      </c>
      <c r="F21" s="222">
        <v>0</v>
      </c>
      <c r="G21" s="221">
        <v>0</v>
      </c>
      <c r="H21" s="230"/>
      <c r="J21" s="216">
        <f t="shared" si="0"/>
        <v>0</v>
      </c>
      <c r="K21" s="216">
        <f t="shared" si="1"/>
        <v>0</v>
      </c>
      <c r="L21" s="216">
        <f t="shared" si="2"/>
        <v>0</v>
      </c>
      <c r="M21" s="216">
        <f t="shared" si="3"/>
        <v>0</v>
      </c>
    </row>
    <row r="22" spans="1:13" ht="11.85" customHeight="1" x14ac:dyDescent="0.2">
      <c r="A22" s="513" t="s">
        <v>324</v>
      </c>
      <c r="B22" s="513"/>
      <c r="C22" s="513"/>
      <c r="D22" s="231">
        <v>0.01</v>
      </c>
      <c r="E22" s="222">
        <v>0.01</v>
      </c>
      <c r="F22" s="222">
        <v>0.01</v>
      </c>
      <c r="G22" s="221">
        <v>4.6100000000000003</v>
      </c>
      <c r="H22" s="230"/>
      <c r="J22" s="216">
        <f t="shared" si="0"/>
        <v>0.23</v>
      </c>
      <c r="K22" s="216">
        <f t="shared" si="1"/>
        <v>0.23</v>
      </c>
      <c r="L22" s="216">
        <f t="shared" si="2"/>
        <v>0.23</v>
      </c>
      <c r="M22" s="216">
        <f t="shared" si="3"/>
        <v>106.03</v>
      </c>
    </row>
    <row r="23" spans="1:13" ht="12" customHeight="1" x14ac:dyDescent="0.2">
      <c r="A23" s="516" t="s">
        <v>394</v>
      </c>
      <c r="B23" s="516"/>
      <c r="C23" s="239"/>
      <c r="D23" s="231">
        <v>1.64</v>
      </c>
      <c r="E23" s="222">
        <v>1.44</v>
      </c>
      <c r="F23" s="222">
        <v>0.51</v>
      </c>
      <c r="G23" s="221">
        <v>0.45</v>
      </c>
      <c r="H23" s="240" t="s">
        <v>373</v>
      </c>
      <c r="J23" s="216">
        <f t="shared" ref="J23:J31" si="4">D23*gwpn2o</f>
        <v>485.44</v>
      </c>
      <c r="K23" s="216">
        <f t="shared" ref="K23:K31" si="5">E23*gwpn2o</f>
        <v>426.24</v>
      </c>
      <c r="L23" s="216">
        <f t="shared" ref="L23:L31" si="6">F23*gwpn2o</f>
        <v>150.96</v>
      </c>
      <c r="M23" s="216">
        <f t="shared" ref="M23:M31" si="7">G23*gwpn2o</f>
        <v>133.20000000000002</v>
      </c>
    </row>
    <row r="24" spans="1:13" ht="11.25" customHeight="1" x14ac:dyDescent="0.2">
      <c r="A24" s="513" t="s">
        <v>340</v>
      </c>
      <c r="B24" s="513"/>
      <c r="C24" s="239"/>
      <c r="D24" s="231">
        <v>0.9</v>
      </c>
      <c r="E24" s="222">
        <v>1.18</v>
      </c>
      <c r="F24" s="222">
        <v>0.34</v>
      </c>
      <c r="G24" s="221">
        <v>0.31</v>
      </c>
      <c r="H24" s="230"/>
      <c r="J24" s="216">
        <f t="shared" si="4"/>
        <v>266.40000000000003</v>
      </c>
      <c r="K24" s="216">
        <f t="shared" si="5"/>
        <v>349.28</v>
      </c>
      <c r="L24" s="216">
        <f t="shared" si="6"/>
        <v>100.64</v>
      </c>
      <c r="M24" s="216">
        <f t="shared" si="7"/>
        <v>91.76</v>
      </c>
    </row>
    <row r="25" spans="1:13" ht="11.25" customHeight="1" x14ac:dyDescent="0.2">
      <c r="A25" s="513" t="s">
        <v>336</v>
      </c>
      <c r="B25" s="513"/>
      <c r="C25" s="239"/>
      <c r="D25" s="231">
        <v>0.73</v>
      </c>
      <c r="E25" s="222">
        <v>0.26</v>
      </c>
      <c r="F25" s="222">
        <v>0.16</v>
      </c>
      <c r="G25" s="221">
        <v>0.14000000000000001</v>
      </c>
      <c r="H25" s="230"/>
      <c r="J25" s="216">
        <f t="shared" si="4"/>
        <v>216.07999999999998</v>
      </c>
      <c r="K25" s="216">
        <f t="shared" si="5"/>
        <v>76.960000000000008</v>
      </c>
      <c r="L25" s="216">
        <f t="shared" si="6"/>
        <v>47.36</v>
      </c>
      <c r="M25" s="216">
        <f t="shared" si="7"/>
        <v>41.440000000000005</v>
      </c>
    </row>
    <row r="26" spans="1:13" ht="11.25" customHeight="1" x14ac:dyDescent="0.2">
      <c r="A26" s="513" t="s">
        <v>335</v>
      </c>
      <c r="B26" s="513"/>
      <c r="C26" s="239"/>
      <c r="D26" s="231">
        <v>0</v>
      </c>
      <c r="E26" s="222">
        <v>0</v>
      </c>
      <c r="F26" s="222">
        <v>0</v>
      </c>
      <c r="G26" s="221">
        <v>0</v>
      </c>
      <c r="H26" s="230"/>
      <c r="J26" s="216">
        <f t="shared" si="4"/>
        <v>0</v>
      </c>
      <c r="K26" s="216">
        <f t="shared" si="5"/>
        <v>0</v>
      </c>
      <c r="L26" s="216">
        <f t="shared" si="6"/>
        <v>0</v>
      </c>
      <c r="M26" s="216">
        <f t="shared" si="7"/>
        <v>0</v>
      </c>
    </row>
    <row r="27" spans="1:13" ht="11.25" customHeight="1" x14ac:dyDescent="0.2">
      <c r="A27" s="513" t="s">
        <v>331</v>
      </c>
      <c r="B27" s="513"/>
      <c r="C27" s="239"/>
      <c r="D27" s="231">
        <v>0</v>
      </c>
      <c r="E27" s="222">
        <v>0</v>
      </c>
      <c r="F27" s="222">
        <v>0</v>
      </c>
      <c r="G27" s="221">
        <v>0</v>
      </c>
      <c r="H27" s="230"/>
      <c r="J27" s="216">
        <f t="shared" si="4"/>
        <v>0</v>
      </c>
      <c r="K27" s="216">
        <f t="shared" si="5"/>
        <v>0</v>
      </c>
      <c r="L27" s="216">
        <f t="shared" si="6"/>
        <v>0</v>
      </c>
      <c r="M27" s="216">
        <f t="shared" si="7"/>
        <v>0</v>
      </c>
    </row>
    <row r="28" spans="1:13" ht="11.25" customHeight="1" x14ac:dyDescent="0.2">
      <c r="A28" s="513" t="s">
        <v>330</v>
      </c>
      <c r="B28" s="513"/>
      <c r="C28" s="239"/>
      <c r="D28" s="231">
        <v>0</v>
      </c>
      <c r="E28" s="222">
        <v>0</v>
      </c>
      <c r="F28" s="222">
        <v>0</v>
      </c>
      <c r="G28" s="221">
        <v>0</v>
      </c>
      <c r="H28" s="230"/>
      <c r="J28" s="216">
        <f t="shared" si="4"/>
        <v>0</v>
      </c>
      <c r="K28" s="216">
        <f t="shared" si="5"/>
        <v>0</v>
      </c>
      <c r="L28" s="216">
        <f t="shared" si="6"/>
        <v>0</v>
      </c>
      <c r="M28" s="216">
        <f t="shared" si="7"/>
        <v>0</v>
      </c>
    </row>
    <row r="29" spans="1:13" ht="11.25" customHeight="1" x14ac:dyDescent="0.2">
      <c r="A29" s="513" t="s">
        <v>326</v>
      </c>
      <c r="B29" s="513"/>
      <c r="C29" s="239"/>
      <c r="D29" s="231">
        <v>0.01</v>
      </c>
      <c r="E29" s="222">
        <v>0.01</v>
      </c>
      <c r="F29" s="222">
        <v>0</v>
      </c>
      <c r="G29" s="221">
        <v>0</v>
      </c>
      <c r="H29" s="230"/>
      <c r="J29" s="216">
        <f t="shared" si="4"/>
        <v>2.96</v>
      </c>
      <c r="K29" s="216">
        <f t="shared" si="5"/>
        <v>2.96</v>
      </c>
      <c r="L29" s="216">
        <f t="shared" si="6"/>
        <v>0</v>
      </c>
      <c r="M29" s="216">
        <f t="shared" si="7"/>
        <v>0</v>
      </c>
    </row>
    <row r="30" spans="1:13" ht="11.25" customHeight="1" x14ac:dyDescent="0.2">
      <c r="A30" s="513" t="s">
        <v>325</v>
      </c>
      <c r="B30" s="513"/>
      <c r="C30" s="239"/>
      <c r="D30" s="231">
        <v>0</v>
      </c>
      <c r="E30" s="222">
        <v>0</v>
      </c>
      <c r="F30" s="222">
        <v>0</v>
      </c>
      <c r="G30" s="221">
        <v>0</v>
      </c>
      <c r="H30" s="230"/>
      <c r="J30" s="216">
        <f t="shared" si="4"/>
        <v>0</v>
      </c>
      <c r="K30" s="216">
        <f t="shared" si="5"/>
        <v>0</v>
      </c>
      <c r="L30" s="216">
        <f t="shared" si="6"/>
        <v>0</v>
      </c>
      <c r="M30" s="216">
        <f t="shared" si="7"/>
        <v>0</v>
      </c>
    </row>
    <row r="31" spans="1:13" ht="11.85" customHeight="1" x14ac:dyDescent="0.2">
      <c r="A31" s="513" t="s">
        <v>324</v>
      </c>
      <c r="B31" s="513"/>
      <c r="C31" s="513"/>
      <c r="D31" s="231">
        <v>0</v>
      </c>
      <c r="E31" s="222">
        <v>0</v>
      </c>
      <c r="F31" s="222">
        <v>0</v>
      </c>
      <c r="G31" s="221">
        <v>0</v>
      </c>
      <c r="H31" s="230"/>
      <c r="J31" s="216">
        <f t="shared" si="4"/>
        <v>0</v>
      </c>
      <c r="K31" s="216">
        <f t="shared" si="5"/>
        <v>0</v>
      </c>
      <c r="L31" s="216">
        <f t="shared" si="6"/>
        <v>0</v>
      </c>
      <c r="M31" s="216">
        <f t="shared" si="7"/>
        <v>0</v>
      </c>
    </row>
    <row r="32" spans="1:13" ht="12" customHeight="1" x14ac:dyDescent="0.2">
      <c r="A32" s="516" t="s">
        <v>393</v>
      </c>
      <c r="B32" s="516"/>
      <c r="C32" s="239"/>
      <c r="D32" s="231">
        <v>56004</v>
      </c>
      <c r="E32" s="222">
        <v>56731</v>
      </c>
      <c r="F32" s="222">
        <v>57281</v>
      </c>
      <c r="G32" s="221">
        <v>58329</v>
      </c>
      <c r="H32" s="240" t="s">
        <v>373</v>
      </c>
      <c r="J32" s="216">
        <f t="shared" ref="J32:J40" si="8">D32</f>
        <v>56004</v>
      </c>
      <c r="K32" s="216">
        <f t="shared" ref="K32:K40" si="9">E32</f>
        <v>56731</v>
      </c>
      <c r="L32" s="216">
        <f t="shared" ref="L32:L40" si="10">F32</f>
        <v>57281</v>
      </c>
      <c r="M32" s="216">
        <f t="shared" ref="M32:M40" si="11">G32</f>
        <v>58329</v>
      </c>
    </row>
    <row r="33" spans="1:16" ht="11.25" customHeight="1" x14ac:dyDescent="0.25">
      <c r="A33" s="513" t="s">
        <v>340</v>
      </c>
      <c r="B33" s="513"/>
      <c r="C33" s="239"/>
      <c r="D33" s="231">
        <v>48418</v>
      </c>
      <c r="E33" s="222">
        <v>49411</v>
      </c>
      <c r="F33" s="222">
        <v>49284</v>
      </c>
      <c r="G33" s="221">
        <v>50152</v>
      </c>
      <c r="H33" s="230"/>
      <c r="J33" s="216">
        <f t="shared" si="8"/>
        <v>48418</v>
      </c>
      <c r="K33" s="216">
        <f t="shared" si="9"/>
        <v>49411</v>
      </c>
      <c r="L33" s="216">
        <f t="shared" si="10"/>
        <v>49284</v>
      </c>
      <c r="M33" s="216">
        <f t="shared" si="11"/>
        <v>50152</v>
      </c>
      <c r="O33" s="216">
        <v>25578.843000000001</v>
      </c>
      <c r="P33" t="s">
        <v>392</v>
      </c>
    </row>
    <row r="34" spans="1:16" ht="11.25" customHeight="1" x14ac:dyDescent="0.2">
      <c r="A34" s="513" t="s">
        <v>336</v>
      </c>
      <c r="B34" s="513"/>
      <c r="C34" s="239"/>
      <c r="D34" s="231">
        <v>4557</v>
      </c>
      <c r="E34" s="222">
        <v>4517</v>
      </c>
      <c r="F34" s="222">
        <v>5017</v>
      </c>
      <c r="G34" s="221">
        <v>5196</v>
      </c>
      <c r="H34" s="230"/>
      <c r="J34" s="216">
        <f t="shared" si="8"/>
        <v>4557</v>
      </c>
      <c r="K34" s="216">
        <f t="shared" si="9"/>
        <v>4517</v>
      </c>
      <c r="L34" s="216">
        <f t="shared" si="10"/>
        <v>5017</v>
      </c>
      <c r="M34" s="216">
        <f t="shared" si="11"/>
        <v>5196</v>
      </c>
    </row>
    <row r="35" spans="1:16" ht="11.25" customHeight="1" x14ac:dyDescent="0.2">
      <c r="A35" s="513" t="s">
        <v>335</v>
      </c>
      <c r="B35" s="513"/>
      <c r="C35" s="239"/>
      <c r="D35" s="233">
        <v>16</v>
      </c>
      <c r="E35" s="219">
        <v>18</v>
      </c>
      <c r="F35" s="219">
        <v>16</v>
      </c>
      <c r="G35" s="218">
        <v>16</v>
      </c>
      <c r="H35" s="230"/>
      <c r="J35" s="216">
        <f t="shared" si="8"/>
        <v>16</v>
      </c>
      <c r="K35" s="216">
        <f t="shared" si="9"/>
        <v>18</v>
      </c>
      <c r="L35" s="216">
        <f t="shared" si="10"/>
        <v>16</v>
      </c>
      <c r="M35" s="216">
        <f t="shared" si="11"/>
        <v>16</v>
      </c>
    </row>
    <row r="36" spans="1:16" ht="11.25" customHeight="1" x14ac:dyDescent="0.2">
      <c r="A36" s="513" t="s">
        <v>331</v>
      </c>
      <c r="B36" s="513"/>
      <c r="C36" s="239"/>
      <c r="D36" s="233">
        <v>932</v>
      </c>
      <c r="E36" s="219">
        <v>791</v>
      </c>
      <c r="F36" s="219">
        <v>903</v>
      </c>
      <c r="G36" s="218">
        <v>938</v>
      </c>
      <c r="H36" s="230"/>
      <c r="J36" s="216">
        <f t="shared" si="8"/>
        <v>932</v>
      </c>
      <c r="K36" s="216">
        <f t="shared" si="9"/>
        <v>791</v>
      </c>
      <c r="L36" s="216">
        <f t="shared" si="10"/>
        <v>903</v>
      </c>
      <c r="M36" s="216">
        <f t="shared" si="11"/>
        <v>938</v>
      </c>
    </row>
    <row r="37" spans="1:16" ht="11.25" customHeight="1" x14ac:dyDescent="0.2">
      <c r="A37" s="513" t="s">
        <v>330</v>
      </c>
      <c r="B37" s="513"/>
      <c r="C37" s="239"/>
      <c r="D37" s="233">
        <v>610</v>
      </c>
      <c r="E37" s="219">
        <v>698</v>
      </c>
      <c r="F37" s="219">
        <v>773</v>
      </c>
      <c r="G37" s="218">
        <v>748</v>
      </c>
      <c r="H37" s="230"/>
      <c r="J37" s="216">
        <f t="shared" si="8"/>
        <v>610</v>
      </c>
      <c r="K37" s="216">
        <f t="shared" si="9"/>
        <v>698</v>
      </c>
      <c r="L37" s="216">
        <f t="shared" si="10"/>
        <v>773</v>
      </c>
      <c r="M37" s="216">
        <f t="shared" si="11"/>
        <v>748</v>
      </c>
    </row>
    <row r="38" spans="1:16" ht="11.25" customHeight="1" x14ac:dyDescent="0.2">
      <c r="A38" s="513" t="s">
        <v>326</v>
      </c>
      <c r="B38" s="513"/>
      <c r="C38" s="239"/>
      <c r="D38" s="231">
        <v>1163</v>
      </c>
      <c r="E38" s="219">
        <v>988</v>
      </c>
      <c r="F38" s="219">
        <v>978</v>
      </c>
      <c r="G38" s="218">
        <v>953</v>
      </c>
      <c r="H38" s="230"/>
      <c r="J38" s="216">
        <f t="shared" si="8"/>
        <v>1163</v>
      </c>
      <c r="K38" s="216">
        <f t="shared" si="9"/>
        <v>988</v>
      </c>
      <c r="L38" s="216">
        <f t="shared" si="10"/>
        <v>978</v>
      </c>
      <c r="M38" s="216">
        <f t="shared" si="11"/>
        <v>953</v>
      </c>
    </row>
    <row r="39" spans="1:16" ht="11.25" customHeight="1" x14ac:dyDescent="0.2">
      <c r="A39" s="513" t="s">
        <v>325</v>
      </c>
      <c r="B39" s="513"/>
      <c r="C39" s="239"/>
      <c r="D39" s="233">
        <v>261</v>
      </c>
      <c r="E39" s="219">
        <v>258</v>
      </c>
      <c r="F39" s="219">
        <v>260</v>
      </c>
      <c r="G39" s="218">
        <v>273</v>
      </c>
      <c r="H39" s="230"/>
      <c r="J39" s="216">
        <f t="shared" si="8"/>
        <v>261</v>
      </c>
      <c r="K39" s="216">
        <f t="shared" si="9"/>
        <v>258</v>
      </c>
      <c r="L39" s="216">
        <f t="shared" si="10"/>
        <v>260</v>
      </c>
      <c r="M39" s="216">
        <f t="shared" si="11"/>
        <v>273</v>
      </c>
    </row>
    <row r="40" spans="1:16" ht="11.85" customHeight="1" x14ac:dyDescent="0.2">
      <c r="A40" s="513" t="s">
        <v>324</v>
      </c>
      <c r="B40" s="513"/>
      <c r="C40" s="513"/>
      <c r="D40" s="233">
        <v>47</v>
      </c>
      <c r="E40" s="219">
        <v>51</v>
      </c>
      <c r="F40" s="219">
        <v>51</v>
      </c>
      <c r="G40" s="218">
        <v>53</v>
      </c>
      <c r="H40" s="230"/>
      <c r="J40" s="216">
        <f t="shared" si="8"/>
        <v>47</v>
      </c>
      <c r="K40" s="216">
        <f t="shared" si="9"/>
        <v>51</v>
      </c>
      <c r="L40" s="216">
        <f t="shared" si="10"/>
        <v>51</v>
      </c>
      <c r="M40" s="216">
        <f t="shared" si="11"/>
        <v>53</v>
      </c>
    </row>
    <row r="41" spans="1:16" ht="12" customHeight="1" x14ac:dyDescent="0.25">
      <c r="A41" s="516" t="s">
        <v>391</v>
      </c>
      <c r="B41" s="516"/>
      <c r="C41" s="241">
        <v>3</v>
      </c>
      <c r="D41" s="231">
        <v>7653</v>
      </c>
      <c r="E41" s="222">
        <v>7756</v>
      </c>
      <c r="F41" s="222">
        <v>7659</v>
      </c>
      <c r="G41" s="221">
        <v>8046</v>
      </c>
      <c r="H41" s="240" t="s">
        <v>373</v>
      </c>
    </row>
    <row r="42" spans="1:16" ht="11.25" customHeight="1" x14ac:dyDescent="0.2">
      <c r="A42" s="513" t="s">
        <v>340</v>
      </c>
      <c r="B42" s="513"/>
      <c r="C42" s="239"/>
      <c r="D42" s="231">
        <v>5596</v>
      </c>
      <c r="E42" s="222">
        <v>5580</v>
      </c>
      <c r="F42" s="222">
        <v>5598</v>
      </c>
      <c r="G42" s="221">
        <v>6089</v>
      </c>
      <c r="H42" s="230"/>
      <c r="I42" s="217" t="s">
        <v>340</v>
      </c>
      <c r="J42" s="217">
        <f t="shared" ref="J42:M45" si="12">J15+J24+J33</f>
        <v>50896.08</v>
      </c>
      <c r="K42" s="217">
        <f t="shared" si="12"/>
        <v>52022.1</v>
      </c>
      <c r="L42" s="217">
        <f t="shared" si="12"/>
        <v>51673.599999999999</v>
      </c>
      <c r="M42" s="217">
        <f t="shared" si="12"/>
        <v>52546.06</v>
      </c>
    </row>
    <row r="43" spans="1:16" ht="11.25" customHeight="1" x14ac:dyDescent="0.2">
      <c r="A43" s="513" t="s">
        <v>336</v>
      </c>
      <c r="B43" s="513"/>
      <c r="C43" s="239"/>
      <c r="D43" s="233">
        <v>400</v>
      </c>
      <c r="E43" s="219">
        <v>723</v>
      </c>
      <c r="F43" s="219">
        <v>527</v>
      </c>
      <c r="G43" s="218">
        <v>468</v>
      </c>
      <c r="H43" s="230"/>
      <c r="I43" s="217" t="s">
        <v>336</v>
      </c>
      <c r="J43" s="217">
        <f t="shared" si="12"/>
        <v>4895.8999999999996</v>
      </c>
      <c r="K43" s="217">
        <f t="shared" si="12"/>
        <v>4760.4799999999996</v>
      </c>
      <c r="L43" s="217">
        <f t="shared" si="12"/>
        <v>5235.0200000000004</v>
      </c>
      <c r="M43" s="217">
        <f t="shared" si="12"/>
        <v>5479.86</v>
      </c>
    </row>
    <row r="44" spans="1:16" ht="11.25" customHeight="1" x14ac:dyDescent="0.2">
      <c r="A44" s="513" t="s">
        <v>335</v>
      </c>
      <c r="B44" s="513"/>
      <c r="C44" s="239"/>
      <c r="D44" s="233">
        <v>726</v>
      </c>
      <c r="E44" s="219">
        <v>697</v>
      </c>
      <c r="F44" s="219">
        <v>705</v>
      </c>
      <c r="G44" s="218">
        <v>739</v>
      </c>
      <c r="H44" s="230"/>
      <c r="I44" s="217" t="s">
        <v>335</v>
      </c>
      <c r="J44" s="217">
        <f t="shared" si="12"/>
        <v>96.27000000000001</v>
      </c>
      <c r="K44" s="217">
        <f t="shared" si="12"/>
        <v>99.649999999999991</v>
      </c>
      <c r="L44" s="217">
        <f t="shared" si="12"/>
        <v>101.79</v>
      </c>
      <c r="M44" s="217">
        <f t="shared" si="12"/>
        <v>108.22999999999999</v>
      </c>
    </row>
    <row r="45" spans="1:16" ht="11.25" customHeight="1" x14ac:dyDescent="0.2">
      <c r="A45" s="513" t="s">
        <v>331</v>
      </c>
      <c r="B45" s="513"/>
      <c r="C45" s="239"/>
      <c r="D45" s="233">
        <v>289</v>
      </c>
      <c r="E45" s="219">
        <v>248</v>
      </c>
      <c r="F45" s="219">
        <v>263</v>
      </c>
      <c r="G45" s="218">
        <v>261</v>
      </c>
      <c r="H45" s="230"/>
      <c r="I45" s="217" t="s">
        <v>331</v>
      </c>
      <c r="J45" s="217">
        <f t="shared" si="12"/>
        <v>932</v>
      </c>
      <c r="K45" s="217">
        <f t="shared" si="12"/>
        <v>791</v>
      </c>
      <c r="L45" s="217">
        <f t="shared" si="12"/>
        <v>903</v>
      </c>
      <c r="M45" s="217">
        <f t="shared" si="12"/>
        <v>938</v>
      </c>
    </row>
    <row r="46" spans="1:16" ht="11.25" customHeight="1" x14ac:dyDescent="0.2">
      <c r="A46" s="513" t="s">
        <v>330</v>
      </c>
      <c r="B46" s="513"/>
      <c r="C46" s="239"/>
      <c r="D46" s="233">
        <v>108</v>
      </c>
      <c r="E46" s="219">
        <v>125</v>
      </c>
      <c r="F46" s="219">
        <v>170</v>
      </c>
      <c r="G46" s="218">
        <v>162</v>
      </c>
      <c r="H46" s="230"/>
    </row>
    <row r="47" spans="1:16" ht="11.25" customHeight="1" x14ac:dyDescent="0.2">
      <c r="A47" s="513" t="s">
        <v>326</v>
      </c>
      <c r="B47" s="513"/>
      <c r="C47" s="239"/>
      <c r="D47" s="233">
        <v>498</v>
      </c>
      <c r="E47" s="219">
        <v>349</v>
      </c>
      <c r="F47" s="219">
        <v>360</v>
      </c>
      <c r="G47" s="218">
        <v>289</v>
      </c>
      <c r="H47" s="230"/>
    </row>
    <row r="48" spans="1:16" ht="11.25" customHeight="1" x14ac:dyDescent="0.2">
      <c r="A48" s="513" t="s">
        <v>325</v>
      </c>
      <c r="B48" s="513"/>
      <c r="C48" s="239"/>
      <c r="D48" s="231">
        <v>0</v>
      </c>
      <c r="E48" s="222">
        <v>0</v>
      </c>
      <c r="F48" s="222">
        <v>0</v>
      </c>
      <c r="G48" s="221">
        <v>0</v>
      </c>
      <c r="H48" s="230"/>
    </row>
    <row r="49" spans="1:9" ht="11.85" customHeight="1" x14ac:dyDescent="0.2">
      <c r="A49" s="513" t="s">
        <v>324</v>
      </c>
      <c r="B49" s="513"/>
      <c r="C49" s="513"/>
      <c r="D49" s="233">
        <v>36</v>
      </c>
      <c r="E49" s="219">
        <v>37</v>
      </c>
      <c r="F49" s="219">
        <v>37</v>
      </c>
      <c r="G49" s="218">
        <v>39</v>
      </c>
      <c r="H49" s="230"/>
    </row>
    <row r="50" spans="1:9" ht="12" customHeight="1" x14ac:dyDescent="0.25">
      <c r="A50" s="516" t="s">
        <v>390</v>
      </c>
      <c r="B50" s="516"/>
      <c r="C50" s="241">
        <v>4</v>
      </c>
      <c r="D50" s="231">
        <v>0.05</v>
      </c>
      <c r="E50" s="222">
        <v>0.59</v>
      </c>
      <c r="F50" s="222">
        <v>0.78</v>
      </c>
      <c r="G50" s="221">
        <v>0.52</v>
      </c>
      <c r="H50" s="240" t="s">
        <v>389</v>
      </c>
    </row>
    <row r="51" spans="1:9" ht="11.25" customHeight="1" x14ac:dyDescent="0.2">
      <c r="A51" s="513" t="s">
        <v>340</v>
      </c>
      <c r="B51" s="513"/>
      <c r="C51" s="239"/>
      <c r="D51" s="231">
        <v>0</v>
      </c>
      <c r="E51" s="222">
        <v>0</v>
      </c>
      <c r="F51" s="222">
        <v>0</v>
      </c>
      <c r="G51" s="221">
        <v>0</v>
      </c>
      <c r="H51" s="230"/>
    </row>
    <row r="52" spans="1:9" ht="11.25" customHeight="1" x14ac:dyDescent="0.2">
      <c r="A52" s="513" t="s">
        <v>336</v>
      </c>
      <c r="B52" s="513"/>
      <c r="C52" s="239"/>
      <c r="D52" s="231">
        <v>0</v>
      </c>
      <c r="E52" s="222">
        <v>0</v>
      </c>
      <c r="F52" s="222">
        <v>0</v>
      </c>
      <c r="G52" s="221">
        <v>0</v>
      </c>
      <c r="H52" s="230"/>
    </row>
    <row r="53" spans="1:9" ht="11.25" customHeight="1" x14ac:dyDescent="0.2">
      <c r="A53" s="513" t="s">
        <v>335</v>
      </c>
      <c r="B53" s="513"/>
      <c r="C53" s="239"/>
      <c r="D53" s="231">
        <v>0</v>
      </c>
      <c r="E53" s="222">
        <v>0</v>
      </c>
      <c r="F53" s="222">
        <v>0</v>
      </c>
      <c r="G53" s="221">
        <v>0</v>
      </c>
      <c r="H53" s="230"/>
    </row>
    <row r="54" spans="1:9" ht="11.25" customHeight="1" x14ac:dyDescent="0.2">
      <c r="A54" s="513" t="s">
        <v>331</v>
      </c>
      <c r="B54" s="513"/>
      <c r="C54" s="239"/>
      <c r="D54" s="231">
        <v>0</v>
      </c>
      <c r="E54" s="222">
        <v>0</v>
      </c>
      <c r="F54" s="222">
        <v>0</v>
      </c>
      <c r="G54" s="221">
        <v>0</v>
      </c>
      <c r="H54" s="230"/>
    </row>
    <row r="55" spans="1:9" ht="11.25" customHeight="1" x14ac:dyDescent="0.2">
      <c r="A55" s="513" t="s">
        <v>330</v>
      </c>
      <c r="B55" s="513"/>
      <c r="C55" s="239"/>
      <c r="D55" s="231">
        <v>0</v>
      </c>
      <c r="E55" s="222">
        <v>0</v>
      </c>
      <c r="F55" s="222">
        <v>0</v>
      </c>
      <c r="G55" s="221">
        <v>0</v>
      </c>
      <c r="H55" s="230"/>
    </row>
    <row r="56" spans="1:9" ht="11.25" customHeight="1" x14ac:dyDescent="0.2">
      <c r="A56" s="513" t="s">
        <v>326</v>
      </c>
      <c r="B56" s="513"/>
      <c r="C56" s="239"/>
      <c r="D56" s="231">
        <v>0</v>
      </c>
      <c r="E56" s="222">
        <v>0</v>
      </c>
      <c r="F56" s="222">
        <v>0</v>
      </c>
      <c r="G56" s="221">
        <v>0</v>
      </c>
      <c r="H56" s="230"/>
    </row>
    <row r="57" spans="1:9" ht="11.25" customHeight="1" x14ac:dyDescent="0.2">
      <c r="A57" s="513" t="s">
        <v>325</v>
      </c>
      <c r="B57" s="513"/>
      <c r="C57" s="239"/>
      <c r="D57" s="231">
        <v>0.05</v>
      </c>
      <c r="E57" s="222">
        <v>0.59</v>
      </c>
      <c r="F57" s="222">
        <v>0.78</v>
      </c>
      <c r="G57" s="221">
        <v>0.52</v>
      </c>
      <c r="H57" s="230"/>
    </row>
    <row r="58" spans="1:9" ht="13.5" customHeight="1" x14ac:dyDescent="0.2">
      <c r="A58" s="514" t="s">
        <v>324</v>
      </c>
      <c r="B58" s="514"/>
      <c r="C58" s="514"/>
      <c r="D58" s="229">
        <v>0</v>
      </c>
      <c r="E58" s="228">
        <v>0</v>
      </c>
      <c r="F58" s="228">
        <v>0</v>
      </c>
      <c r="G58" s="227">
        <v>0</v>
      </c>
      <c r="H58" s="238"/>
    </row>
    <row r="59" spans="1:9" ht="0.95" customHeight="1" x14ac:dyDescent="0.25">
      <c r="A59" s="516"/>
      <c r="B59" s="516"/>
      <c r="C59" s="516"/>
      <c r="D59" s="516"/>
      <c r="E59" s="516"/>
      <c r="F59" s="516"/>
      <c r="G59" s="516"/>
      <c r="H59" s="516"/>
      <c r="I59" s="516"/>
    </row>
    <row r="60" spans="1:9" ht="0.95" customHeight="1" x14ac:dyDescent="0.25">
      <c r="A60" s="516"/>
      <c r="B60" s="516"/>
      <c r="C60" s="516"/>
      <c r="D60" s="516"/>
      <c r="E60" s="516"/>
      <c r="F60" s="516"/>
      <c r="G60" s="516"/>
      <c r="H60" s="516"/>
      <c r="I60" s="516"/>
    </row>
    <row r="61" spans="1:9" ht="12.75" customHeight="1" x14ac:dyDescent="0.25">
      <c r="A61" s="519" t="s">
        <v>388</v>
      </c>
      <c r="B61" s="519"/>
      <c r="C61" s="519"/>
      <c r="D61" s="519"/>
      <c r="E61" s="519"/>
      <c r="F61" s="519"/>
      <c r="G61" s="519"/>
      <c r="H61" s="519"/>
      <c r="I61" s="519"/>
    </row>
    <row r="62" spans="1:9" ht="39" customHeight="1" x14ac:dyDescent="0.2">
      <c r="A62" s="517" t="s">
        <v>345</v>
      </c>
      <c r="B62" s="517"/>
      <c r="C62" s="517"/>
      <c r="D62" s="225">
        <v>2019</v>
      </c>
      <c r="E62" s="224">
        <v>2018</v>
      </c>
      <c r="F62" s="224">
        <v>2017</v>
      </c>
      <c r="G62" s="223">
        <v>2016</v>
      </c>
      <c r="H62" s="237" t="s">
        <v>387</v>
      </c>
    </row>
    <row r="63" spans="1:9" ht="12.75" customHeight="1" x14ac:dyDescent="0.25">
      <c r="A63" s="518" t="s">
        <v>344</v>
      </c>
      <c r="B63" s="518"/>
      <c r="C63" s="518"/>
      <c r="D63" s="220" t="s">
        <v>386</v>
      </c>
      <c r="E63" s="236" t="s">
        <v>385</v>
      </c>
      <c r="F63" s="236" t="s">
        <v>384</v>
      </c>
      <c r="G63" s="235" t="s">
        <v>383</v>
      </c>
      <c r="H63" s="234" t="s">
        <v>373</v>
      </c>
    </row>
    <row r="64" spans="1:9" ht="11.25" customHeight="1" x14ac:dyDescent="0.2">
      <c r="A64" s="513" t="s">
        <v>340</v>
      </c>
      <c r="B64" s="513"/>
      <c r="C64" s="513"/>
      <c r="D64" s="231" t="s">
        <v>382</v>
      </c>
      <c r="E64" s="222" t="s">
        <v>342</v>
      </c>
      <c r="F64" s="222" t="s">
        <v>381</v>
      </c>
      <c r="G64" s="221" t="s">
        <v>341</v>
      </c>
      <c r="H64" s="230"/>
    </row>
    <row r="65" spans="1:8" ht="11.25" customHeight="1" x14ac:dyDescent="0.2">
      <c r="A65" s="513" t="s">
        <v>336</v>
      </c>
      <c r="B65" s="513"/>
      <c r="C65" s="513"/>
      <c r="D65" s="231" t="s">
        <v>380</v>
      </c>
      <c r="E65" s="222" t="s">
        <v>339</v>
      </c>
      <c r="F65" s="222" t="s">
        <v>338</v>
      </c>
      <c r="G65" s="221" t="s">
        <v>337</v>
      </c>
      <c r="H65" s="230"/>
    </row>
    <row r="66" spans="1:8" ht="11.25" customHeight="1" x14ac:dyDescent="0.2">
      <c r="A66" s="513" t="s">
        <v>335</v>
      </c>
      <c r="B66" s="513"/>
      <c r="C66" s="513"/>
      <c r="D66" s="233">
        <v>822</v>
      </c>
      <c r="E66" s="219">
        <v>797</v>
      </c>
      <c r="F66" s="219">
        <v>807</v>
      </c>
      <c r="G66" s="218">
        <v>847</v>
      </c>
      <c r="H66" s="230"/>
    </row>
    <row r="67" spans="1:8" ht="11.25" customHeight="1" x14ac:dyDescent="0.2">
      <c r="A67" s="513" t="s">
        <v>331</v>
      </c>
      <c r="B67" s="513"/>
      <c r="C67" s="513"/>
      <c r="D67" s="231" t="s">
        <v>379</v>
      </c>
      <c r="E67" s="222" t="s">
        <v>334</v>
      </c>
      <c r="F67" s="222" t="s">
        <v>333</v>
      </c>
      <c r="G67" s="221" t="s">
        <v>332</v>
      </c>
      <c r="H67" s="230"/>
    </row>
    <row r="68" spans="1:8" ht="11.25" customHeight="1" x14ac:dyDescent="0.2">
      <c r="A68" s="513" t="s">
        <v>330</v>
      </c>
      <c r="B68" s="513"/>
      <c r="C68" s="513"/>
      <c r="D68" s="233">
        <v>717</v>
      </c>
      <c r="E68" s="219">
        <v>823</v>
      </c>
      <c r="F68" s="219">
        <v>943</v>
      </c>
      <c r="G68" s="218">
        <v>910</v>
      </c>
      <c r="H68" s="230"/>
    </row>
    <row r="69" spans="1:8" ht="11.25" customHeight="1" x14ac:dyDescent="0.2">
      <c r="A69" s="513" t="s">
        <v>326</v>
      </c>
      <c r="B69" s="513"/>
      <c r="C69" s="513"/>
      <c r="D69" s="231" t="s">
        <v>378</v>
      </c>
      <c r="E69" s="222" t="s">
        <v>329</v>
      </c>
      <c r="F69" s="222" t="s">
        <v>328</v>
      </c>
      <c r="G69" s="221" t="s">
        <v>327</v>
      </c>
      <c r="H69" s="230"/>
    </row>
    <row r="70" spans="1:8" ht="11.25" customHeight="1" x14ac:dyDescent="0.2">
      <c r="A70" s="513" t="s">
        <v>325</v>
      </c>
      <c r="B70" s="513"/>
      <c r="C70" s="513"/>
      <c r="D70" s="233">
        <v>261</v>
      </c>
      <c r="E70" s="219">
        <v>258</v>
      </c>
      <c r="F70" s="219">
        <v>260</v>
      </c>
      <c r="G70" s="218">
        <v>274</v>
      </c>
      <c r="H70" s="230"/>
    </row>
    <row r="71" spans="1:8" ht="11.85" customHeight="1" x14ac:dyDescent="0.2">
      <c r="A71" s="513" t="s">
        <v>324</v>
      </c>
      <c r="B71" s="513"/>
      <c r="C71" s="513"/>
      <c r="D71" s="233">
        <v>83</v>
      </c>
      <c r="E71" s="219">
        <v>88</v>
      </c>
      <c r="F71" s="219">
        <v>89</v>
      </c>
      <c r="G71" s="218">
        <v>198</v>
      </c>
      <c r="H71" s="230"/>
    </row>
    <row r="72" spans="1:8" ht="12" customHeight="1" x14ac:dyDescent="0.25">
      <c r="A72" s="516" t="s">
        <v>377</v>
      </c>
      <c r="B72" s="516"/>
      <c r="C72" s="516"/>
      <c r="D72" s="231" t="s">
        <v>368</v>
      </c>
      <c r="E72" s="222" t="s">
        <v>376</v>
      </c>
      <c r="F72" s="222" t="s">
        <v>375</v>
      </c>
      <c r="G72" s="221" t="s">
        <v>374</v>
      </c>
      <c r="H72" s="232" t="s">
        <v>373</v>
      </c>
    </row>
    <row r="73" spans="1:8" ht="11.25" customHeight="1" x14ac:dyDescent="0.2">
      <c r="A73" s="513" t="s">
        <v>340</v>
      </c>
      <c r="B73" s="513"/>
      <c r="C73" s="513"/>
      <c r="D73" s="231" t="s">
        <v>372</v>
      </c>
      <c r="E73" s="222" t="s">
        <v>371</v>
      </c>
      <c r="F73" s="222" t="s">
        <v>370</v>
      </c>
      <c r="G73" s="221" t="s">
        <v>369</v>
      </c>
      <c r="H73" s="230"/>
    </row>
    <row r="74" spans="1:8" ht="11.25" customHeight="1" x14ac:dyDescent="0.2">
      <c r="A74" s="513" t="s">
        <v>336</v>
      </c>
      <c r="B74" s="513"/>
      <c r="C74" s="513"/>
      <c r="D74" s="231" t="s">
        <v>368</v>
      </c>
      <c r="E74" s="222" t="s">
        <v>367</v>
      </c>
      <c r="F74" s="222" t="s">
        <v>366</v>
      </c>
      <c r="G74" s="221" t="s">
        <v>365</v>
      </c>
      <c r="H74" s="230"/>
    </row>
    <row r="75" spans="1:8" ht="11.25" customHeight="1" x14ac:dyDescent="0.2">
      <c r="A75" s="513" t="s">
        <v>335</v>
      </c>
      <c r="B75" s="513"/>
      <c r="C75" s="513"/>
      <c r="D75" s="231" t="s">
        <v>348</v>
      </c>
      <c r="E75" s="222" t="s">
        <v>363</v>
      </c>
      <c r="F75" s="222" t="s">
        <v>364</v>
      </c>
      <c r="G75" s="221" t="s">
        <v>363</v>
      </c>
      <c r="H75" s="230"/>
    </row>
    <row r="76" spans="1:8" ht="11.25" customHeight="1" x14ac:dyDescent="0.2">
      <c r="A76" s="513" t="s">
        <v>331</v>
      </c>
      <c r="B76" s="513"/>
      <c r="C76" s="513"/>
      <c r="D76" s="231" t="s">
        <v>362</v>
      </c>
      <c r="E76" s="222" t="s">
        <v>362</v>
      </c>
      <c r="F76" s="222" t="s">
        <v>362</v>
      </c>
      <c r="G76" s="221" t="s">
        <v>362</v>
      </c>
      <c r="H76" s="230"/>
    </row>
    <row r="77" spans="1:8" ht="11.25" customHeight="1" x14ac:dyDescent="0.2">
      <c r="A77" s="513" t="s">
        <v>330</v>
      </c>
      <c r="B77" s="513"/>
      <c r="C77" s="513"/>
      <c r="D77" s="231" t="s">
        <v>361</v>
      </c>
      <c r="E77" s="222" t="s">
        <v>360</v>
      </c>
      <c r="F77" s="222" t="s">
        <v>359</v>
      </c>
      <c r="G77" s="221" t="s">
        <v>359</v>
      </c>
      <c r="H77" s="230"/>
    </row>
    <row r="78" spans="1:8" ht="11.25" customHeight="1" x14ac:dyDescent="0.2">
      <c r="A78" s="513" t="s">
        <v>326</v>
      </c>
      <c r="B78" s="513"/>
      <c r="C78" s="513"/>
      <c r="D78" s="231" t="s">
        <v>358</v>
      </c>
      <c r="E78" s="222" t="s">
        <v>357</v>
      </c>
      <c r="F78" s="222" t="s">
        <v>356</v>
      </c>
      <c r="G78" s="221" t="s">
        <v>355</v>
      </c>
      <c r="H78" s="230"/>
    </row>
    <row r="79" spans="1:8" ht="11.25" customHeight="1" x14ac:dyDescent="0.2">
      <c r="A79" s="513" t="s">
        <v>325</v>
      </c>
      <c r="B79" s="513"/>
      <c r="C79" s="513"/>
      <c r="D79" s="231" t="s">
        <v>354</v>
      </c>
      <c r="E79" s="222" t="s">
        <v>353</v>
      </c>
      <c r="F79" s="222" t="s">
        <v>352</v>
      </c>
      <c r="G79" s="221" t="s">
        <v>351</v>
      </c>
      <c r="H79" s="230"/>
    </row>
    <row r="80" spans="1:8" ht="13.7" customHeight="1" x14ac:dyDescent="0.25">
      <c r="A80" s="514" t="s">
        <v>324</v>
      </c>
      <c r="B80" s="514"/>
      <c r="C80" s="514"/>
      <c r="D80" s="229" t="s">
        <v>349</v>
      </c>
      <c r="E80" s="228" t="s">
        <v>350</v>
      </c>
      <c r="F80" s="228" t="s">
        <v>349</v>
      </c>
      <c r="G80" s="227" t="s">
        <v>348</v>
      </c>
      <c r="H80" s="226"/>
    </row>
    <row r="81" spans="1:13" ht="113.25" customHeight="1" x14ac:dyDescent="0.25">
      <c r="A81" s="515" t="s">
        <v>347</v>
      </c>
      <c r="B81" s="516"/>
      <c r="C81" s="516"/>
      <c r="D81" s="516"/>
      <c r="E81" s="516"/>
      <c r="F81" s="516"/>
      <c r="G81" s="516"/>
      <c r="H81" s="516"/>
      <c r="I81" s="516"/>
    </row>
    <row r="82" spans="1:13" ht="12.75" customHeight="1" x14ac:dyDescent="0.25">
      <c r="A82" s="516" t="s">
        <v>346</v>
      </c>
      <c r="B82" s="516"/>
      <c r="C82" s="516"/>
      <c r="D82" s="516"/>
      <c r="E82" s="516"/>
      <c r="F82" s="516"/>
      <c r="G82" s="516"/>
      <c r="H82" s="516"/>
      <c r="I82" s="516"/>
    </row>
    <row r="83" spans="1:13" x14ac:dyDescent="0.25">
      <c r="D83" s="216" t="str">
        <f>D63</f>
        <v>66 558</v>
      </c>
      <c r="E83" s="216" t="str">
        <f>E63</f>
        <v>67 412</v>
      </c>
      <c r="F83" s="216" t="str">
        <f>F63</f>
        <v>67 632</v>
      </c>
      <c r="G83" s="216" t="str">
        <f>G63</f>
        <v>69 250</v>
      </c>
    </row>
    <row r="85" spans="1:13" x14ac:dyDescent="0.2">
      <c r="A85" s="517" t="s">
        <v>345</v>
      </c>
      <c r="B85" s="517"/>
      <c r="C85" s="517"/>
      <c r="D85" s="225">
        <v>2019</v>
      </c>
      <c r="E85" s="224">
        <v>2018</v>
      </c>
      <c r="F85" s="224">
        <v>2017</v>
      </c>
      <c r="G85" s="223">
        <v>2016</v>
      </c>
      <c r="J85" s="216">
        <v>2019</v>
      </c>
      <c r="K85" s="216">
        <v>2018</v>
      </c>
      <c r="L85" s="216">
        <v>2017</v>
      </c>
      <c r="M85" s="216">
        <v>2016</v>
      </c>
    </row>
    <row r="86" spans="1:13" x14ac:dyDescent="0.25">
      <c r="A86" s="518" t="s">
        <v>344</v>
      </c>
      <c r="B86" s="518"/>
      <c r="C86" s="518"/>
      <c r="D86" s="220">
        <f>D14*gwpch4+D23*gwpn2o+D32+D41+D50</f>
        <v>66558.41</v>
      </c>
      <c r="E86" s="220">
        <f>E14*gwpch4+E23*gwpn2o+E32+E41+E50</f>
        <v>67424.97</v>
      </c>
      <c r="F86" s="220">
        <f>F14*gwpch4+F23*gwpn2o+F32+F41+F50</f>
        <v>67637.38</v>
      </c>
      <c r="G86" s="220">
        <f>G14*gwpch4+G23*gwpn2o+G32+G41+G50</f>
        <v>69251.47</v>
      </c>
      <c r="I86" s="216" t="s">
        <v>343</v>
      </c>
      <c r="J86" s="217">
        <f t="shared" ref="J86:M94" si="13">J14+J23+J32</f>
        <v>58905.36</v>
      </c>
      <c r="K86" s="217">
        <f t="shared" si="13"/>
        <v>59668.38</v>
      </c>
      <c r="L86" s="217">
        <f t="shared" si="13"/>
        <v>59977.599999999999</v>
      </c>
      <c r="M86" s="217">
        <f t="shared" si="13"/>
        <v>61204.95</v>
      </c>
    </row>
    <row r="87" spans="1:13" x14ac:dyDescent="0.25">
      <c r="A87" s="513" t="s">
        <v>340</v>
      </c>
      <c r="B87" s="513"/>
      <c r="C87" s="513"/>
      <c r="D87" s="220">
        <f t="shared" ref="D87:D94" si="14">D15*gwpch4+D24*gwpn2o+D33+D42+D51</f>
        <v>56492.08</v>
      </c>
      <c r="E87" s="222" t="s">
        <v>342</v>
      </c>
      <c r="F87" s="222">
        <v>57267</v>
      </c>
      <c r="G87" s="221" t="s">
        <v>341</v>
      </c>
      <c r="I87" s="217" t="s">
        <v>340</v>
      </c>
      <c r="J87" s="217">
        <f t="shared" si="13"/>
        <v>50896.08</v>
      </c>
      <c r="K87" s="217">
        <f t="shared" si="13"/>
        <v>52022.1</v>
      </c>
      <c r="L87" s="217">
        <f t="shared" si="13"/>
        <v>51673.599999999999</v>
      </c>
      <c r="M87" s="217">
        <f t="shared" si="13"/>
        <v>52546.06</v>
      </c>
    </row>
    <row r="88" spans="1:13" x14ac:dyDescent="0.25">
      <c r="A88" s="513" t="s">
        <v>336</v>
      </c>
      <c r="B88" s="513"/>
      <c r="C88" s="513"/>
      <c r="D88" s="220">
        <f t="shared" si="14"/>
        <v>5295.9</v>
      </c>
      <c r="E88" s="222" t="s">
        <v>339</v>
      </c>
      <c r="F88" s="222" t="s">
        <v>338</v>
      </c>
      <c r="G88" s="221" t="s">
        <v>337</v>
      </c>
      <c r="I88" s="217" t="s">
        <v>336</v>
      </c>
      <c r="J88" s="217">
        <f t="shared" si="13"/>
        <v>4895.8999999999996</v>
      </c>
      <c r="K88" s="217">
        <f t="shared" si="13"/>
        <v>4760.4799999999996</v>
      </c>
      <c r="L88" s="217">
        <f t="shared" si="13"/>
        <v>5235.0200000000004</v>
      </c>
      <c r="M88" s="217">
        <f t="shared" si="13"/>
        <v>5479.86</v>
      </c>
    </row>
    <row r="89" spans="1:13" x14ac:dyDescent="0.25">
      <c r="A89" s="513" t="s">
        <v>335</v>
      </c>
      <c r="B89" s="513"/>
      <c r="C89" s="513"/>
      <c r="D89" s="220">
        <f t="shared" si="14"/>
        <v>822.27</v>
      </c>
      <c r="E89" s="219">
        <v>797</v>
      </c>
      <c r="F89" s="219">
        <v>807</v>
      </c>
      <c r="G89" s="218">
        <v>847</v>
      </c>
      <c r="I89" s="217" t="s">
        <v>335</v>
      </c>
      <c r="J89" s="217">
        <f t="shared" si="13"/>
        <v>96.27000000000001</v>
      </c>
      <c r="K89" s="217">
        <f t="shared" si="13"/>
        <v>99.649999999999991</v>
      </c>
      <c r="L89" s="217">
        <f t="shared" si="13"/>
        <v>101.79</v>
      </c>
      <c r="M89" s="217">
        <f t="shared" si="13"/>
        <v>108.22999999999999</v>
      </c>
    </row>
    <row r="90" spans="1:13" x14ac:dyDescent="0.25">
      <c r="A90" s="513" t="s">
        <v>331</v>
      </c>
      <c r="B90" s="513"/>
      <c r="C90" s="513"/>
      <c r="D90" s="220">
        <f t="shared" si="14"/>
        <v>1221</v>
      </c>
      <c r="E90" s="222" t="s">
        <v>334</v>
      </c>
      <c r="F90" s="222" t="s">
        <v>333</v>
      </c>
      <c r="G90" s="221" t="s">
        <v>332</v>
      </c>
      <c r="I90" s="217" t="s">
        <v>331</v>
      </c>
      <c r="J90" s="217">
        <f t="shared" si="13"/>
        <v>932</v>
      </c>
      <c r="K90" s="217">
        <f t="shared" si="13"/>
        <v>791</v>
      </c>
      <c r="L90" s="217">
        <f t="shared" si="13"/>
        <v>903</v>
      </c>
      <c r="M90" s="217">
        <f t="shared" si="13"/>
        <v>938</v>
      </c>
    </row>
    <row r="91" spans="1:13" x14ac:dyDescent="0.25">
      <c r="A91" s="513" t="s">
        <v>330</v>
      </c>
      <c r="B91" s="513"/>
      <c r="C91" s="513"/>
      <c r="D91" s="220">
        <f t="shared" si="14"/>
        <v>718</v>
      </c>
      <c r="E91" s="219">
        <v>823</v>
      </c>
      <c r="F91" s="219">
        <v>943</v>
      </c>
      <c r="G91" s="218">
        <v>910</v>
      </c>
      <c r="I91" s="217" t="s">
        <v>330</v>
      </c>
      <c r="J91" s="217">
        <f t="shared" si="13"/>
        <v>610</v>
      </c>
      <c r="K91" s="217">
        <f t="shared" si="13"/>
        <v>698</v>
      </c>
      <c r="L91" s="217">
        <f t="shared" si="13"/>
        <v>773</v>
      </c>
      <c r="M91" s="217">
        <f t="shared" si="13"/>
        <v>748</v>
      </c>
    </row>
    <row r="92" spans="1:13" ht="22.5" x14ac:dyDescent="0.25">
      <c r="A92" s="513" t="s">
        <v>326</v>
      </c>
      <c r="B92" s="513"/>
      <c r="C92" s="513"/>
      <c r="D92" s="220">
        <f t="shared" si="14"/>
        <v>1664.88</v>
      </c>
      <c r="E92" s="222" t="s">
        <v>329</v>
      </c>
      <c r="F92" s="222" t="s">
        <v>328</v>
      </c>
      <c r="G92" s="221" t="s">
        <v>327</v>
      </c>
      <c r="I92" s="217" t="s">
        <v>326</v>
      </c>
      <c r="J92" s="217">
        <f t="shared" si="13"/>
        <v>1166.8800000000001</v>
      </c>
      <c r="K92" s="217">
        <f t="shared" si="13"/>
        <v>991.88</v>
      </c>
      <c r="L92" s="217">
        <f t="shared" si="13"/>
        <v>978</v>
      </c>
      <c r="M92" s="217">
        <f t="shared" si="13"/>
        <v>953</v>
      </c>
    </row>
    <row r="93" spans="1:13" x14ac:dyDescent="0.25">
      <c r="A93" s="513" t="s">
        <v>325</v>
      </c>
      <c r="B93" s="513"/>
      <c r="C93" s="513"/>
      <c r="D93" s="220">
        <f t="shared" si="14"/>
        <v>261.05</v>
      </c>
      <c r="E93" s="219">
        <v>258</v>
      </c>
      <c r="F93" s="219">
        <v>260</v>
      </c>
      <c r="G93" s="218">
        <v>274</v>
      </c>
      <c r="I93" s="217" t="s">
        <v>325</v>
      </c>
      <c r="J93" s="217">
        <f t="shared" si="13"/>
        <v>261</v>
      </c>
      <c r="K93" s="217">
        <f t="shared" si="13"/>
        <v>258</v>
      </c>
      <c r="L93" s="217">
        <f t="shared" si="13"/>
        <v>260</v>
      </c>
      <c r="M93" s="217">
        <f t="shared" si="13"/>
        <v>273</v>
      </c>
    </row>
    <row r="94" spans="1:13" ht="12.95" customHeight="1" x14ac:dyDescent="0.25">
      <c r="A94" s="513" t="s">
        <v>324</v>
      </c>
      <c r="B94" s="513"/>
      <c r="C94" s="513"/>
      <c r="D94" s="220">
        <f t="shared" si="14"/>
        <v>83.22999999999999</v>
      </c>
      <c r="E94" s="219">
        <v>88</v>
      </c>
      <c r="F94" s="219">
        <v>89</v>
      </c>
      <c r="G94" s="218">
        <v>198</v>
      </c>
      <c r="I94" s="217" t="s">
        <v>324</v>
      </c>
      <c r="J94" s="217">
        <f t="shared" si="13"/>
        <v>47.23</v>
      </c>
      <c r="K94" s="217">
        <f t="shared" si="13"/>
        <v>51.23</v>
      </c>
      <c r="L94" s="217">
        <f t="shared" si="13"/>
        <v>51.23</v>
      </c>
      <c r="M94" s="217">
        <f t="shared" si="13"/>
        <v>159.03</v>
      </c>
    </row>
    <row r="96" spans="1:13" x14ac:dyDescent="0.25">
      <c r="D96" s="216" t="s">
        <v>323</v>
      </c>
      <c r="E96" s="216" t="s">
        <v>320</v>
      </c>
    </row>
    <row r="97" spans="4:6" x14ac:dyDescent="0.25">
      <c r="D97" s="216" t="s">
        <v>322</v>
      </c>
      <c r="E97" s="216">
        <v>296</v>
      </c>
    </row>
    <row r="98" spans="4:6" x14ac:dyDescent="0.25">
      <c r="D98" s="216" t="s">
        <v>321</v>
      </c>
      <c r="E98" s="216">
        <v>23</v>
      </c>
    </row>
    <row r="100" spans="4:6" x14ac:dyDescent="0.25">
      <c r="E100" s="216" t="s">
        <v>320</v>
      </c>
      <c r="F100" s="216" t="s">
        <v>319</v>
      </c>
    </row>
    <row r="101" spans="4:6" x14ac:dyDescent="0.25">
      <c r="E101" s="216">
        <v>310</v>
      </c>
      <c r="F101" s="216">
        <v>296</v>
      </c>
    </row>
    <row r="102" spans="4:6" x14ac:dyDescent="0.25">
      <c r="E102" s="216">
        <v>21</v>
      </c>
      <c r="F102" s="216">
        <v>23</v>
      </c>
    </row>
  </sheetData>
  <mergeCells count="93">
    <mergeCell ref="A1:I1"/>
    <mergeCell ref="A2:C2"/>
    <mergeCell ref="A3:B3"/>
    <mergeCell ref="H3:H12"/>
    <mergeCell ref="A4:B4"/>
    <mergeCell ref="A5:B5"/>
    <mergeCell ref="A6:B6"/>
    <mergeCell ref="A7:B7"/>
    <mergeCell ref="A8:B8"/>
    <mergeCell ref="A21:B21"/>
    <mergeCell ref="A22:C22"/>
    <mergeCell ref="A23:B23"/>
    <mergeCell ref="A24:B24"/>
    <mergeCell ref="A9:B9"/>
    <mergeCell ref="A10:B10"/>
    <mergeCell ref="A11:B11"/>
    <mergeCell ref="A12:C12"/>
    <mergeCell ref="A13:B13"/>
    <mergeCell ref="A14:B14"/>
    <mergeCell ref="A15:B15"/>
    <mergeCell ref="A16:B16"/>
    <mergeCell ref="A17:B17"/>
    <mergeCell ref="A18:B18"/>
    <mergeCell ref="A19:B19"/>
    <mergeCell ref="A20:B20"/>
    <mergeCell ref="A25:B25"/>
    <mergeCell ref="A26:B26"/>
    <mergeCell ref="A39:B39"/>
    <mergeCell ref="A28:B28"/>
    <mergeCell ref="A29:B29"/>
    <mergeCell ref="A30:B30"/>
    <mergeCell ref="A31:C31"/>
    <mergeCell ref="A32:B32"/>
    <mergeCell ref="A33:B33"/>
    <mergeCell ref="A34:B34"/>
    <mergeCell ref="A27:B27"/>
    <mergeCell ref="A35:B35"/>
    <mergeCell ref="A36:B36"/>
    <mergeCell ref="A37:B37"/>
    <mergeCell ref="A38:B38"/>
    <mergeCell ref="A40:C40"/>
    <mergeCell ref="A41:B41"/>
    <mergeCell ref="A42:B42"/>
    <mergeCell ref="A43:B43"/>
    <mergeCell ref="A44:B44"/>
    <mergeCell ref="A57:B57"/>
    <mergeCell ref="A58:C58"/>
    <mergeCell ref="A59:I59"/>
    <mergeCell ref="A60:I60"/>
    <mergeCell ref="A45:B45"/>
    <mergeCell ref="A46:B46"/>
    <mergeCell ref="A47:B47"/>
    <mergeCell ref="A48:B48"/>
    <mergeCell ref="A49:C49"/>
    <mergeCell ref="A50:B50"/>
    <mergeCell ref="A52:B52"/>
    <mergeCell ref="A53:B53"/>
    <mergeCell ref="A54:B54"/>
    <mergeCell ref="A55:B55"/>
    <mergeCell ref="A56:B56"/>
    <mergeCell ref="A51:B51"/>
    <mergeCell ref="A61:I61"/>
    <mergeCell ref="A62:C62"/>
    <mergeCell ref="A75:C75"/>
    <mergeCell ref="A64:C64"/>
    <mergeCell ref="A65:C65"/>
    <mergeCell ref="A66:C66"/>
    <mergeCell ref="A67:C67"/>
    <mergeCell ref="A68:C68"/>
    <mergeCell ref="A69:C69"/>
    <mergeCell ref="A70:C70"/>
    <mergeCell ref="A63:C63"/>
    <mergeCell ref="A71:C71"/>
    <mergeCell ref="A72:C72"/>
    <mergeCell ref="A73:C73"/>
    <mergeCell ref="A74:C74"/>
    <mergeCell ref="A89:C89"/>
    <mergeCell ref="A76:C76"/>
    <mergeCell ref="A77:C77"/>
    <mergeCell ref="A78:C78"/>
    <mergeCell ref="A79:C79"/>
    <mergeCell ref="A80:C80"/>
    <mergeCell ref="A88:C88"/>
    <mergeCell ref="A81:I81"/>
    <mergeCell ref="A82:I82"/>
    <mergeCell ref="A85:C85"/>
    <mergeCell ref="A86:C86"/>
    <mergeCell ref="A87:C87"/>
    <mergeCell ref="A90:C90"/>
    <mergeCell ref="A91:C91"/>
    <mergeCell ref="A92:C92"/>
    <mergeCell ref="A93:C93"/>
    <mergeCell ref="A94:C94"/>
  </mergeCells>
  <hyperlinks>
    <hyperlink ref="A81" r:id="rId1" display="http://www.sasol.com/" xr:uid="{94E57AF8-CF1E-4A4A-992A-3647A9F5048E}"/>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ITEMS</vt:lpstr>
      <vt:lpstr>UPS</vt:lpstr>
      <vt:lpstr>RefineriesData</vt:lpstr>
      <vt:lpstr>Crude refineries</vt:lpstr>
      <vt:lpstr>Cleaner Fuels Phase-2</vt:lpstr>
      <vt:lpstr>GTL and CTL</vt:lpstr>
      <vt:lpstr>SasolRES2012</vt:lpstr>
      <vt:lpstr>SasolRES-2017</vt:lpstr>
      <vt:lpstr>SASOL CC 2019 report</vt:lpstr>
      <vt:lpstr>Secunda Emissions 2019</vt:lpstr>
      <vt:lpstr>SasolRES2012!Print_Area</vt:lpstr>
      <vt:lpstr>'SasolRES-2017'!Print_Area</vt:lpstr>
      <vt:lpstr>REF.crude.CAP_rel.2020</vt:lpstr>
      <vt:lpstr>REF.crude.CAP_rel.2021</vt:lpstr>
      <vt:lpstr>REF.crude.CAP_rel.2022</vt:lpstr>
      <vt:lpstr>REF.crude.CAP_rel.2025</vt:lpstr>
      <vt:lpstr>REF.crude.CAP_rel.2030</vt:lpstr>
      <vt:lpstr>REF.crude.CAP_rel.2040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 Merven</cp:lastModifiedBy>
  <dcterms:created xsi:type="dcterms:W3CDTF">2023-08-18T14:50:30Z</dcterms:created>
  <dcterms:modified xsi:type="dcterms:W3CDTF">2023-09-21T20:31:49Z</dcterms:modified>
</cp:coreProperties>
</file>